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3/2023 Scan Backup/Lowcountry/2023-0xxWstPnRsdnc/"/>
    </mc:Choice>
  </mc:AlternateContent>
  <xr:revisionPtr revIDLastSave="0" documentId="8_{CB6DDEF7-FAC5-405D-B036-BA2838436944}"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3" i="74" l="1"/>
  <c r="D133" i="74" s="1"/>
  <c r="E133" i="74" s="1"/>
  <c r="F133" i="74" s="1"/>
  <c r="B133" i="74"/>
  <c r="C103" i="74"/>
  <c r="D103" i="74"/>
  <c r="E103" i="74" s="1"/>
  <c r="F103" i="74" s="1"/>
  <c r="G103" i="74" s="1"/>
  <c r="H103" i="74" s="1"/>
  <c r="I103" i="74" s="1"/>
  <c r="J103" i="74" s="1"/>
  <c r="K103" i="74" s="1"/>
  <c r="B103" i="74"/>
  <c r="C72" i="74"/>
  <c r="D72" i="74"/>
  <c r="E72" i="74" s="1"/>
  <c r="F72" i="74" s="1"/>
  <c r="G72" i="74" s="1"/>
  <c r="H72" i="74" s="1"/>
  <c r="I72" i="74" s="1"/>
  <c r="J72" i="74" s="1"/>
  <c r="K72" i="74" s="1"/>
  <c r="B72" i="74"/>
  <c r="B58" i="74"/>
  <c r="H26" i="75"/>
  <c r="H25" i="75"/>
  <c r="H24" i="75"/>
  <c r="H23" i="75"/>
  <c r="H22" i="75"/>
  <c r="H21" i="75"/>
  <c r="H20" i="75"/>
  <c r="H19" i="75"/>
  <c r="H18" i="75"/>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E31" i="102" l="1"/>
  <c r="E1182" i="103" s="1"/>
  <c r="O1516" i="103"/>
  <c r="P179" i="102"/>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BG423"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I465" i="103"/>
  <c r="B466" i="103"/>
  <c r="C466" i="103"/>
  <c r="D466" i="103"/>
  <c r="E466" i="103"/>
  <c r="F466" i="103"/>
  <c r="G466" i="103"/>
  <c r="I466" i="103"/>
  <c r="B467" i="103"/>
  <c r="C467" i="103"/>
  <c r="D467" i="103"/>
  <c r="E467" i="103"/>
  <c r="F467" i="103"/>
  <c r="G467" i="103"/>
  <c r="I467" i="103"/>
  <c r="B468" i="103"/>
  <c r="C468" i="103"/>
  <c r="D468" i="103"/>
  <c r="E468" i="103"/>
  <c r="F468" i="103"/>
  <c r="G468" i="103"/>
  <c r="I468" i="103"/>
  <c r="B469" i="103"/>
  <c r="C469" i="103"/>
  <c r="D469" i="103"/>
  <c r="E469" i="103"/>
  <c r="F469" i="103"/>
  <c r="G469" i="103"/>
  <c r="I469" i="103"/>
  <c r="B470" i="103"/>
  <c r="C470" i="103"/>
  <c r="D470" i="103"/>
  <c r="E470" i="103"/>
  <c r="F470" i="103"/>
  <c r="G470" i="103"/>
  <c r="I470" i="103"/>
  <c r="B471" i="103"/>
  <c r="C471" i="103"/>
  <c r="D471" i="103"/>
  <c r="E471" i="103"/>
  <c r="F471" i="103"/>
  <c r="G471" i="103"/>
  <c r="I471" i="103"/>
  <c r="B472" i="103"/>
  <c r="C472" i="103"/>
  <c r="D472" i="103"/>
  <c r="E472" i="103"/>
  <c r="F472" i="103"/>
  <c r="G472" i="103"/>
  <c r="I472" i="103"/>
  <c r="B473" i="103"/>
  <c r="C473" i="103"/>
  <c r="D473" i="103"/>
  <c r="E473" i="103"/>
  <c r="F473" i="103"/>
  <c r="G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P1228" i="103"/>
  <c r="BG1574" i="103" s="1"/>
  <c r="P66" i="102"/>
  <c r="P1217" i="103" s="1"/>
  <c r="BG1573" i="103" s="1"/>
  <c r="O1219" i="103"/>
  <c r="O66" i="102"/>
  <c r="O1217" i="103" s="1"/>
  <c r="AZ1573" i="103" s="1"/>
  <c r="BH449" i="102"/>
  <c r="BH1600" i="103" s="1"/>
  <c r="R312" i="102"/>
  <c r="O1463" i="103"/>
  <c r="AJ449" i="102"/>
  <c r="AJ1600" i="103" s="1"/>
  <c r="AI449" i="102"/>
  <c r="AI1600" i="103" s="1"/>
  <c r="C1187" i="103"/>
  <c r="E34" i="102"/>
  <c r="BB447" i="102"/>
  <c r="BF432" i="102"/>
  <c r="P1351" i="103"/>
  <c r="BF1583" i="103" s="1"/>
  <c r="E21" i="102"/>
  <c r="E1172" i="103" s="1"/>
  <c r="O1351" i="103"/>
  <c r="L1351"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MT469" i="103"/>
  <c r="MP469" i="103"/>
  <c r="ML469" i="103"/>
  <c r="MH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MR473" i="103"/>
  <c r="MN473" i="103"/>
  <c r="MJ473" i="103"/>
  <c r="MF473" i="103"/>
  <c r="MQ473" i="103"/>
  <c r="MM473" i="103"/>
  <c r="MI473" i="103"/>
  <c r="MQ468" i="103"/>
  <c r="MM468" i="103"/>
  <c r="MI468" i="103"/>
  <c r="MT468" i="103"/>
  <c r="MP468" i="103"/>
  <c r="ML468" i="103"/>
  <c r="MH468" i="103"/>
  <c r="MS468" i="103"/>
  <c r="MO468" i="103"/>
  <c r="MK468" i="103"/>
  <c r="MG468" i="103"/>
  <c r="MR467" i="103"/>
  <c r="MN467" i="103"/>
  <c r="MJ467" i="103"/>
  <c r="MF467" i="103"/>
  <c r="MQ467" i="103"/>
  <c r="MM467" i="103"/>
  <c r="MI467" i="103"/>
  <c r="MT467" i="103"/>
  <c r="MP467" i="103"/>
  <c r="ML467" i="103"/>
  <c r="MH467" i="103"/>
  <c r="MS466" i="103"/>
  <c r="MO466" i="103"/>
  <c r="MK466" i="103"/>
  <c r="MG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O1330" i="103" s="1"/>
  <c r="BB433" i="102"/>
  <c r="O1361" i="103"/>
  <c r="AY1573"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5" i="103" l="1"/>
  <c r="Q604" i="103"/>
  <c r="Q607" i="103"/>
  <c r="M517" i="103"/>
  <c r="M529" i="103"/>
  <c r="M535" i="103"/>
  <c r="M618" i="103"/>
  <c r="N526"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8" i="95" l="1"/>
  <c r="E49" i="95"/>
  <c r="E50" i="95"/>
  <c r="E51" i="95"/>
  <c r="E52" i="95"/>
  <c r="E53" i="95"/>
  <c r="E54" i="95"/>
  <c r="E55" i="95"/>
  <c r="E56" i="95"/>
  <c r="E57" i="95"/>
  <c r="E58" i="95"/>
  <c r="E59" i="95"/>
  <c r="E60" i="95"/>
  <c r="E61" i="95"/>
  <c r="E62" i="95"/>
  <c r="E63" i="95"/>
  <c r="E64" i="95"/>
  <c r="E65" i="95"/>
  <c r="E66" i="95"/>
  <c r="E67" i="95"/>
  <c r="E68" i="95"/>
  <c r="E6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22" i="76"/>
  <c r="J24" i="75"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G28" i="74"/>
  <c r="G735" i="103" s="1"/>
  <c r="G743" i="103" s="1"/>
  <c r="D60" i="74"/>
  <c r="D767" i="103" s="1"/>
  <c r="D775" i="103" s="1"/>
  <c r="H26" i="74"/>
  <c r="H733" i="103" s="1"/>
  <c r="D120" i="74"/>
  <c r="D827"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I26" i="74"/>
  <c r="I733" i="103" s="1"/>
  <c r="K29" i="74"/>
  <c r="B120" i="74"/>
  <c r="J29" i="74"/>
  <c r="B123" i="74"/>
  <c r="B26" i="74"/>
  <c r="H29" i="74"/>
  <c r="I61" i="74"/>
  <c r="A2" i="67"/>
  <c r="B43" i="74"/>
  <c r="B42" i="74"/>
  <c r="B749" i="103" s="1"/>
  <c r="M16" i="75"/>
  <c r="M14" i="75"/>
  <c r="C43" i="74"/>
  <c r="C42" i="74"/>
  <c r="C749" i="103" s="1"/>
  <c r="D43" i="74"/>
  <c r="D42" i="74"/>
  <c r="D749" i="103" s="1"/>
  <c r="E43" i="74"/>
  <c r="E42" i="74"/>
  <c r="E749" i="103" s="1"/>
  <c r="F43" i="74"/>
  <c r="F42" i="74"/>
  <c r="F749" i="103" s="1"/>
  <c r="G43" i="74"/>
  <c r="G42" i="74"/>
  <c r="G749" i="103" s="1"/>
  <c r="H43" i="74"/>
  <c r="H42" i="74"/>
  <c r="H749" i="103" s="1"/>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I76" i="74"/>
  <c r="J76" i="74"/>
  <c r="K76" i="74"/>
  <c r="K783" i="103" s="1"/>
  <c r="J18" i="75" l="1"/>
  <c r="J465" i="103" s="1"/>
  <c r="J22" i="75"/>
  <c r="J25" i="75"/>
  <c r="J472" i="103" s="1"/>
  <c r="J471" i="103"/>
  <c r="L24" i="75"/>
  <c r="M24" i="75" s="1"/>
  <c r="J469" i="103"/>
  <c r="L18" i="75"/>
  <c r="M18" i="75" s="1"/>
  <c r="J473" i="103"/>
  <c r="J466" i="103"/>
  <c r="L19" i="75"/>
  <c r="M19" i="75" s="1"/>
  <c r="B827" i="103"/>
  <c r="D129" i="74"/>
  <c r="D829" i="103"/>
  <c r="D836" i="103" s="1"/>
  <c r="C121" i="74"/>
  <c r="C828" i="103" s="1"/>
  <c r="I783" i="103"/>
  <c r="J783" i="103"/>
  <c r="H783" i="103"/>
  <c r="H27" i="74"/>
  <c r="H734" i="103" s="1"/>
  <c r="K91" i="74"/>
  <c r="K798" i="103" s="1"/>
  <c r="C59" i="74"/>
  <c r="C766"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E26" i="74"/>
  <c r="E733" i="103" s="1"/>
  <c r="J26" i="74"/>
  <c r="J733" i="103" s="1"/>
  <c r="E120" i="74"/>
  <c r="E827" i="103" s="1"/>
  <c r="K26" i="74"/>
  <c r="D26" i="74"/>
  <c r="D733" i="103" s="1"/>
  <c r="F26" i="74"/>
  <c r="F733" i="103" s="1"/>
  <c r="F120" i="74"/>
  <c r="F827" i="103" s="1"/>
  <c r="C26" i="74"/>
  <c r="C733" i="103" s="1"/>
  <c r="G26" i="74"/>
  <c r="G733" i="103" s="1"/>
  <c r="C120"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E21" i="87"/>
  <c r="F84" i="92"/>
  <c r="G36" i="74"/>
  <c r="H68" i="74"/>
  <c r="I36" i="74"/>
  <c r="D36" i="74"/>
  <c r="C68" i="74"/>
  <c r="E130" i="74"/>
  <c r="B10" i="87"/>
  <c r="B17" i="87"/>
  <c r="D99" i="74"/>
  <c r="B68" i="74"/>
  <c r="H36" i="74"/>
  <c r="G68" i="74"/>
  <c r="B42" i="87"/>
  <c r="H99" i="74"/>
  <c r="B40" i="87"/>
  <c r="B129" i="74"/>
  <c r="J68" i="74"/>
  <c r="E99" i="74"/>
  <c r="F69" i="74"/>
  <c r="D68" i="74"/>
  <c r="E16" i="87"/>
  <c r="L266" i="72"/>
  <c r="E108" i="78"/>
  <c r="E221" i="103" s="1"/>
  <c r="J221" i="103" s="1"/>
  <c r="L46" i="75"/>
  <c r="M46" i="75" s="1"/>
  <c r="L39" i="75"/>
  <c r="M39" i="75" s="1"/>
  <c r="L47" i="75"/>
  <c r="M47" i="75" s="1"/>
  <c r="L32" i="75"/>
  <c r="M32" i="75" s="1"/>
  <c r="L33" i="75"/>
  <c r="M33" i="75" s="1"/>
  <c r="L41" i="75"/>
  <c r="M41"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Q266" i="72"/>
  <c r="F55" i="78"/>
  <c r="B5" i="92"/>
  <c r="J21" i="75"/>
  <c r="F40" i="78"/>
  <c r="F38" i="78"/>
  <c r="J23" i="75"/>
  <c r="C21" i="90"/>
  <c r="F16" i="86"/>
  <c r="M146" i="78"/>
  <c r="M162" i="78" s="1"/>
  <c r="M164" i="78" s="1"/>
  <c r="M166" i="78" s="1"/>
  <c r="S146" i="78"/>
  <c r="P146" i="78"/>
  <c r="P162" i="78" s="1"/>
  <c r="P164" i="78" s="1"/>
  <c r="P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C52" i="86"/>
  <c r="G52" i="86"/>
  <c r="F52" i="86"/>
  <c r="H37" i="74"/>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L25" i="75" l="1"/>
  <c r="M25" i="75" s="1"/>
  <c r="H473" i="103"/>
  <c r="A473" i="103" s="1"/>
  <c r="E47" i="95"/>
  <c r="A26" i="75"/>
  <c r="J467" i="103"/>
  <c r="H469" i="103"/>
  <c r="A469" i="103" s="1"/>
  <c r="E43" i="95"/>
  <c r="A22" i="75"/>
  <c r="J468" i="103"/>
  <c r="L21" i="75"/>
  <c r="M21" i="75" s="1"/>
  <c r="H466" i="103"/>
  <c r="A466" i="103" s="1"/>
  <c r="E40" i="95"/>
  <c r="A19" i="75"/>
  <c r="H465" i="103"/>
  <c r="A465" i="103" s="1"/>
  <c r="E39" i="95"/>
  <c r="A18" i="75"/>
  <c r="H471" i="103"/>
  <c r="A471" i="103" s="1"/>
  <c r="E45" i="95"/>
  <c r="A24" i="75"/>
  <c r="H472" i="103"/>
  <c r="A472" i="103" s="1"/>
  <c r="A25" i="75"/>
  <c r="J470" i="103"/>
  <c r="L26" i="75"/>
  <c r="M26" i="75" s="1"/>
  <c r="L22" i="75"/>
  <c r="M22" i="75" s="1"/>
  <c r="B13" i="87"/>
  <c r="B14" i="87"/>
  <c r="C827" i="103"/>
  <c r="B41" i="87"/>
  <c r="B11" i="87"/>
  <c r="B12" i="87"/>
  <c r="B44" i="87"/>
  <c r="E41" i="87"/>
  <c r="K771" i="103"/>
  <c r="H54" i="86"/>
  <c r="I771" i="103"/>
  <c r="F54" i="86"/>
  <c r="J771" i="103"/>
  <c r="G54" i="86"/>
  <c r="P94" i="103"/>
  <c r="P95" i="103"/>
  <c r="I105" i="103"/>
  <c r="E39" i="87"/>
  <c r="E734" i="103"/>
  <c r="K734" i="103"/>
  <c r="F766" i="103"/>
  <c r="C798" i="103"/>
  <c r="D798" i="103"/>
  <c r="F798" i="103"/>
  <c r="G798" i="103"/>
  <c r="D766" i="103"/>
  <c r="E828" i="103"/>
  <c r="J798" i="103"/>
  <c r="J734" i="103"/>
  <c r="D828" i="103"/>
  <c r="H798" i="103"/>
  <c r="H766" i="103"/>
  <c r="I734" i="103"/>
  <c r="D734" i="103"/>
  <c r="B798" i="103"/>
  <c r="J766" i="103"/>
  <c r="G734" i="103"/>
  <c r="I798" i="103"/>
  <c r="K766" i="103"/>
  <c r="B766" i="103"/>
  <c r="F828" i="103"/>
  <c r="B828" i="103"/>
  <c r="F734" i="103"/>
  <c r="C734" i="103"/>
  <c r="G766" i="103"/>
  <c r="B734" i="103"/>
  <c r="B41" i="74"/>
  <c r="E798" i="103"/>
  <c r="E766" i="103"/>
  <c r="I766" i="103"/>
  <c r="C75" i="100"/>
  <c r="I75" i="100" s="1"/>
  <c r="I77" i="100" s="1"/>
  <c r="C40" i="74"/>
  <c r="D40" i="74" s="1"/>
  <c r="D747" i="103" s="1"/>
  <c r="B43" i="87"/>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18" i="87"/>
  <c r="B15" i="87"/>
  <c r="B19" i="87"/>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B45" i="82"/>
  <c r="C75" i="84"/>
  <c r="I75" i="84" s="1"/>
  <c r="I77" i="84" s="1"/>
  <c r="E13" i="87"/>
  <c r="E38" i="87"/>
  <c r="J45" i="82"/>
  <c r="E18" i="87"/>
  <c r="E22" i="87"/>
  <c r="E19" i="87"/>
  <c r="E37" i="87"/>
  <c r="E14" i="87"/>
  <c r="E11" i="87"/>
  <c r="E36" i="87"/>
  <c r="E26" i="87"/>
  <c r="E27" i="87"/>
  <c r="E30" i="87"/>
  <c r="E28" i="87"/>
  <c r="E32" i="87"/>
  <c r="E33" i="87"/>
  <c r="E20" i="87"/>
  <c r="E34" i="87"/>
  <c r="E43" i="87"/>
  <c r="E44" i="87"/>
  <c r="E24" i="87"/>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L147" i="75"/>
  <c r="D45" i="82"/>
  <c r="E45" i="82"/>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K33" i="8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E14" i="74"/>
  <c r="P138" i="75"/>
  <c r="M147" i="75"/>
  <c r="P136" i="75"/>
  <c r="O164" i="75"/>
  <c r="O166" i="75" s="1"/>
  <c r="O168" i="75" s="1"/>
  <c r="P108" i="75"/>
  <c r="P93" i="75"/>
  <c r="J164" i="78"/>
  <c r="J166" i="78" s="1"/>
  <c r="E3" i="86"/>
  <c r="B4" i="82"/>
  <c r="C18" i="84"/>
  <c r="I61" i="68"/>
  <c r="P139" i="75"/>
  <c r="P114" i="75"/>
  <c r="L466" i="103" l="1"/>
  <c r="M466" i="103" s="1"/>
  <c r="E46" i="95"/>
  <c r="L473" i="103"/>
  <c r="M473" i="103" s="1"/>
  <c r="L471" i="103"/>
  <c r="M471" i="103" s="1"/>
  <c r="L469" i="103"/>
  <c r="M469" i="103" s="1"/>
  <c r="L465" i="103"/>
  <c r="M465" i="103" s="1"/>
  <c r="H470" i="103"/>
  <c r="A470" i="103" s="1"/>
  <c r="E44" i="95"/>
  <c r="A23" i="75"/>
  <c r="L23" i="75"/>
  <c r="M23" i="75" s="1"/>
  <c r="M49" i="75" s="1"/>
  <c r="M50" i="75" s="1"/>
  <c r="L470" i="103"/>
  <c r="M470" i="103" s="1"/>
  <c r="L472" i="103"/>
  <c r="M472" i="103" s="1"/>
  <c r="H468" i="103"/>
  <c r="A468" i="103" s="1"/>
  <c r="E42" i="95"/>
  <c r="A21" i="75"/>
  <c r="H467" i="103"/>
  <c r="A467" i="103" s="1"/>
  <c r="E41" i="95"/>
  <c r="A20" i="75"/>
  <c r="L35" i="68"/>
  <c r="P96" i="103"/>
  <c r="C77" i="100"/>
  <c r="C81" i="100" s="1"/>
  <c r="B748" i="103"/>
  <c r="C11" i="86"/>
  <c r="C41" i="74"/>
  <c r="G75" i="100"/>
  <c r="G77" i="100" s="1"/>
  <c r="E75" i="100"/>
  <c r="E77" i="100" s="1"/>
  <c r="K75" i="100"/>
  <c r="K77" i="100" s="1"/>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496" i="103" l="1"/>
  <c r="A453" i="103" s="1"/>
  <c r="A49" i="75"/>
  <c r="A6" i="75" s="1"/>
  <c r="L467" i="103"/>
  <c r="M467" i="103" s="1"/>
  <c r="L468" i="103"/>
  <c r="M468" i="103" s="1"/>
  <c r="C80" i="100"/>
  <c r="H7" i="100"/>
  <c r="E27" i="89" s="1"/>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L67" i="75"/>
  <c r="O67" i="75"/>
  <c r="M67" i="75"/>
  <c r="N67" i="75"/>
  <c r="P53" i="68"/>
  <c r="P65" i="75"/>
  <c r="E13" i="84"/>
  <c r="G14" i="74"/>
  <c r="F24" i="74"/>
  <c r="K168" i="75"/>
  <c r="P168" i="75" s="1"/>
  <c r="P166" i="75"/>
  <c r="O19" i="86"/>
  <c r="O23" i="86" s="1"/>
  <c r="O25" i="86" s="1"/>
  <c r="O31" i="86" s="1"/>
  <c r="G21" i="86"/>
  <c r="F22" i="86"/>
  <c r="B722" i="103" l="1"/>
  <c r="M496" i="103"/>
  <c r="M497" i="103" s="1"/>
  <c r="P626" i="103" s="1"/>
  <c r="P280" i="103"/>
  <c r="P281" i="103" s="1"/>
  <c r="P283" i="103" s="1"/>
  <c r="D748" i="103"/>
  <c r="E41" i="74"/>
  <c r="F11" i="86" s="1"/>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G722" i="103" l="1"/>
  <c r="E722" i="103"/>
  <c r="C722" i="103"/>
  <c r="D722" i="103"/>
  <c r="F722" i="103"/>
  <c r="J284" i="103"/>
  <c r="E748" i="103"/>
  <c r="F41"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B22" i="74" l="1"/>
  <c r="Q667" i="103" s="1"/>
  <c r="H722" i="103"/>
  <c r="H53" i="82"/>
  <c r="H738" i="103"/>
  <c r="N235" i="75"/>
  <c r="C66" i="84"/>
  <c r="E66" i="84" s="1"/>
  <c r="B23" i="74"/>
  <c r="B730" i="103" s="1"/>
  <c r="Q235" i="75"/>
  <c r="N682" i="103"/>
  <c r="E174" i="90"/>
  <c r="E175" i="90" s="1"/>
  <c r="AD238" i="103"/>
  <c r="AF238" i="103" s="1"/>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P57" i="78"/>
  <c r="G148" i="78"/>
  <c r="K13" i="84"/>
  <c r="M366" i="72"/>
  <c r="M367" i="72" s="1"/>
  <c r="G54" i="78"/>
  <c r="I56" i="84"/>
  <c r="I40" i="74"/>
  <c r="I747" i="103" s="1"/>
  <c r="C17" i="74"/>
  <c r="C724" i="103" s="1"/>
  <c r="C54" i="84"/>
  <c r="C56" i="84" s="1"/>
  <c r="K6" i="74"/>
  <c r="K713" i="103" s="1"/>
  <c r="L4" i="95"/>
  <c r="J4" i="91"/>
  <c r="D17" i="74"/>
  <c r="K53" i="84"/>
  <c r="K54" i="84" s="1"/>
  <c r="K56" i="84" s="1"/>
  <c r="G53" i="84"/>
  <c r="G54" i="84" s="1"/>
  <c r="E17" i="74"/>
  <c r="E724" i="103" s="1"/>
  <c r="E53" i="84"/>
  <c r="E54" i="84" s="1"/>
  <c r="E56" i="84" s="1"/>
  <c r="F17" i="74"/>
  <c r="F724" i="103" s="1"/>
  <c r="P97" i="72"/>
  <c r="AF125" i="78"/>
  <c r="AH125" i="78" s="1"/>
  <c r="H19" i="84"/>
  <c r="AF122" i="78"/>
  <c r="C19" i="84"/>
  <c r="H17" i="74"/>
  <c r="H724" i="103" s="1"/>
  <c r="I24" i="74"/>
  <c r="J14" i="74"/>
  <c r="I16" i="74"/>
  <c r="I723" i="103" s="1"/>
  <c r="I15" i="74"/>
  <c r="J31" i="74" l="1"/>
  <c r="J738" i="103" s="1"/>
  <c r="I53" i="82"/>
  <c r="C23" i="74"/>
  <c r="C730" i="103" s="1"/>
  <c r="F23" i="74"/>
  <c r="F730" i="103" s="1"/>
  <c r="K8" i="74"/>
  <c r="K715" i="103" s="1"/>
  <c r="Q220" i="75"/>
  <c r="B729" i="103"/>
  <c r="F22" i="74"/>
  <c r="F729" i="103" s="1"/>
  <c r="I722" i="103"/>
  <c r="D724" i="103"/>
  <c r="D22" i="74"/>
  <c r="O669" i="103"/>
  <c r="O668" i="103"/>
  <c r="H22" i="74"/>
  <c r="G22" i="74"/>
  <c r="C22" i="74"/>
  <c r="E22" i="74"/>
  <c r="I23" i="74"/>
  <c r="I730" i="103" s="1"/>
  <c r="D23" i="74"/>
  <c r="D730" i="103" s="1"/>
  <c r="H23" i="74"/>
  <c r="H730" i="103" s="1"/>
  <c r="G23" i="74"/>
  <c r="G730" i="103" s="1"/>
  <c r="C13" i="86"/>
  <c r="K66" i="84"/>
  <c r="E23" i="74"/>
  <c r="E730" i="103" s="1"/>
  <c r="G748" i="103"/>
  <c r="H41" i="74"/>
  <c r="I11" i="86" s="1"/>
  <c r="H11" i="86"/>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C30" i="86"/>
  <c r="C20" i="74"/>
  <c r="C20" i="84"/>
  <c r="H20" i="84"/>
  <c r="J40" i="74"/>
  <c r="J747" i="103" s="1"/>
  <c r="E20" i="74"/>
  <c r="E727" i="103" s="1"/>
  <c r="D20" i="74"/>
  <c r="D727" i="103" s="1"/>
  <c r="G56" i="84"/>
  <c r="F20" i="74"/>
  <c r="F727" i="103" s="1"/>
  <c r="K31" i="74"/>
  <c r="K738" i="103" s="1"/>
  <c r="J53" i="82"/>
  <c r="K14" i="74"/>
  <c r="J24" i="74"/>
  <c r="J15" i="74"/>
  <c r="J16" i="74"/>
  <c r="J723" i="103" s="1"/>
  <c r="J23" i="74"/>
  <c r="J730" i="103" s="1"/>
  <c r="I17" i="74"/>
  <c r="I724" i="103" s="1"/>
  <c r="H20" i="74"/>
  <c r="H727" i="103" s="1"/>
  <c r="C68" i="84" l="1"/>
  <c r="L692" i="103"/>
  <c r="L694" i="103" s="1"/>
  <c r="Q675" i="103" s="1"/>
  <c r="I13" i="86"/>
  <c r="E13" i="86"/>
  <c r="O222" i="75"/>
  <c r="O221" i="75"/>
  <c r="H729" i="103"/>
  <c r="J722" i="103"/>
  <c r="C729" i="103"/>
  <c r="K68" i="84"/>
  <c r="E68" i="84"/>
  <c r="I68" i="84"/>
  <c r="G68" i="84"/>
  <c r="E729" i="103"/>
  <c r="D729" i="103"/>
  <c r="I22" i="74"/>
  <c r="G729" i="103"/>
  <c r="H13" i="86"/>
  <c r="F13" i="86"/>
  <c r="C33" i="86"/>
  <c r="B742" i="103"/>
  <c r="F742" i="103"/>
  <c r="B35" i="74"/>
  <c r="H748" i="103"/>
  <c r="I41"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J178" i="78"/>
  <c r="J180" i="78" s="1"/>
  <c r="I20" i="74"/>
  <c r="I727" i="103" s="1"/>
  <c r="K24" i="74"/>
  <c r="B46" i="74"/>
  <c r="K15" i="74"/>
  <c r="K16" i="74"/>
  <c r="K723" i="103" s="1"/>
  <c r="K23" i="74"/>
  <c r="K730" i="103" s="1"/>
  <c r="D33" i="86"/>
  <c r="B63" i="74"/>
  <c r="B770" i="103" s="1"/>
  <c r="K53" i="82"/>
  <c r="J17" i="74"/>
  <c r="J724" i="103" s="1"/>
  <c r="L247" i="75" l="1"/>
  <c r="Q228" i="75" s="1"/>
  <c r="J22" i="74"/>
  <c r="J729" i="103" s="1"/>
  <c r="I729" i="103"/>
  <c r="K722" i="103"/>
  <c r="C61" i="84"/>
  <c r="P676" i="103"/>
  <c r="N675" i="103"/>
  <c r="Q694" i="103"/>
  <c r="K747" i="103"/>
  <c r="G742" i="103"/>
  <c r="H742" i="103"/>
  <c r="E742" i="103"/>
  <c r="D742" i="103"/>
  <c r="G35" i="74"/>
  <c r="I742" i="103"/>
  <c r="E35" i="74"/>
  <c r="H35" i="74"/>
  <c r="C742" i="103"/>
  <c r="F35" i="74"/>
  <c r="D35" i="74"/>
  <c r="C35" i="74"/>
  <c r="I748" i="103"/>
  <c r="J41" i="74"/>
  <c r="C31" i="86"/>
  <c r="E30" i="86"/>
  <c r="B15" i="82"/>
  <c r="J183" i="78"/>
  <c r="M189" i="78" s="1"/>
  <c r="J20" i="74"/>
  <c r="J727" i="103" s="1"/>
  <c r="K17" i="74"/>
  <c r="K724" i="103" s="1"/>
  <c r="C46" i="74"/>
  <c r="B56" i="74"/>
  <c r="B48" i="74"/>
  <c r="B755" i="103" s="1"/>
  <c r="B47" i="74"/>
  <c r="B55" i="74"/>
  <c r="B762" i="103" s="1"/>
  <c r="C63" i="74"/>
  <c r="C770" i="103" s="1"/>
  <c r="B73" i="82"/>
  <c r="E33" i="86"/>
  <c r="C62" i="84" l="1"/>
  <c r="C64" i="84" s="1"/>
  <c r="C70" i="84" s="1"/>
  <c r="K61" i="84"/>
  <c r="K62" i="84" s="1"/>
  <c r="K64" i="84" s="1"/>
  <c r="K70" i="84" s="1"/>
  <c r="G61" i="84"/>
  <c r="G62" i="84" s="1"/>
  <c r="G64" i="84" s="1"/>
  <c r="G70" i="84" s="1"/>
  <c r="I61" i="84"/>
  <c r="I62" i="84" s="1"/>
  <c r="I64" i="84" s="1"/>
  <c r="I70" i="84" s="1"/>
  <c r="E61" i="84"/>
  <c r="E62" i="84" s="1"/>
  <c r="E64" i="84" s="1"/>
  <c r="E70" i="84" s="1"/>
  <c r="F130" i="78"/>
  <c r="F243" i="103" s="1"/>
  <c r="B21" i="74"/>
  <c r="C53" i="74" s="1"/>
  <c r="F131" i="78"/>
  <c r="F244" i="103" s="1"/>
  <c r="N228" i="75"/>
  <c r="P229" i="75"/>
  <c r="Q247" i="75"/>
  <c r="B754" i="103"/>
  <c r="K22" i="74"/>
  <c r="C58" i="74"/>
  <c r="B779" i="103"/>
  <c r="B765" i="103"/>
  <c r="B20" i="87"/>
  <c r="B65" i="82"/>
  <c r="J742" i="103"/>
  <c r="I35" i="74"/>
  <c r="J748" i="103"/>
  <c r="K41" i="74"/>
  <c r="D31" i="86"/>
  <c r="C73" i="82"/>
  <c r="D63" i="74"/>
  <c r="D770" i="103" s="1"/>
  <c r="C48" i="74"/>
  <c r="C755" i="103" s="1"/>
  <c r="C56" i="74"/>
  <c r="D46" i="74"/>
  <c r="C47" i="74"/>
  <c r="C55" i="74"/>
  <c r="C762" i="103" s="1"/>
  <c r="B49" i="74"/>
  <c r="B756" i="103" s="1"/>
  <c r="F33" i="86"/>
  <c r="K20" i="74"/>
  <c r="K727" i="103" s="1"/>
  <c r="F30" i="86" l="1"/>
  <c r="K729" i="103"/>
  <c r="K72" i="84"/>
  <c r="K76" i="84"/>
  <c r="K73" i="84" s="1"/>
  <c r="G76" i="84"/>
  <c r="G73" i="84" s="1"/>
  <c r="G72" i="84"/>
  <c r="C754" i="103"/>
  <c r="B54" i="74"/>
  <c r="E76" i="84"/>
  <c r="E73" i="84" s="1"/>
  <c r="E72" i="84"/>
  <c r="C72" i="84"/>
  <c r="C76" i="84"/>
  <c r="C73" i="84" s="1"/>
  <c r="F21" i="74"/>
  <c r="E21" i="74"/>
  <c r="D21" i="74"/>
  <c r="B728" i="103"/>
  <c r="C21" i="74"/>
  <c r="G21" i="74"/>
  <c r="H21" i="74"/>
  <c r="I21" i="74"/>
  <c r="B39" i="74"/>
  <c r="J21" i="74"/>
  <c r="B25" i="74"/>
  <c r="K21" i="74"/>
  <c r="K728" i="103" s="1"/>
  <c r="K746" i="103" s="1"/>
  <c r="B53" i="74"/>
  <c r="B760" i="103" s="1"/>
  <c r="I76" i="84"/>
  <c r="I73" i="84" s="1"/>
  <c r="I72" i="84"/>
  <c r="D58" i="74"/>
  <c r="C779" i="103"/>
  <c r="C765" i="103"/>
  <c r="C65" i="82"/>
  <c r="B21" i="87"/>
  <c r="C760" i="103"/>
  <c r="K742" i="103"/>
  <c r="J35" i="74"/>
  <c r="K748" i="103"/>
  <c r="B73" i="74"/>
  <c r="E31" i="86"/>
  <c r="E46" i="74"/>
  <c r="D56" i="74"/>
  <c r="D48" i="74"/>
  <c r="D755" i="103" s="1"/>
  <c r="D47" i="74"/>
  <c r="D53" i="74"/>
  <c r="D55" i="74"/>
  <c r="D762" i="103" s="1"/>
  <c r="E63" i="74"/>
  <c r="E770" i="103" s="1"/>
  <c r="D73" i="82"/>
  <c r="G33" i="86"/>
  <c r="B52" i="74"/>
  <c r="B759" i="103" s="1"/>
  <c r="C49" i="74"/>
  <c r="C756" i="103" s="1"/>
  <c r="G30" i="86" l="1"/>
  <c r="K25" i="74"/>
  <c r="K34" i="74" s="1"/>
  <c r="D754" i="103"/>
  <c r="B34" i="74"/>
  <c r="B32" i="74"/>
  <c r="B44" i="82"/>
  <c r="B38" i="74"/>
  <c r="C54" i="74"/>
  <c r="K732" i="103"/>
  <c r="J728" i="103"/>
  <c r="J39" i="74"/>
  <c r="J25" i="74"/>
  <c r="G728" i="103"/>
  <c r="G39" i="74"/>
  <c r="G25" i="74"/>
  <c r="E728" i="103"/>
  <c r="E39" i="74"/>
  <c r="E25" i="74"/>
  <c r="H728" i="103"/>
  <c r="H39" i="74"/>
  <c r="H25" i="74"/>
  <c r="D728" i="103"/>
  <c r="D39" i="74"/>
  <c r="D25" i="74"/>
  <c r="C728" i="103"/>
  <c r="C39" i="74"/>
  <c r="C25" i="74"/>
  <c r="F728" i="103"/>
  <c r="F39" i="74"/>
  <c r="F25" i="74"/>
  <c r="K39" i="74"/>
  <c r="I728" i="103"/>
  <c r="I25" i="74"/>
  <c r="I39" i="74"/>
  <c r="B746" i="103"/>
  <c r="B732" i="103"/>
  <c r="B761" i="103"/>
  <c r="B764" i="103" s="1"/>
  <c r="B71" i="74"/>
  <c r="E58" i="74"/>
  <c r="H30" i="86"/>
  <c r="D765" i="103"/>
  <c r="B22" i="87"/>
  <c r="D65" i="82"/>
  <c r="D760" i="103"/>
  <c r="K35" i="74"/>
  <c r="B774" i="103"/>
  <c r="B780" i="103"/>
  <c r="C73" i="74"/>
  <c r="G31" i="86" s="1"/>
  <c r="F31" i="86"/>
  <c r="C52" i="74"/>
  <c r="C759" i="103" s="1"/>
  <c r="E73" i="82"/>
  <c r="F63" i="74"/>
  <c r="F770" i="103" s="1"/>
  <c r="D49" i="74"/>
  <c r="D756" i="103" s="1"/>
  <c r="B57" i="74"/>
  <c r="K44" i="82"/>
  <c r="E47" i="74"/>
  <c r="E56" i="74"/>
  <c r="F46" i="74"/>
  <c r="E48" i="74"/>
  <c r="E755" i="103" s="1"/>
  <c r="E53" i="74"/>
  <c r="E55" i="74"/>
  <c r="E762" i="103" s="1"/>
  <c r="H33" i="86"/>
  <c r="K38" i="74" l="1"/>
  <c r="B773" i="103"/>
  <c r="B777" i="103"/>
  <c r="F38" i="74"/>
  <c r="F34" i="74"/>
  <c r="F44" i="82"/>
  <c r="G746" i="103"/>
  <c r="G732" i="103"/>
  <c r="K741" i="103"/>
  <c r="K745" i="103"/>
  <c r="I38" i="74"/>
  <c r="I44" i="82"/>
  <c r="I34" i="74"/>
  <c r="C746" i="103"/>
  <c r="C732" i="103"/>
  <c r="D746" i="103"/>
  <c r="D732" i="103"/>
  <c r="E746" i="103"/>
  <c r="E732" i="103"/>
  <c r="J34" i="74"/>
  <c r="J44" i="82"/>
  <c r="J38" i="74"/>
  <c r="C761" i="103"/>
  <c r="C778" i="103" s="1"/>
  <c r="C71" i="74"/>
  <c r="H746" i="103"/>
  <c r="H732" i="103"/>
  <c r="B33" i="74"/>
  <c r="R21" i="74"/>
  <c r="C14" i="86"/>
  <c r="B739" i="103"/>
  <c r="B740" i="103" s="1"/>
  <c r="B44" i="74"/>
  <c r="B751" i="103" s="1"/>
  <c r="B745" i="103"/>
  <c r="B741" i="103"/>
  <c r="I746" i="103"/>
  <c r="I732" i="103"/>
  <c r="F746" i="103"/>
  <c r="F732" i="103"/>
  <c r="B778" i="103"/>
  <c r="H34" i="74"/>
  <c r="H44" i="82"/>
  <c r="H38" i="74"/>
  <c r="G38" i="74"/>
  <c r="G44" i="82"/>
  <c r="G34" i="74"/>
  <c r="D54" i="74"/>
  <c r="E754" i="103"/>
  <c r="C34" i="74"/>
  <c r="C38" i="74"/>
  <c r="C44" i="82"/>
  <c r="D34" i="74"/>
  <c r="D44" i="82"/>
  <c r="D38" i="74"/>
  <c r="E34" i="74"/>
  <c r="E44" i="82"/>
  <c r="E38" i="74"/>
  <c r="J746" i="103"/>
  <c r="J732" i="103"/>
  <c r="B51" i="82"/>
  <c r="B46" i="82"/>
  <c r="I30" i="86"/>
  <c r="D779" i="103"/>
  <c r="F58" i="74"/>
  <c r="E765" i="103"/>
  <c r="B23" i="87"/>
  <c r="E65" i="82"/>
  <c r="E760" i="103"/>
  <c r="B66" i="74"/>
  <c r="B70" i="74"/>
  <c r="B67" i="74"/>
  <c r="C774" i="103"/>
  <c r="C780" i="103"/>
  <c r="D73" i="74"/>
  <c r="C57" i="74"/>
  <c r="D52" i="74"/>
  <c r="D759" i="103" s="1"/>
  <c r="F56" i="74"/>
  <c r="F48" i="74"/>
  <c r="F755" i="103" s="1"/>
  <c r="F47" i="74"/>
  <c r="G46" i="74"/>
  <c r="F53" i="74"/>
  <c r="F55" i="74"/>
  <c r="F762" i="103" s="1"/>
  <c r="E49" i="74"/>
  <c r="E756" i="103" s="1"/>
  <c r="F73" i="82"/>
  <c r="G63" i="74"/>
  <c r="G770" i="103" s="1"/>
  <c r="K51" i="82"/>
  <c r="K46" i="82"/>
  <c r="I33" i="86"/>
  <c r="B64" i="82"/>
  <c r="S21" i="74" l="1"/>
  <c r="E46" i="82"/>
  <c r="E51" i="82"/>
  <c r="D761" i="103"/>
  <c r="D778" i="103" s="1"/>
  <c r="D71" i="74"/>
  <c r="F745" i="103"/>
  <c r="F741" i="103"/>
  <c r="C9" i="86"/>
  <c r="C17" i="86" s="1"/>
  <c r="C18" i="86" s="1"/>
  <c r="C20" i="86" s="1"/>
  <c r="C24" i="86" s="1"/>
  <c r="K6" i="86" s="1"/>
  <c r="G66" i="86" s="1"/>
  <c r="N92" i="85" s="1"/>
  <c r="E745" i="103"/>
  <c r="E741" i="103"/>
  <c r="C745" i="103"/>
  <c r="C741" i="103"/>
  <c r="G745" i="103"/>
  <c r="G741" i="103"/>
  <c r="C46" i="82"/>
  <c r="C51" i="82"/>
  <c r="I51" i="82"/>
  <c r="I46" i="82"/>
  <c r="F754" i="103"/>
  <c r="J741" i="103"/>
  <c r="J745" i="103"/>
  <c r="H51" i="82"/>
  <c r="H46" i="82"/>
  <c r="H745" i="103"/>
  <c r="H741" i="103"/>
  <c r="C764" i="103"/>
  <c r="D46" i="82"/>
  <c r="D51" i="82"/>
  <c r="C32" i="74"/>
  <c r="E54" i="74"/>
  <c r="G51" i="82"/>
  <c r="G46" i="82"/>
  <c r="I745" i="103"/>
  <c r="I741" i="103"/>
  <c r="J46" i="82"/>
  <c r="J51" i="82"/>
  <c r="D741" i="103"/>
  <c r="D745" i="103"/>
  <c r="F46" i="82"/>
  <c r="F51" i="82"/>
  <c r="G58" i="74"/>
  <c r="F765" i="103"/>
  <c r="B24" i="87"/>
  <c r="F65" i="82"/>
  <c r="C50" i="86"/>
  <c r="E779" i="103"/>
  <c r="F760" i="103"/>
  <c r="C67" i="74"/>
  <c r="C70" i="74"/>
  <c r="C66" i="74"/>
  <c r="D774" i="103"/>
  <c r="D780" i="103"/>
  <c r="E73" i="74"/>
  <c r="H31" i="86"/>
  <c r="C64" i="82"/>
  <c r="C66" i="82" s="1"/>
  <c r="E52" i="74"/>
  <c r="E759" i="103" s="1"/>
  <c r="F49" i="74"/>
  <c r="F756" i="103" s="1"/>
  <c r="H63" i="74"/>
  <c r="H770" i="103" s="1"/>
  <c r="G73" i="82"/>
  <c r="B66" i="82"/>
  <c r="B71" i="82"/>
  <c r="C53" i="86"/>
  <c r="D57" i="74"/>
  <c r="G56" i="74"/>
  <c r="G48" i="74"/>
  <c r="G755" i="103" s="1"/>
  <c r="H46" i="74"/>
  <c r="G47" i="74"/>
  <c r="G53" i="74"/>
  <c r="G55" i="74"/>
  <c r="G762" i="103" s="1"/>
  <c r="D764" i="103" l="1"/>
  <c r="D777" i="103" s="1"/>
  <c r="B25" i="82"/>
  <c r="C52" i="82" s="1"/>
  <c r="C54" i="82" s="1"/>
  <c r="C55" i="82" s="1"/>
  <c r="C56" i="82" s="1"/>
  <c r="C773" i="103"/>
  <c r="C777" i="103"/>
  <c r="E761" i="103"/>
  <c r="E778" i="103" s="1"/>
  <c r="E71" i="74"/>
  <c r="G754" i="103"/>
  <c r="C44" i="74"/>
  <c r="D14" i="86"/>
  <c r="C739" i="103"/>
  <c r="C740" i="103" s="1"/>
  <c r="R22" i="74"/>
  <c r="C33" i="74"/>
  <c r="F54" i="74"/>
  <c r="D50" i="86"/>
  <c r="F779" i="103"/>
  <c r="H58" i="74"/>
  <c r="G765" i="103"/>
  <c r="B25" i="87"/>
  <c r="G65" i="82"/>
  <c r="G760" i="103"/>
  <c r="E774" i="103"/>
  <c r="D66" i="74"/>
  <c r="D67" i="74"/>
  <c r="D70" i="74"/>
  <c r="E780" i="103"/>
  <c r="F73" i="74"/>
  <c r="I31" i="86"/>
  <c r="C71" i="82"/>
  <c r="E57" i="74"/>
  <c r="H73" i="82"/>
  <c r="I63" i="74"/>
  <c r="I770" i="103" s="1"/>
  <c r="H56" i="74"/>
  <c r="H47" i="74"/>
  <c r="H48" i="74"/>
  <c r="H755" i="103" s="1"/>
  <c r="I46" i="74"/>
  <c r="H53" i="74"/>
  <c r="H55" i="74"/>
  <c r="H762" i="103" s="1"/>
  <c r="D53" i="86"/>
  <c r="F52" i="74"/>
  <c r="F759" i="103" s="1"/>
  <c r="G49" i="74"/>
  <c r="G756" i="103" s="1"/>
  <c r="D64" i="82"/>
  <c r="D773" i="103" l="1"/>
  <c r="B26" i="82"/>
  <c r="B5" i="82" s="1"/>
  <c r="B6" i="82" s="1"/>
  <c r="B7" i="82" s="1"/>
  <c r="G72" i="82"/>
  <c r="J52" i="82"/>
  <c r="J54" i="82" s="1"/>
  <c r="J55" i="82" s="1"/>
  <c r="J56" i="82" s="1"/>
  <c r="H52" i="82"/>
  <c r="H54" i="82" s="1"/>
  <c r="H55" i="82" s="1"/>
  <c r="H56" i="82" s="1"/>
  <c r="D72" i="82"/>
  <c r="D52" i="82"/>
  <c r="D54" i="82" s="1"/>
  <c r="D55" i="82" s="1"/>
  <c r="D56" i="82" s="1"/>
  <c r="F52" i="82"/>
  <c r="F54" i="82" s="1"/>
  <c r="F55" i="82" s="1"/>
  <c r="F56" i="82" s="1"/>
  <c r="B52" i="82"/>
  <c r="B54" i="82" s="1"/>
  <c r="B55" i="82" s="1"/>
  <c r="B56" i="82" s="1"/>
  <c r="C72" i="82"/>
  <c r="C74" i="82" s="1"/>
  <c r="C75" i="82" s="1"/>
  <c r="C76" i="82" s="1"/>
  <c r="B72" i="82"/>
  <c r="B74" i="82" s="1"/>
  <c r="B75" i="82" s="1"/>
  <c r="E52" i="82"/>
  <c r="E54" i="82" s="1"/>
  <c r="E55" i="82" s="1"/>
  <c r="E56" i="82" s="1"/>
  <c r="G52" i="82"/>
  <c r="G54" i="82" s="1"/>
  <c r="G55" i="82" s="1"/>
  <c r="G56" i="82" s="1"/>
  <c r="F72" i="82"/>
  <c r="I52" i="82"/>
  <c r="I54" i="82" s="1"/>
  <c r="I55" i="82" s="1"/>
  <c r="I56" i="82" s="1"/>
  <c r="K52" i="82"/>
  <c r="K54" i="82" s="1"/>
  <c r="K55" i="82" s="1"/>
  <c r="K56" i="82" s="1"/>
  <c r="E72" i="82"/>
  <c r="B28" i="82"/>
  <c r="B29" i="82" s="1"/>
  <c r="G54" i="74"/>
  <c r="D32" i="74"/>
  <c r="C751" i="103"/>
  <c r="F761" i="103"/>
  <c r="F778" i="103" s="1"/>
  <c r="F71" i="74"/>
  <c r="E764" i="103"/>
  <c r="H754" i="103"/>
  <c r="D9" i="86"/>
  <c r="D17" i="86" s="1"/>
  <c r="D18" i="86" s="1"/>
  <c r="D20" i="86" s="1"/>
  <c r="D24" i="86" s="1"/>
  <c r="K7" i="86" s="1"/>
  <c r="S22" i="74"/>
  <c r="I58" i="74"/>
  <c r="B26" i="87"/>
  <c r="H765" i="103"/>
  <c r="H65" i="82"/>
  <c r="H72" i="82" s="1"/>
  <c r="E50" i="86"/>
  <c r="G779" i="103"/>
  <c r="H760" i="103"/>
  <c r="F774" i="103"/>
  <c r="E67" i="74"/>
  <c r="E70" i="74"/>
  <c r="E66" i="74"/>
  <c r="F780" i="103"/>
  <c r="G73" i="74"/>
  <c r="C51" i="86"/>
  <c r="E64" i="82"/>
  <c r="E71" i="82" s="1"/>
  <c r="E53" i="86"/>
  <c r="J46" i="74"/>
  <c r="I56" i="74"/>
  <c r="I47" i="74"/>
  <c r="I48" i="74"/>
  <c r="I755" i="103" s="1"/>
  <c r="I53" i="74"/>
  <c r="I55" i="74"/>
  <c r="I762" i="103" s="1"/>
  <c r="D71" i="82"/>
  <c r="D66" i="82"/>
  <c r="G52" i="74"/>
  <c r="G759" i="103" s="1"/>
  <c r="H49" i="74"/>
  <c r="H756" i="103" s="1"/>
  <c r="J63" i="74"/>
  <c r="J770" i="103" s="1"/>
  <c r="I73" i="82"/>
  <c r="F57" i="74"/>
  <c r="B9" i="82" l="1"/>
  <c r="B10" i="82" s="1"/>
  <c r="B11" i="82" s="1"/>
  <c r="D74" i="82"/>
  <c r="G21" i="82"/>
  <c r="B76" i="82"/>
  <c r="B58" i="82"/>
  <c r="C58" i="82" s="1"/>
  <c r="D58" i="82" s="1"/>
  <c r="E58" i="82" s="1"/>
  <c r="F58" i="82" s="1"/>
  <c r="G58" i="82" s="1"/>
  <c r="H58" i="82" s="1"/>
  <c r="I58" i="82" s="1"/>
  <c r="J58" i="82" s="1"/>
  <c r="K58" i="82" s="1"/>
  <c r="B78" i="82" s="1"/>
  <c r="C78" i="82" s="1"/>
  <c r="D78" i="82" s="1"/>
  <c r="E78" i="82" s="1"/>
  <c r="F78" i="82" s="1"/>
  <c r="G78" i="82" s="1"/>
  <c r="H78" i="82" s="1"/>
  <c r="E74" i="82"/>
  <c r="E75" i="82" s="1"/>
  <c r="E76" i="82" s="1"/>
  <c r="D44" i="74"/>
  <c r="E14" i="86"/>
  <c r="D33" i="74"/>
  <c r="D739" i="103"/>
  <c r="D740" i="103" s="1"/>
  <c r="R23" i="74"/>
  <c r="E777" i="103"/>
  <c r="E773" i="103"/>
  <c r="H54" i="74"/>
  <c r="F764" i="103"/>
  <c r="I754" i="103"/>
  <c r="G761" i="103"/>
  <c r="G778" i="103" s="1"/>
  <c r="G71" i="74"/>
  <c r="F50" i="86"/>
  <c r="H779" i="103"/>
  <c r="J58" i="74"/>
  <c r="I765" i="103"/>
  <c r="B27" i="87"/>
  <c r="I65" i="82"/>
  <c r="I72" i="82" s="1"/>
  <c r="I760" i="103"/>
  <c r="F67" i="74"/>
  <c r="F66" i="74"/>
  <c r="F70" i="74"/>
  <c r="G774" i="103"/>
  <c r="G780" i="103"/>
  <c r="H73" i="74"/>
  <c r="D51" i="86"/>
  <c r="E66" i="82"/>
  <c r="J48" i="74"/>
  <c r="J755" i="103" s="1"/>
  <c r="K46" i="74"/>
  <c r="J56" i="74"/>
  <c r="J47" i="74"/>
  <c r="J53" i="74"/>
  <c r="J55" i="74"/>
  <c r="J762" i="103" s="1"/>
  <c r="G57" i="74"/>
  <c r="F64" i="82"/>
  <c r="I49" i="74"/>
  <c r="I756" i="103" s="1"/>
  <c r="J73" i="82"/>
  <c r="K63" i="74"/>
  <c r="K770" i="103" s="1"/>
  <c r="D75" i="82"/>
  <c r="D76" i="82" s="1"/>
  <c r="H52" i="74"/>
  <c r="H759" i="103" s="1"/>
  <c r="F53" i="86"/>
  <c r="I78" i="82" l="1"/>
  <c r="G764" i="103"/>
  <c r="G777" i="103" s="1"/>
  <c r="E9" i="86"/>
  <c r="E17" i="86" s="1"/>
  <c r="E18" i="86" s="1"/>
  <c r="E20" i="86" s="1"/>
  <c r="E24" i="86" s="1"/>
  <c r="K8" i="86" s="1"/>
  <c r="S23" i="74"/>
  <c r="J754" i="103"/>
  <c r="I54" i="74"/>
  <c r="F773" i="103"/>
  <c r="F777" i="103"/>
  <c r="H761" i="103"/>
  <c r="H778" i="103" s="1"/>
  <c r="H71" i="74"/>
  <c r="D751" i="103"/>
  <c r="E32" i="74"/>
  <c r="G50" i="86"/>
  <c r="I779" i="103"/>
  <c r="K58" i="74"/>
  <c r="J765" i="103"/>
  <c r="B28" i="87"/>
  <c r="J65" i="82"/>
  <c r="J72" i="82" s="1"/>
  <c r="H771" i="103"/>
  <c r="E54" i="86"/>
  <c r="J760" i="103"/>
  <c r="H774" i="103"/>
  <c r="G67" i="74"/>
  <c r="G66" i="74"/>
  <c r="G70" i="74"/>
  <c r="H780" i="103"/>
  <c r="I73" i="74"/>
  <c r="E51" i="86"/>
  <c r="E57" i="86" s="1"/>
  <c r="E58" i="86" s="1"/>
  <c r="E60" i="86" s="1"/>
  <c r="E64" i="86" s="1"/>
  <c r="K22" i="86" s="1"/>
  <c r="I52" i="74"/>
  <c r="I759" i="103" s="1"/>
  <c r="F66" i="82"/>
  <c r="F71" i="82"/>
  <c r="F74" i="82" s="1"/>
  <c r="G53" i="86"/>
  <c r="G64" i="82"/>
  <c r="J49" i="74"/>
  <c r="J756" i="103" s="1"/>
  <c r="K73" i="82"/>
  <c r="B95" i="74"/>
  <c r="B802" i="103" s="1"/>
  <c r="B78" i="74"/>
  <c r="K56" i="74"/>
  <c r="K47" i="74"/>
  <c r="K48" i="74"/>
  <c r="K755" i="103" s="1"/>
  <c r="K53" i="74"/>
  <c r="K55" i="74"/>
  <c r="K762" i="103" s="1"/>
  <c r="H57" i="74"/>
  <c r="J78" i="82" l="1"/>
  <c r="G773" i="103"/>
  <c r="I761" i="103"/>
  <c r="I778" i="103" s="1"/>
  <c r="I71" i="74"/>
  <c r="K754" i="103"/>
  <c r="E739" i="103"/>
  <c r="E740" i="103" s="1"/>
  <c r="F14" i="86"/>
  <c r="E33" i="74"/>
  <c r="E44" i="74"/>
  <c r="R24" i="74"/>
  <c r="H764" i="103"/>
  <c r="J54" i="74"/>
  <c r="B90" i="74"/>
  <c r="K765" i="103"/>
  <c r="B29" i="87"/>
  <c r="K65" i="82"/>
  <c r="K72" i="82" s="1"/>
  <c r="K779" i="103"/>
  <c r="J779" i="103"/>
  <c r="K760" i="103"/>
  <c r="H66" i="74"/>
  <c r="H67" i="74"/>
  <c r="H70" i="74"/>
  <c r="I774" i="103"/>
  <c r="I780" i="103"/>
  <c r="J73" i="74"/>
  <c r="G51" i="86" s="1"/>
  <c r="G57" i="86" s="1"/>
  <c r="G58" i="86" s="1"/>
  <c r="G60" i="86" s="1"/>
  <c r="G64" i="86" s="1"/>
  <c r="K24" i="86" s="1"/>
  <c r="F51" i="86"/>
  <c r="F57" i="86" s="1"/>
  <c r="F58" i="86" s="1"/>
  <c r="F60" i="86" s="1"/>
  <c r="F64" i="86" s="1"/>
  <c r="K23" i="86" s="1"/>
  <c r="I57" i="74"/>
  <c r="J52" i="74"/>
  <c r="J759" i="103" s="1"/>
  <c r="F75" i="82"/>
  <c r="F76" i="82" s="1"/>
  <c r="B88" i="74"/>
  <c r="B79" i="74"/>
  <c r="B80" i="74"/>
  <c r="B787" i="103" s="1"/>
  <c r="C78" i="74"/>
  <c r="B85" i="74"/>
  <c r="B87" i="74"/>
  <c r="B794" i="103" s="1"/>
  <c r="H64" i="82"/>
  <c r="H65" i="74"/>
  <c r="H53" i="86"/>
  <c r="G66" i="82"/>
  <c r="G71" i="82"/>
  <c r="G74" i="82" s="1"/>
  <c r="K49" i="74"/>
  <c r="K756" i="103" s="1"/>
  <c r="C95" i="74"/>
  <c r="C802" i="103" s="1"/>
  <c r="H50" i="86" l="1"/>
  <c r="L70" i="85"/>
  <c r="L100" i="85"/>
  <c r="K78" i="82"/>
  <c r="J761" i="103"/>
  <c r="J778" i="103" s="1"/>
  <c r="J71" i="74"/>
  <c r="E751" i="103"/>
  <c r="F32" i="74"/>
  <c r="K54" i="74"/>
  <c r="B786" i="103"/>
  <c r="H772" i="103"/>
  <c r="H773" i="103"/>
  <c r="H777" i="103"/>
  <c r="F9" i="86"/>
  <c r="F17" i="86" s="1"/>
  <c r="F18" i="86" s="1"/>
  <c r="F20" i="86" s="1"/>
  <c r="F24" i="86" s="1"/>
  <c r="K9" i="86" s="1"/>
  <c r="S24" i="74"/>
  <c r="I764" i="103"/>
  <c r="C90" i="74"/>
  <c r="B810" i="103"/>
  <c r="B30" i="87"/>
  <c r="B797" i="103"/>
  <c r="B792" i="103"/>
  <c r="I66" i="74"/>
  <c r="I67" i="74"/>
  <c r="I70" i="74"/>
  <c r="J774" i="103"/>
  <c r="J780" i="103"/>
  <c r="K73" i="74"/>
  <c r="H51" i="86" s="1"/>
  <c r="C86" i="90"/>
  <c r="F61" i="89"/>
  <c r="I65" i="74"/>
  <c r="J57" i="74"/>
  <c r="I64" i="82"/>
  <c r="I66" i="82" s="1"/>
  <c r="K52" i="74"/>
  <c r="K759" i="103" s="1"/>
  <c r="B81" i="74"/>
  <c r="B788" i="103" s="1"/>
  <c r="D95" i="74"/>
  <c r="D802" i="103" s="1"/>
  <c r="H66" i="82"/>
  <c r="H71" i="82"/>
  <c r="H74" i="82" s="1"/>
  <c r="C79" i="74"/>
  <c r="D78" i="74"/>
  <c r="C88" i="74"/>
  <c r="C80" i="74"/>
  <c r="C787" i="103" s="1"/>
  <c r="C85" i="74"/>
  <c r="C87" i="74"/>
  <c r="C794" i="103" s="1"/>
  <c r="G75" i="82"/>
  <c r="G76" i="82" s="1"/>
  <c r="H57" i="86" l="1"/>
  <c r="H58" i="86" s="1"/>
  <c r="H60" i="86" s="1"/>
  <c r="H64" i="86" s="1"/>
  <c r="K25" i="86" s="1"/>
  <c r="I777" i="103"/>
  <c r="I772" i="103"/>
  <c r="I773" i="103"/>
  <c r="K761" i="103"/>
  <c r="K778" i="103" s="1"/>
  <c r="K71" i="74"/>
  <c r="C786" i="103"/>
  <c r="F44" i="74"/>
  <c r="F33" i="74"/>
  <c r="F739" i="103"/>
  <c r="F740" i="103" s="1"/>
  <c r="G14" i="86"/>
  <c r="R25" i="74"/>
  <c r="B86" i="74"/>
  <c r="J764" i="103"/>
  <c r="D90" i="74"/>
  <c r="C797" i="103"/>
  <c r="B31" i="87"/>
  <c r="C792" i="103"/>
  <c r="J66" i="74"/>
  <c r="J67" i="74"/>
  <c r="J70" i="74"/>
  <c r="K774" i="103"/>
  <c r="K780" i="103"/>
  <c r="B104" i="74"/>
  <c r="O8" i="86"/>
  <c r="O14" i="86" s="1"/>
  <c r="O33" i="86" s="1"/>
  <c r="H63" i="86" s="1"/>
  <c r="I71" i="82"/>
  <c r="I74" i="82" s="1"/>
  <c r="I75" i="82" s="1"/>
  <c r="I76" i="82" s="1"/>
  <c r="J65" i="74"/>
  <c r="J64" i="82"/>
  <c r="J66" i="82" s="1"/>
  <c r="E78" i="74"/>
  <c r="D79" i="74"/>
  <c r="D80" i="74"/>
  <c r="D787" i="103" s="1"/>
  <c r="D88" i="74"/>
  <c r="D85" i="74"/>
  <c r="D87" i="74"/>
  <c r="D794" i="103" s="1"/>
  <c r="C81" i="74"/>
  <c r="C788" i="103" s="1"/>
  <c r="E95" i="74"/>
  <c r="E802" i="103" s="1"/>
  <c r="B84" i="74"/>
  <c r="B791" i="103" s="1"/>
  <c r="H75" i="82"/>
  <c r="H76" i="82" s="1"/>
  <c r="K57" i="74"/>
  <c r="D786" i="103" l="1"/>
  <c r="C86" i="74"/>
  <c r="G32" i="74"/>
  <c r="F751" i="103"/>
  <c r="K764" i="103"/>
  <c r="B793" i="103"/>
  <c r="B809" i="103" s="1"/>
  <c r="B102" i="74"/>
  <c r="J777" i="103"/>
  <c r="J772" i="103"/>
  <c r="J773" i="103"/>
  <c r="G9" i="86"/>
  <c r="G17" i="86" s="1"/>
  <c r="G18" i="86" s="1"/>
  <c r="G20" i="86" s="1"/>
  <c r="G24" i="86" s="1"/>
  <c r="K10" i="86" s="1"/>
  <c r="S25" i="74"/>
  <c r="C810" i="103"/>
  <c r="E90" i="74"/>
  <c r="D797" i="103"/>
  <c r="B32" i="87"/>
  <c r="D792" i="103"/>
  <c r="K66" i="74"/>
  <c r="K67" i="74"/>
  <c r="K70" i="74"/>
  <c r="B805" i="103"/>
  <c r="B811" i="103"/>
  <c r="C104" i="74"/>
  <c r="J71" i="82"/>
  <c r="J74" i="82" s="1"/>
  <c r="J75" i="82" s="1"/>
  <c r="J76" i="82" s="1"/>
  <c r="C84" i="74"/>
  <c r="C791" i="103" s="1"/>
  <c r="F95" i="74"/>
  <c r="F802" i="103" s="1"/>
  <c r="K65" i="74"/>
  <c r="K64" i="82"/>
  <c r="D81" i="74"/>
  <c r="D788" i="103" s="1"/>
  <c r="F78" i="74"/>
  <c r="E88" i="74"/>
  <c r="E79" i="74"/>
  <c r="E80" i="74"/>
  <c r="E787" i="103" s="1"/>
  <c r="E85" i="74"/>
  <c r="E87" i="74"/>
  <c r="E794" i="103" s="1"/>
  <c r="B89" i="74"/>
  <c r="K773" i="103" l="1"/>
  <c r="K777" i="103"/>
  <c r="K772" i="103"/>
  <c r="C793" i="103"/>
  <c r="C809" i="103" s="1"/>
  <c r="C102" i="74"/>
  <c r="B796" i="103"/>
  <c r="D86" i="74"/>
  <c r="E786" i="103"/>
  <c r="G739" i="103"/>
  <c r="G740" i="103" s="1"/>
  <c r="G44" i="74"/>
  <c r="H14" i="86"/>
  <c r="G33" i="74"/>
  <c r="R26" i="74"/>
  <c r="F90" i="74"/>
  <c r="B33" i="87"/>
  <c r="E797" i="103"/>
  <c r="D810" i="103"/>
  <c r="E792" i="103"/>
  <c r="B97" i="74"/>
  <c r="B101" i="74"/>
  <c r="B98" i="74"/>
  <c r="C805" i="103"/>
  <c r="C811" i="103"/>
  <c r="D104" i="74"/>
  <c r="B96" i="74"/>
  <c r="C89" i="74"/>
  <c r="D84" i="74"/>
  <c r="D791" i="103" s="1"/>
  <c r="E81" i="74"/>
  <c r="E788" i="103" s="1"/>
  <c r="K71" i="82"/>
  <c r="K74" i="82" s="1"/>
  <c r="K66" i="82"/>
  <c r="F88" i="74"/>
  <c r="G78" i="74"/>
  <c r="F80" i="74"/>
  <c r="F787" i="103" s="1"/>
  <c r="F79" i="74"/>
  <c r="F85" i="74"/>
  <c r="F87" i="74"/>
  <c r="F794" i="103" s="1"/>
  <c r="G95" i="74"/>
  <c r="G802" i="103" s="1"/>
  <c r="F786" i="103" l="1"/>
  <c r="H9" i="86"/>
  <c r="H17" i="86" s="1"/>
  <c r="H18" i="86" s="1"/>
  <c r="H20" i="86" s="1"/>
  <c r="H24" i="86" s="1"/>
  <c r="K11" i="86" s="1"/>
  <c r="S26" i="74"/>
  <c r="E86" i="74"/>
  <c r="C796" i="103"/>
  <c r="B804" i="103"/>
  <c r="B803" i="103"/>
  <c r="B808" i="103"/>
  <c r="G751" i="103"/>
  <c r="H32" i="74"/>
  <c r="D793" i="103"/>
  <c r="D809" i="103" s="1"/>
  <c r="D102" i="74"/>
  <c r="E810" i="103"/>
  <c r="G90" i="74"/>
  <c r="B34" i="87"/>
  <c r="F797" i="103"/>
  <c r="F792" i="103"/>
  <c r="C97" i="74"/>
  <c r="C101" i="74"/>
  <c r="C98" i="74"/>
  <c r="D805" i="103"/>
  <c r="D811" i="103"/>
  <c r="E104" i="74"/>
  <c r="C96" i="74"/>
  <c r="E84" i="74"/>
  <c r="E791" i="103" s="1"/>
  <c r="G79" i="74"/>
  <c r="G88" i="74"/>
  <c r="G80" i="74"/>
  <c r="G787" i="103" s="1"/>
  <c r="H78" i="74"/>
  <c r="G85" i="74"/>
  <c r="G87" i="74"/>
  <c r="G794" i="103" s="1"/>
  <c r="K75" i="82"/>
  <c r="K76" i="82" s="1"/>
  <c r="H95" i="74"/>
  <c r="H802" i="103" s="1"/>
  <c r="F81" i="74"/>
  <c r="F788" i="103" s="1"/>
  <c r="D89" i="74"/>
  <c r="D796" i="103" l="1"/>
  <c r="D803" i="103" s="1"/>
  <c r="G786" i="103"/>
  <c r="C803" i="103"/>
  <c r="C804" i="103"/>
  <c r="C808" i="103"/>
  <c r="H33" i="74"/>
  <c r="I14" i="86"/>
  <c r="H44" i="74"/>
  <c r="H739" i="103"/>
  <c r="H740" i="103" s="1"/>
  <c r="R27" i="74"/>
  <c r="E793" i="103"/>
  <c r="E809" i="103" s="1"/>
  <c r="E102" i="74"/>
  <c r="F86" i="74"/>
  <c r="H90" i="74"/>
  <c r="G797" i="103"/>
  <c r="B35" i="87"/>
  <c r="F810" i="103"/>
  <c r="G792" i="103"/>
  <c r="D97" i="74"/>
  <c r="D98" i="74"/>
  <c r="D101" i="74"/>
  <c r="E805" i="103"/>
  <c r="E811" i="103"/>
  <c r="F104" i="74"/>
  <c r="D96" i="74"/>
  <c r="E89" i="74"/>
  <c r="F84" i="74"/>
  <c r="F791" i="103" s="1"/>
  <c r="H88" i="74"/>
  <c r="H80" i="74"/>
  <c r="H787" i="103" s="1"/>
  <c r="H79" i="74"/>
  <c r="I78" i="74"/>
  <c r="H85" i="74"/>
  <c r="H87" i="74"/>
  <c r="H794" i="103" s="1"/>
  <c r="G81" i="74"/>
  <c r="G788" i="103" s="1"/>
  <c r="I95" i="74"/>
  <c r="I802" i="103" s="1"/>
  <c r="D808" i="103" l="1"/>
  <c r="D804" i="103"/>
  <c r="H751" i="103"/>
  <c r="I32" i="74"/>
  <c r="E796" i="103"/>
  <c r="G86" i="74"/>
  <c r="H786" i="103"/>
  <c r="F793" i="103"/>
  <c r="F809" i="103" s="1"/>
  <c r="F102" i="74"/>
  <c r="I9" i="86"/>
  <c r="I17" i="86" s="1"/>
  <c r="I18" i="86" s="1"/>
  <c r="I20" i="86" s="1"/>
  <c r="I24" i="86" s="1"/>
  <c r="K12" i="86" s="1"/>
  <c r="S27" i="74"/>
  <c r="G810" i="103"/>
  <c r="I90" i="74"/>
  <c r="H797" i="103"/>
  <c r="B36" i="87"/>
  <c r="H792" i="103"/>
  <c r="E97" i="74"/>
  <c r="E101" i="74"/>
  <c r="E98" i="74"/>
  <c r="F805" i="103"/>
  <c r="F811" i="103"/>
  <c r="G104" i="74"/>
  <c r="E96" i="74"/>
  <c r="F89" i="74"/>
  <c r="G84" i="74"/>
  <c r="G791" i="103" s="1"/>
  <c r="I88" i="74"/>
  <c r="I79" i="74"/>
  <c r="J78" i="74"/>
  <c r="I80" i="74"/>
  <c r="I787" i="103" s="1"/>
  <c r="I85" i="74"/>
  <c r="I87" i="74"/>
  <c r="I794" i="103" s="1"/>
  <c r="H81" i="74"/>
  <c r="H788" i="103" s="1"/>
  <c r="J95" i="74"/>
  <c r="J802" i="103" s="1"/>
  <c r="F796" i="103" l="1"/>
  <c r="F804" i="103" s="1"/>
  <c r="E803" i="103"/>
  <c r="E804" i="103"/>
  <c r="E808" i="103"/>
  <c r="G793" i="103"/>
  <c r="G809" i="103" s="1"/>
  <c r="G102" i="74"/>
  <c r="I786" i="103"/>
  <c r="H86" i="74"/>
  <c r="I739" i="103"/>
  <c r="I740" i="103" s="1"/>
  <c r="I33" i="74"/>
  <c r="I44" i="74"/>
  <c r="C34" i="86"/>
  <c r="R28" i="74"/>
  <c r="J90" i="74"/>
  <c r="B37" i="87"/>
  <c r="I797" i="103"/>
  <c r="H810" i="103"/>
  <c r="I792" i="103"/>
  <c r="F97" i="74"/>
  <c r="F98" i="74"/>
  <c r="F101" i="74"/>
  <c r="G805" i="103"/>
  <c r="G811" i="103"/>
  <c r="H104" i="74"/>
  <c r="F96" i="74"/>
  <c r="J80" i="74"/>
  <c r="J787" i="103" s="1"/>
  <c r="K78" i="74"/>
  <c r="J79" i="74"/>
  <c r="J88" i="74"/>
  <c r="J85" i="74"/>
  <c r="J87" i="74"/>
  <c r="J794" i="103" s="1"/>
  <c r="I81" i="74"/>
  <c r="I788" i="103" s="1"/>
  <c r="K95" i="74"/>
  <c r="K802" i="103" s="1"/>
  <c r="G89" i="74"/>
  <c r="H84" i="74"/>
  <c r="H791" i="103" s="1"/>
  <c r="F808" i="103" l="1"/>
  <c r="F803" i="103"/>
  <c r="G796" i="103"/>
  <c r="G804" i="103" s="1"/>
  <c r="C29" i="86"/>
  <c r="C37" i="86" s="1"/>
  <c r="C38" i="86" s="1"/>
  <c r="C40" i="86" s="1"/>
  <c r="C44" i="86" s="1"/>
  <c r="K13" i="86" s="1"/>
  <c r="S28" i="74"/>
  <c r="J786" i="103"/>
  <c r="H793" i="103"/>
  <c r="H809" i="103" s="1"/>
  <c r="H102" i="74"/>
  <c r="H796" i="103"/>
  <c r="H804" i="103" s="1"/>
  <c r="I751" i="103"/>
  <c r="J32" i="74"/>
  <c r="I86" i="74"/>
  <c r="I810" i="103"/>
  <c r="K90" i="74"/>
  <c r="J797" i="103"/>
  <c r="B38" i="87"/>
  <c r="J792" i="103"/>
  <c r="G97" i="74"/>
  <c r="G101" i="74"/>
  <c r="G98" i="74"/>
  <c r="H805" i="103"/>
  <c r="H811" i="103"/>
  <c r="I104" i="74"/>
  <c r="G96" i="74"/>
  <c r="H89" i="74"/>
  <c r="J81" i="74"/>
  <c r="J788" i="103" s="1"/>
  <c r="B125" i="74"/>
  <c r="B832" i="103" s="1"/>
  <c r="K80" i="74"/>
  <c r="K787" i="103" s="1"/>
  <c r="B108" i="74"/>
  <c r="K88" i="74"/>
  <c r="K79" i="74"/>
  <c r="K85" i="74"/>
  <c r="K87" i="74"/>
  <c r="K794" i="103" s="1"/>
  <c r="I84" i="74"/>
  <c r="I791" i="103" s="1"/>
  <c r="G808" i="103" l="1"/>
  <c r="G803" i="103"/>
  <c r="H803" i="103"/>
  <c r="H808" i="103"/>
  <c r="D34" i="86"/>
  <c r="J33" i="74"/>
  <c r="J739" i="103"/>
  <c r="J740" i="103" s="1"/>
  <c r="J44" i="74"/>
  <c r="R29" i="74"/>
  <c r="K786" i="103"/>
  <c r="I793" i="103"/>
  <c r="I809" i="103" s="1"/>
  <c r="I102" i="74"/>
  <c r="J86" i="74"/>
  <c r="K797" i="103"/>
  <c r="B39" i="87"/>
  <c r="J810" i="103"/>
  <c r="K792" i="103"/>
  <c r="H97" i="74"/>
  <c r="H101" i="74"/>
  <c r="H98" i="74"/>
  <c r="I805" i="103"/>
  <c r="I811" i="103"/>
  <c r="J104" i="74"/>
  <c r="H96" i="74"/>
  <c r="J84" i="74"/>
  <c r="J791" i="103" s="1"/>
  <c r="K81" i="74"/>
  <c r="K788" i="103" s="1"/>
  <c r="C125" i="74"/>
  <c r="C832" i="103" s="1"/>
  <c r="I89" i="74"/>
  <c r="B109" i="74"/>
  <c r="C108" i="74"/>
  <c r="B110" i="74"/>
  <c r="B817" i="103" s="1"/>
  <c r="B118" i="74"/>
  <c r="B115" i="74"/>
  <c r="B117" i="74"/>
  <c r="B824" i="103" s="1"/>
  <c r="I796" i="103" l="1"/>
  <c r="K86" i="74"/>
  <c r="K32" i="74"/>
  <c r="J751" i="103"/>
  <c r="B816" i="103"/>
  <c r="D29" i="86"/>
  <c r="D37" i="86" s="1"/>
  <c r="D38" i="86" s="1"/>
  <c r="D40" i="86" s="1"/>
  <c r="D44" i="86" s="1"/>
  <c r="K14" i="86" s="1"/>
  <c r="S29" i="74"/>
  <c r="J793" i="103"/>
  <c r="J809" i="103" s="1"/>
  <c r="J102" i="74"/>
  <c r="K810" i="103"/>
  <c r="B822" i="103"/>
  <c r="J805" i="103"/>
  <c r="I97" i="74"/>
  <c r="I98" i="74"/>
  <c r="I101" i="74"/>
  <c r="J811" i="103"/>
  <c r="K104" i="74"/>
  <c r="I96" i="74"/>
  <c r="J89" i="74"/>
  <c r="K84" i="74"/>
  <c r="K791" i="103" s="1"/>
  <c r="D108" i="74"/>
  <c r="C109" i="74"/>
  <c r="C118" i="74"/>
  <c r="C110" i="74"/>
  <c r="C817" i="103" s="1"/>
  <c r="C115" i="74"/>
  <c r="C117" i="74"/>
  <c r="C824" i="103" s="1"/>
  <c r="D125" i="74"/>
  <c r="D832" i="103" s="1"/>
  <c r="B111" i="74"/>
  <c r="B818" i="103" s="1"/>
  <c r="I804" i="103" l="1"/>
  <c r="I803" i="103"/>
  <c r="I808" i="103"/>
  <c r="E34" i="86"/>
  <c r="K33" i="74"/>
  <c r="K739" i="103"/>
  <c r="K740" i="103" s="1"/>
  <c r="K44" i="74"/>
  <c r="R30" i="74"/>
  <c r="B116" i="74"/>
  <c r="C816" i="103"/>
  <c r="J796" i="103"/>
  <c r="K793" i="103"/>
  <c r="K809" i="103" s="1"/>
  <c r="K102" i="74"/>
  <c r="B840" i="103"/>
  <c r="C822" i="103"/>
  <c r="J98" i="74"/>
  <c r="J101" i="74"/>
  <c r="J97" i="74"/>
  <c r="K805" i="103"/>
  <c r="K811" i="103"/>
  <c r="B134" i="74"/>
  <c r="K89" i="74"/>
  <c r="J96" i="74"/>
  <c r="B114" i="74"/>
  <c r="B821" i="103" s="1"/>
  <c r="C111" i="74"/>
  <c r="C818" i="103" s="1"/>
  <c r="E125" i="74"/>
  <c r="E832" i="103" s="1"/>
  <c r="D118" i="74"/>
  <c r="D109" i="74"/>
  <c r="E108" i="74"/>
  <c r="D110" i="74"/>
  <c r="D817" i="103" s="1"/>
  <c r="D115" i="74"/>
  <c r="D117" i="74"/>
  <c r="D824" i="103" s="1"/>
  <c r="K796" i="103" l="1"/>
  <c r="K808" i="103" s="1"/>
  <c r="B823" i="103"/>
  <c r="B839" i="103" s="1"/>
  <c r="B132" i="74"/>
  <c r="D816" i="103"/>
  <c r="J803" i="103"/>
  <c r="J804" i="103"/>
  <c r="J808" i="103"/>
  <c r="C116" i="74"/>
  <c r="E29" i="86"/>
  <c r="E37" i="86" s="1"/>
  <c r="E38" i="86" s="1"/>
  <c r="E40" i="86" s="1"/>
  <c r="E44" i="86" s="1"/>
  <c r="K15" i="86" s="1"/>
  <c r="S30" i="74"/>
  <c r="K751" i="103"/>
  <c r="B64" i="74"/>
  <c r="C840" i="103"/>
  <c r="D822" i="103"/>
  <c r="K98" i="74"/>
  <c r="K101" i="74"/>
  <c r="K97" i="74"/>
  <c r="B835" i="103"/>
  <c r="B841" i="103"/>
  <c r="C134" i="74"/>
  <c r="K96" i="74"/>
  <c r="B119" i="74"/>
  <c r="C114" i="74"/>
  <c r="C821" i="103" s="1"/>
  <c r="F125" i="74"/>
  <c r="F832" i="103" s="1"/>
  <c r="F108" i="74"/>
  <c r="E109" i="74"/>
  <c r="E118" i="74"/>
  <c r="E110" i="74"/>
  <c r="E817" i="103" s="1"/>
  <c r="E115" i="74"/>
  <c r="E117" i="74"/>
  <c r="E824" i="103" s="1"/>
  <c r="D111" i="74"/>
  <c r="D818" i="103" s="1"/>
  <c r="K803" i="103" l="1"/>
  <c r="K804" i="103"/>
  <c r="B826" i="103"/>
  <c r="B838" i="103" s="1"/>
  <c r="E816" i="103"/>
  <c r="B65" i="74"/>
  <c r="F34" i="86"/>
  <c r="B76" i="74"/>
  <c r="B771" i="103"/>
  <c r="B772" i="103" s="1"/>
  <c r="R31" i="74"/>
  <c r="D116" i="74"/>
  <c r="C823" i="103"/>
  <c r="C839" i="103" s="1"/>
  <c r="C132" i="74"/>
  <c r="D840" i="103"/>
  <c r="E822" i="103"/>
  <c r="B127" i="74"/>
  <c r="B128" i="74"/>
  <c r="B131" i="74"/>
  <c r="C835" i="103"/>
  <c r="C841" i="103"/>
  <c r="D134" i="74"/>
  <c r="B126" i="74"/>
  <c r="C119" i="74"/>
  <c r="E111" i="74"/>
  <c r="E818" i="103" s="1"/>
  <c r="F118" i="74"/>
  <c r="F110" i="74"/>
  <c r="F817" i="103" s="1"/>
  <c r="F109" i="74"/>
  <c r="F115" i="74"/>
  <c r="F117" i="74"/>
  <c r="F824" i="103" s="1"/>
  <c r="D114" i="74"/>
  <c r="D821" i="103" s="1"/>
  <c r="B834" i="103" l="1"/>
  <c r="B833" i="103"/>
  <c r="D823" i="103"/>
  <c r="D839" i="103" s="1"/>
  <c r="D132" i="74"/>
  <c r="C826" i="103"/>
  <c r="C64" i="74"/>
  <c r="B783" i="103"/>
  <c r="E116" i="74"/>
  <c r="F816" i="103"/>
  <c r="F29" i="86"/>
  <c r="F37" i="86" s="1"/>
  <c r="F38" i="86" s="1"/>
  <c r="F40" i="86" s="1"/>
  <c r="F44" i="86" s="1"/>
  <c r="K16" i="86" s="1"/>
  <c r="S31" i="74"/>
  <c r="F840" i="103"/>
  <c r="E840" i="103"/>
  <c r="F822" i="103"/>
  <c r="C127" i="74"/>
  <c r="C128" i="74"/>
  <c r="C131" i="74"/>
  <c r="D835" i="103"/>
  <c r="D841" i="103"/>
  <c r="E134" i="74"/>
  <c r="C126" i="74"/>
  <c r="E114" i="74"/>
  <c r="E821" i="103" s="1"/>
  <c r="F111" i="74"/>
  <c r="F818" i="103" s="1"/>
  <c r="D119" i="74"/>
  <c r="D826" i="103" l="1"/>
  <c r="E823" i="103"/>
  <c r="E839" i="103" s="1"/>
  <c r="E132" i="74"/>
  <c r="C838" i="103"/>
  <c r="C834" i="103"/>
  <c r="C833" i="103"/>
  <c r="F116" i="74"/>
  <c r="C771" i="103"/>
  <c r="C772" i="103" s="1"/>
  <c r="G34" i="86"/>
  <c r="C65" i="74"/>
  <c r="C76" i="74"/>
  <c r="R32" i="74"/>
  <c r="E835" i="103"/>
  <c r="D127" i="74"/>
  <c r="D128" i="74"/>
  <c r="D131" i="74"/>
  <c r="E841" i="103"/>
  <c r="F134" i="74"/>
  <c r="F841" i="103" s="1"/>
  <c r="D126" i="74"/>
  <c r="E119" i="74"/>
  <c r="F114" i="74"/>
  <c r="F821" i="103" s="1"/>
  <c r="D834" i="103" l="1"/>
  <c r="D838" i="103"/>
  <c r="D833" i="103"/>
  <c r="F823" i="103"/>
  <c r="F839" i="103" s="1"/>
  <c r="F132" i="74"/>
  <c r="G29" i="86"/>
  <c r="G37" i="86" s="1"/>
  <c r="G38" i="86" s="1"/>
  <c r="G40" i="86" s="1"/>
  <c r="G44" i="86" s="1"/>
  <c r="K17" i="86" s="1"/>
  <c r="S32" i="74"/>
  <c r="D64" i="74"/>
  <c r="C783" i="103"/>
  <c r="E826" i="103"/>
  <c r="E128" i="74"/>
  <c r="E131" i="74"/>
  <c r="E127" i="74"/>
  <c r="F835" i="103"/>
  <c r="E126" i="74"/>
  <c r="F119" i="74"/>
  <c r="F826" i="103" l="1"/>
  <c r="F834" i="103" s="1"/>
  <c r="D76" i="74"/>
  <c r="D65" i="74"/>
  <c r="D771" i="103"/>
  <c r="D772" i="103" s="1"/>
  <c r="H34" i="86"/>
  <c r="R33" i="74"/>
  <c r="E834" i="103"/>
  <c r="E838" i="103"/>
  <c r="E833" i="103"/>
  <c r="F127" i="74"/>
  <c r="F128" i="74"/>
  <c r="F131" i="74"/>
  <c r="F126" i="74"/>
  <c r="F833" i="103" l="1"/>
  <c r="F838" i="103"/>
  <c r="H29" i="86"/>
  <c r="H37" i="86" s="1"/>
  <c r="H38" i="86" s="1"/>
  <c r="H40" i="86" s="1"/>
  <c r="H44" i="86" s="1"/>
  <c r="K18" i="86" s="1"/>
  <c r="S33" i="74"/>
  <c r="D783" i="103"/>
  <c r="E64" i="74"/>
  <c r="E15" i="72"/>
  <c r="E76" i="74" l="1"/>
  <c r="I34" i="86"/>
  <c r="E65" i="74"/>
  <c r="E771" i="103"/>
  <c r="E772" i="103" s="1"/>
  <c r="R34" i="74"/>
  <c r="E20" i="72"/>
  <c r="I29" i="86" l="1"/>
  <c r="I37" i="86" s="1"/>
  <c r="I38" i="86" s="1"/>
  <c r="I40" i="86" s="1"/>
  <c r="I44" i="86" s="1"/>
  <c r="K19" i="86" s="1"/>
  <c r="S34" i="74"/>
  <c r="F64" i="74"/>
  <c r="E783" i="103"/>
  <c r="E21" i="72"/>
  <c r="F771" i="103" l="1"/>
  <c r="F772" i="103" s="1"/>
  <c r="C54" i="86"/>
  <c r="F65" i="74"/>
  <c r="F76" i="74"/>
  <c r="R35" i="74"/>
  <c r="I47" i="68" s="1"/>
  <c r="E16" i="72"/>
  <c r="P233" i="72"/>
  <c r="P442" i="72" s="1"/>
  <c r="I90" i="103" l="1"/>
  <c r="F783" i="103"/>
  <c r="G64" i="74"/>
  <c r="C49" i="86"/>
  <c r="C57" i="86" s="1"/>
  <c r="C58" i="86" s="1"/>
  <c r="C60" i="86" s="1"/>
  <c r="C64" i="86" s="1"/>
  <c r="K20" i="86" s="1"/>
  <c r="S35" i="74"/>
  <c r="F47" i="68" s="1"/>
  <c r="O6" i="72"/>
  <c r="L233" i="72"/>
  <c r="L191" i="72"/>
  <c r="AE45" i="72"/>
  <c r="AE63" i="72" s="1"/>
  <c r="AD45" i="72"/>
  <c r="AD63" i="72" s="1"/>
  <c r="Y45" i="72"/>
  <c r="Y63" i="72" s="1"/>
  <c r="X45" i="72"/>
  <c r="X63" i="72" s="1"/>
  <c r="P6" i="72"/>
  <c r="E19" i="72"/>
  <c r="G771" i="103" l="1"/>
  <c r="G772" i="103" s="1"/>
  <c r="G65" i="74"/>
  <c r="D54" i="86"/>
  <c r="D57" i="86" s="1"/>
  <c r="D58" i="86" s="1"/>
  <c r="D60" i="86" s="1"/>
  <c r="D64" i="86" s="1"/>
  <c r="K21" i="86" s="1"/>
  <c r="G76" i="74"/>
  <c r="G783" i="103" s="1"/>
  <c r="R38" i="74"/>
  <c r="R37" i="74"/>
  <c r="R39" i="74"/>
  <c r="R40" i="74"/>
  <c r="R36" i="74"/>
  <c r="L47" i="68"/>
  <c r="F90" i="103"/>
  <c r="L90" i="103" l="1"/>
  <c r="F85" i="92"/>
  <c r="F89" i="92" s="1"/>
  <c r="F105" i="92" s="1"/>
  <c r="S38" i="74"/>
  <c r="S40" i="74"/>
  <c r="S36" i="74"/>
  <c r="S37" i="74"/>
  <c r="S39"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<sst xmlns="http://schemas.openxmlformats.org/spreadsheetml/2006/main" count="19322" uniqueCount="7119">
  <si>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</si>
  <si>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</si>
  <si>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</si>
  <si>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</si>
  <si>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</si>
  <si>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</si>
  <si>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</si>
  <si>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</si>
  <si>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</si>
  <si>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</si>
  <si>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</si>
  <si>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</si>
  <si>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</si>
  <si>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</si>
  <si>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</si>
  <si>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</si>
  <si>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</si>
  <si>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</si>
  <si>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</si>
  <si>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</si>
  <si>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</si>
  <si>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</si>
  <si>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</si>
  <si>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</si>
  <si>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</si>
  <si>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</si>
  <si>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</si>
  <si>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</si>
  <si>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</si>
  <si>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</si>
  <si>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</si>
  <si>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</si>
  <si>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</si>
  <si>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</si>
  <si>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</si>
  <si>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</si>
  <si>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</si>
  <si>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</si>
  <si>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</si>
  <si>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</si>
  <si>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</si>
  <si>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</si>
  <si>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</si>
  <si>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</si>
  <si>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</si>
  <si>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</si>
  <si>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</si>
  <si>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</si>
  <si>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</si>
  <si>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</si>
  <si>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</si>
  <si>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</si>
  <si>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</si>
  <si>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</si>
  <si>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</si>
  <si>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</si>
  <si>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</si>
  <si>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</si>
  <si>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</si>
  <si>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</si>
  <si>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</si>
  <si>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</si>
  <si>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</si>
  <si>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</si>
  <si>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</si>
  <si>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</si>
  <si>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</si>
  <si>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</si>
  <si>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</si>
  <si>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</si>
  <si>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</si>
  <si>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</si>
  <si>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</si>
  <si>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</si>
  <si>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</si>
  <si>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</si>
  <si>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</si>
  <si>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</si>
  <si>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</si>
  <si>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</si>
  <si>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</si>
  <si>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</si>
  <si>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</si>
  <si>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</si>
  <si>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</si>
  <si>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</si>
  <si>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</si>
  <si>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</si>
  <si>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</si>
  <si>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</si>
  <si>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</si>
  <si>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</si>
  <si>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</si>
  <si>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</si>
  <si>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</si>
  <si>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</si>
  <si>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</si>
  <si>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</si>
  <si>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</si>
  <si>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</si>
  <si>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</si>
  <si>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</si>
  <si>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</si>
  <si>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</si>
  <si>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</si>
  <si>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</si>
  <si>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</si>
  <si>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</si>
  <si>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</si>
  <si>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</si>
  <si>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</si>
  <si>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</si>
  <si>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</si>
  <si>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</si>
  <si>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</si>
  <si>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</si>
  <si>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</si>
  <si>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</si>
  <si>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</si>
  <si>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</si>
  <si>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</si>
  <si>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</si>
  <si>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</si>
  <si>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</si>
  <si>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</si>
  <si>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</si>
  <si>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</si>
  <si>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</si>
  <si>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</si>
  <si>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</si>
  <si>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</si>
  <si>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</si>
  <si>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</si>
  <si>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</si>
  <si>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</si>
  <si>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</si>
  <si>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</si>
  <si>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</si>
  <si>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</si>
  <si>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</si>
  <si>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</si>
  <si>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</si>
  <si>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</si>
  <si>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</si>
  <si>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</si>
  <si>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</si>
  <si>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</si>
  <si>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</si>
  <si>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</si>
  <si>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</si>
  <si>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</si>
  <si>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</si>
  <si>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</si>
  <si>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</si>
  <si>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</si>
  <si>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</si>
  <si>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</si>
  <si>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</si>
  <si>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</si>
  <si>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</si>
  <si>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</si>
  <si>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</si>
  <si>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</si>
  <si>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</si>
  <si>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</si>
  <si>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</si>
  <si>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</si>
  <si>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</si>
  <si>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</si>
  <si>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</si>
  <si>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</si>
  <si>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</si>
  <si>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</si>
  <si>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</si>
  <si>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</si>
  <si>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</si>
  <si>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</si>
  <si>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</si>
  <si>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</si>
  <si>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</si>
  <si>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</si>
  <si>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</si>
  <si>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</si>
  <si>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</si>
  <si>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</si>
  <si>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</si>
  <si>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</si>
  <si>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</si>
  <si>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</si>
  <si>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</si>
  <si>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</si>
  <si>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</si>
  <si>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</si>
  <si>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</si>
  <si>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</si>
  <si>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</si>
  <si>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</si>
  <si>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</si>
  <si>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</si>
  <si>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</si>
  <si>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</si>
  <si>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</si>
  <si>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</si>
  <si>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</si>
  <si>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</si>
  <si>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</si>
  <si>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</si>
  <si>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</si>
  <si>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</si>
  <si>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</si>
  <si>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</si>
  <si>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</si>
  <si>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</si>
  <si>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</si>
  <si>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</si>
  <si>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</si>
  <si>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</si>
  <si>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</si>
  <si>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</si>
  <si>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</si>
  <si>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</si>
  <si>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</si>
  <si>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</si>
  <si>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</si>
  <si>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</si>
  <si>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</si>
  <si>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</si>
  <si>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</si>
  <si>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</si>
  <si>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</si>
  <si>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</si>
  <si>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</si>
  <si>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</si>
  <si>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</si>
  <si>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</si>
  <si>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</si>
  <si>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</si>
  <si>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</si>
  <si>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</si>
  <si>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</si>
  <si>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</si>
  <si>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</si>
  <si>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</si>
  <si>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</si>
  <si>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</si>
  <si>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</si>
  <si>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</si>
  <si>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</si>
  <si>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</si>
  <si>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</si>
  <si>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</si>
  <si>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</si>
  <si>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</si>
  <si>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</si>
  <si>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</si>
  <si>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</si>
  <si>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</si>
  <si>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</si>
  <si>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</si>
  <si>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</si>
  <si>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</si>
  <si>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</si>
  <si>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</si>
  <si>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</si>
  <si>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</si>
  <si>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</si>
  <si>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</si>
  <si>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</si>
  <si>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</si>
  <si>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</si>
  <si>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</si>
  <si>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</si>
  <si>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</si>
  <si>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</si>
  <si>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</si>
  <si>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</si>
  <si>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</si>
  <si>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</si>
  <si>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</si>
  <si>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</si>
  <si>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</si>
  <si>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</si>
  <si>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</si>
  <si>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</si>
  <si>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</si>
  <si>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</si>
  <si>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</si>
  <si>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</si>
  <si>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</si>
  <si>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</si>
  <si>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</si>
  <si>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</si>
  <si>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</si>
  <si>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</si>
  <si>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</si>
  <si>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</si>
  <si>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</si>
  <si>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</si>
  <si>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</si>
  <si>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</si>
  <si>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</si>
  <si>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</si>
  <si>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</si>
  <si>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</si>
  <si>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</si>
  <si>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</si>
  <si>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</si>
  <si>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</si>
  <si>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</si>
  <si>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</si>
  <si>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</si>
  <si>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</si>
  <si>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</si>
  <si>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</si>
  <si>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</si>
  <si>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</si>
  <si>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</si>
  <si>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</si>
  <si>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</si>
  <si>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</si>
  <si>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</si>
  <si>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</si>
  <si>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</si>
  <si>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</si>
  <si>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</si>
  <si>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</si>
  <si>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</si>
  <si>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</si>
  <si>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</si>
  <si>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</si>
  <si>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</si>
  <si>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</si>
  <si>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</si>
  <si>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</si>
  <si>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</si>
  <si>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</si>
  <si>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</si>
  <si>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</si>
  <si>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</si>
  <si>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</si>
  <si>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</si>
  <si>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</si>
  <si>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</si>
  <si>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</si>
  <si>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</si>
  <si>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</si>
  <si>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</si>
  <si>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</si>
  <si>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</si>
  <si>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</si>
  <si>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</si>
  <si>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</si>
  <si>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</si>
  <si>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</si>
  <si>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</si>
  <si>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</si>
  <si>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</si>
  <si>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</si>
  <si>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</si>
  <si>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</si>
  <si>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</si>
  <si>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</si>
  <si>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</si>
  <si>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</si>
  <si>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</si>
  <si>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</si>
  <si>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</si>
  <si>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</si>
  <si>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</si>
  <si>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</si>
  <si>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</si>
  <si>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</si>
  <si>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</si>
  <si>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</si>
  <si>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</si>
  <si>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</si>
  <si>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</si>
  <si>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</si>
  <si>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</si>
  <si>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</si>
  <si>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</si>
  <si>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</si>
  <si>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</si>
  <si>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</si>
  <si>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</si>
  <si>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</si>
  <si>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</si>
  <si>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</si>
  <si>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</si>
  <si>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</si>
  <si>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</si>
  <si>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</si>
  <si>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</si>
  <si>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</si>
  <si>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</si>
  <si>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</si>
  <si>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</si>
  <si>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</si>
  <si>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</si>
  <si>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</si>
  <si>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</si>
  <si>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</si>
  <si>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</si>
  <si>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</si>
  <si>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</si>
  <si>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</si>
  <si>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</si>
  <si>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</si>
  <si>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</si>
  <si>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</si>
  <si>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</si>
  <si>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</si>
  <si>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</si>
  <si>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</si>
  <si>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</si>
  <si>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</si>
  <si>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</si>
  <si>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</si>
  <si>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</si>
  <si>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</si>
  <si>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</si>
  <si>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</si>
  <si>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</si>
  <si>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</si>
  <si>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</si>
  <si>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</si>
  <si>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</si>
  <si>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</si>
  <si>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</si>
  <si>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</si>
  <si>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</si>
  <si>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</si>
  <si>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</si>
  <si>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</si>
  <si>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</si>
  <si>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</si>
  <si>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</si>
  <si>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</si>
  <si>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</si>
  <si>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</si>
  <si>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</si>
  <si>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</si>
  <si>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</si>
  <si>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</si>
  <si>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</si>
  <si>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</si>
  <si>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</si>
  <si>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</si>
  <si>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</si>
  <si>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</si>
  <si>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</si>
  <si>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</si>
  <si>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</si>
  <si>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</si>
  <si>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</si>
  <si>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</si>
  <si>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</si>
  <si>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</si>
  <si>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</si>
  <si>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</si>
  <si>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</si>
  <si>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</si>
  <si>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</si>
  <si>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</si>
  <si>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</si>
  <si>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</si>
  <si>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</si>
  <si>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</si>
  <si>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</si>
  <si>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</si>
  <si>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</si>
  <si>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</si>
  <si>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</si>
  <si>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</si>
  <si>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</si>
  <si>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</si>
  <si>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</si>
  <si>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</si>
  <si>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</si>
  <si>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</si>
  <si>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</si>
  <si>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</si>
  <si>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</si>
  <si>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</si>
  <si>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</si>
  <si>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</si>
  <si>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</si>
  <si>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</si>
  <si>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</si>
  <si>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</si>
  <si>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</si>
  <si>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</si>
  <si>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</si>
  <si>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</si>
  <si>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</si>
  <si>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</si>
  <si>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</si>
  <si>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</si>
  <si>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</si>
  <si>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</si>
  <si>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</si>
  <si>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</si>
  <si>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</si>
  <si>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</si>
  <si>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</si>
  <si>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</si>
  <si>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</si>
  <si>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</si>
  <si>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</si>
  <si>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</si>
  <si>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</si>
  <si>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</si>
  <si>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</si>
  <si>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</si>
  <si>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</si>
  <si>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</si>
  <si>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</si>
  <si>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</si>
  <si>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</si>
  <si>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</si>
  <si>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</si>
  <si>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</si>
  <si>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</si>
  <si>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</si>
  <si>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</si>
  <si>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</si>
  <si>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</si>
  <si>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</si>
  <si>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</si>
  <si>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</si>
  <si>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</si>
  <si>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</si>
  <si>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</si>
  <si>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</si>
  <si>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</si>
  <si>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</si>
  <si>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</si>
  <si>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</si>
  <si>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</si>
  <si>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</si>
  <si>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</si>
  <si>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</si>
  <si>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</si>
  <si>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</si>
  <si>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</si>
  <si>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</si>
  <si>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</si>
  <si>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</si>
  <si>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</si>
  <si>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</si>
  <si>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</si>
  <si>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</si>
  <si>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</si>
  <si>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</si>
  <si>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</si>
  <si>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</si>
  <si>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</si>
  <si>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</si>
  <si>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</si>
  <si>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</si>
  <si>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</si>
  <si>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</si>
  <si>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</si>
  <si>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</si>
  <si>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</si>
  <si>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</si>
  <si>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</si>
  <si>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</si>
  <si>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</si>
  <si>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</si>
  <si>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</si>
  <si>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</si>
  <si>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</si>
  <si>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</si>
  <si>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</si>
  <si>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</si>
  <si>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</si>
  <si>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</si>
  <si>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</si>
  <si>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</si>
  <si>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</si>
  <si>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</si>
  <si>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</si>
  <si>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</si>
  <si>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</si>
  <si>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</si>
  <si>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</si>
  <si>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</si>
  <si>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</si>
  <si>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</si>
  <si>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</si>
  <si>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</si>
  <si>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</si>
  <si>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</si>
  <si>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</si>
  <si>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</si>
  <si>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</si>
  <si>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</si>
  <si>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</si>
  <si>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</si>
  <si>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</si>
  <si>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</si>
  <si>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</si>
  <si>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</si>
  <si>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</si>
  <si>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</si>
  <si>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</si>
  <si>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</si>
  <si>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</si>
  <si>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</si>
  <si>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</si>
  <si>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</si>
  <si>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</si>
  <si>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</si>
  <si>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</si>
  <si>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</si>
  <si>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</si>
  <si>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</si>
  <si>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</si>
  <si>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</si>
  <si>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</si>
  <si>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</si>
  <si>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</si>
  <si>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</si>
  <si>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</si>
  <si>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</si>
  <si>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</si>
  <si>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</si>
  <si>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</si>
  <si>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</si>
  <si>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</si>
  <si>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</si>
  <si>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</si>
  <si>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</si>
  <si>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</si>
  <si>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</si>
  <si>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</si>
  <si>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</si>
  <si>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</si>
  <si>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</si>
  <si>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</si>
  <si>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</si>
  <si>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</si>
  <si>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</si>
  <si>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</si>
  <si>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</si>
  <si>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</si>
  <si>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</si>
  <si>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</si>
  <si>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</si>
  <si>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</si>
  <si>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</si>
  <si>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</si>
  <si>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</si>
  <si>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</si>
  <si>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</si>
  <si>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</si>
  <si>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</si>
  <si>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</si>
  <si>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</si>
  <si>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</si>
  <si>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</si>
  <si>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</si>
  <si>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</si>
  <si>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</si>
  <si>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</si>
  <si>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</si>
  <si>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</si>
  <si>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</si>
  <si>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</si>
  <si>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</si>
  <si>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</si>
  <si>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</si>
  <si>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</si>
  <si>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</si>
  <si>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</si>
  <si>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</si>
  <si>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</si>
  <si>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</si>
  <si>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</si>
  <si>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</si>
  <si>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</si>
  <si>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</si>
  <si>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</si>
  <si>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</si>
  <si>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</si>
  <si>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</si>
  <si>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</si>
  <si>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</si>
  <si>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</si>
  <si>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</si>
  <si>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</si>
  <si>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</si>
  <si>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</si>
  <si>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</si>
  <si>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</si>
  <si>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</si>
  <si>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</si>
  <si>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</si>
  <si>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</si>
  <si>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</si>
  <si>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</si>
  <si>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</si>
  <si>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</si>
  <si>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</si>
  <si>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</si>
  <si>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</si>
  <si>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</si>
  <si>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</si>
  <si>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</si>
  <si>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</si>
  <si>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</si>
  <si>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</si>
  <si>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</si>
  <si>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</si>
  <si>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</si>
  <si>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</si>
  <si>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</si>
  <si>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</si>
  <si>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</si>
  <si>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</si>
  <si>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</si>
  <si>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</si>
  <si>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</si>
  <si>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</si>
  <si>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</si>
  <si>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</si>
  <si>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</si>
  <si>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</si>
  <si>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</si>
  <si>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</si>
  <si>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</si>
  <si>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</si>
  <si>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</si>
  <si>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</si>
  <si>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</si>
  <si>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</si>
  <si>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</si>
  <si>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</si>
  <si>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</si>
  <si>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</si>
  <si>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</si>
  <si>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</si>
  <si>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</si>
  <si>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</si>
  <si>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</si>
  <si>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</si>
  <si>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</si>
  <si>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</si>
  <si>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</si>
  <si>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</si>
  <si>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</si>
  <si>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</si>
  <si>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</si>
  <si>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</si>
  <si>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</si>
  <si>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</si>
  <si>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</si>
  <si>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</si>
  <si>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</si>
  <si>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</si>
  <si>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</si>
  <si>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</si>
  <si>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</si>
  <si>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</si>
  <si>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</si>
  <si>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</si>
  <si>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</si>
  <si>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</si>
  <si>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</si>
  <si>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</si>
  <si>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</si>
  <si>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</si>
  <si>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</si>
  <si>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</si>
  <si>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</si>
  <si>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</si>
  <si>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</si>
  <si>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</si>
  <si>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</si>
  <si>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</si>
  <si>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</si>
  <si>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</si>
  <si>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</si>
  <si>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</si>
  <si>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</si>
  <si>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</si>
  <si>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</si>
  <si>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</si>
  <si>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</si>
  <si>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</si>
  <si>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</si>
  <si>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</si>
  <si>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</si>
  <si>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</si>
  <si>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</si>
  <si>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</si>
  <si>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</si>
  <si>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</si>
  <si>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</si>
  <si>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</si>
  <si>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</si>
  <si>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</si>
  <si>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</si>
  <si>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</si>
  <si>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</si>
  <si>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</si>
  <si>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</si>
  <si>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</si>
  <si>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</si>
  <si>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</si>
  <si>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</si>
  <si>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</si>
  <si>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</si>
  <si>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</si>
  <si>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</si>
  <si>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</si>
  <si>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</si>
  <si>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</si>
  <si>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</si>
  <si>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</si>
  <si>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</si>
  <si>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</si>
  <si>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</si>
  <si>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</si>
  <si>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</si>
  <si>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</si>
  <si>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</si>
  <si>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</si>
  <si>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</si>
  <si>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</si>
  <si>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</si>
  <si>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</si>
  <si>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</si>
  <si>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</si>
  <si>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</si>
  <si>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</si>
  <si>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</si>
  <si>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</si>
  <si>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</si>
  <si>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</si>
  <si>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</si>
  <si>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</si>
  <si>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</si>
  <si>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</si>
  <si>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</si>
  <si>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</si>
  <si>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</si>
  <si>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</si>
  <si>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</si>
  <si>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</si>
  <si>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</si>
  <si>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</si>
  <si>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</si>
  <si>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</si>
  <si>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</si>
  <si>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</si>
  <si>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</si>
  <si>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</si>
  <si>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</si>
  <si>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</si>
  <si>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</si>
  <si>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</si>
  <si>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</si>
  <si>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</si>
  <si>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</si>
  <si>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</si>
  <si>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</si>
  <si>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</si>
  <si>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</si>
  <si>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</si>
  <si>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</si>
  <si>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</si>
  <si>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</si>
  <si>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</si>
  <si>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</si>
  <si>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</si>
  <si>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</si>
  <si>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</si>
  <si>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</si>
  <si>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</si>
  <si>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</si>
  <si>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</si>
  <si>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</si>
  <si>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</si>
  <si>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</si>
  <si>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</si>
  <si>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</si>
  <si>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</si>
  <si>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</si>
  <si>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</si>
  <si>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</si>
  <si>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</si>
  <si>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</si>
  <si>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</si>
  <si>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</si>
  <si>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</si>
  <si>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</si>
  <si>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</si>
  <si>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</si>
  <si>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</si>
  <si>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</si>
  <si>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</si>
  <si>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</si>
  <si>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</si>
  <si>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</si>
  <si>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</si>
  <si>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</si>
  <si>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</si>
  <si>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</si>
  <si>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</si>
  <si>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</si>
  <si>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</si>
  <si>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</si>
  <si>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</si>
  <si>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</si>
  <si>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</si>
  <si>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</si>
  <si>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</si>
  <si>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</si>
  <si>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</si>
  <si>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</si>
  <si>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</si>
  <si>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</si>
  <si>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</si>
  <si>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</si>
  <si>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</si>
  <si>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</si>
  <si>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</si>
  <si>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</si>
  <si>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</si>
  <si>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</si>
  <si>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</si>
  <si>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</si>
  <si>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</si>
  <si>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</si>
  <si>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</si>
  <si>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</si>
  <si>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</si>
  <si>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</si>
  <si>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</si>
  <si>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</si>
  <si>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</si>
  <si>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</si>
  <si>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</si>
  <si>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</si>
  <si>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</si>
  <si>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</si>
  <si>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</si>
  <si>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</si>
  <si>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</si>
  <si>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</si>
  <si>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</si>
  <si>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</si>
  <si>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</si>
  <si>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</si>
  <si>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</si>
  <si>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</si>
  <si>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</si>
  <si>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</si>
  <si>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</si>
  <si>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</si>
  <si>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</si>
  <si>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</si>
  <si>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</si>
  <si>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</si>
  <si>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</si>
  <si>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</si>
  <si>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</si>
  <si>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</si>
  <si>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</si>
  <si>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</si>
  <si>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</si>
  <si>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</si>
  <si>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</si>
  <si>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</si>
  <si>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</si>
  <si>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</si>
  <si>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</si>
  <si>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</si>
  <si>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</si>
  <si>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</si>
  <si>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</si>
  <si>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</si>
  <si>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</si>
  <si>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</si>
  <si>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</si>
  <si>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</si>
  <si>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</si>
  <si>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</si>
  <si>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</si>
  <si>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</si>
  <si>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</si>
  <si>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</si>
  <si>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</si>
  <si>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</si>
  <si>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</si>
  <si>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</si>
  <si>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</si>
  <si>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</si>
  <si>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</si>
  <si>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</si>
  <si>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</si>
  <si>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</si>
  <si>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</si>
  <si>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</si>
  <si>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</si>
  <si>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</si>
  <si>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</si>
  <si>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</si>
  <si>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</si>
  <si>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</si>
  <si>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</si>
  <si>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</si>
  <si>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</si>
  <si>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</si>
  <si>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</si>
  <si>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</si>
  <si>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</si>
  <si>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</si>
  <si>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</si>
  <si>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</si>
  <si>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</si>
  <si>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</si>
  <si>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</si>
  <si>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</si>
  <si>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</si>
  <si>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</si>
  <si>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</si>
  <si>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</si>
  <si>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</si>
  <si>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</si>
  <si>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</si>
  <si>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</si>
  <si>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</si>
  <si>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</si>
  <si>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</si>
  <si>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</si>
  <si>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</si>
  <si>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</si>
  <si>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</si>
  <si>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</si>
  <si>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</si>
  <si>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</si>
  <si>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</si>
  <si>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</si>
  <si>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</si>
  <si>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</si>
  <si>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</si>
  <si>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</si>
  <si>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</si>
  <si>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</si>
  <si>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</si>
  <si>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</si>
  <si>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</si>
  <si>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</si>
  <si>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</si>
  <si>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</si>
  <si>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</si>
  <si>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</si>
  <si>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</si>
  <si>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</si>
  <si>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</si>
  <si>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</si>
  <si>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</si>
  <si>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</si>
  <si>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</si>
  <si>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</si>
  <si>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</si>
  <si>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</si>
  <si>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</si>
  <si>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</si>
  <si>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</si>
  <si>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</si>
  <si>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</si>
  <si>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</si>
  <si>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</si>
  <si>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</si>
  <si>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</si>
  <si>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</si>
  <si>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</si>
  <si>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</si>
  <si>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</si>
  <si>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</si>
  <si>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</si>
  <si>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</si>
  <si>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</si>
  <si>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</si>
  <si>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</si>
  <si>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</si>
  <si>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</si>
  <si>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</si>
  <si>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</si>
  <si>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</si>
  <si>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</si>
  <si>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</si>
  <si>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</si>
  <si>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</si>
  <si>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</si>
  <si>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</si>
  <si>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</si>
  <si>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</si>
  <si>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</si>
  <si>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</si>
  <si>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</si>
  <si>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</si>
  <si>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</si>
  <si>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</si>
  <si>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</si>
  <si>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</si>
  <si>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</si>
  <si>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</si>
  <si>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</si>
  <si>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</si>
  <si>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</si>
  <si>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</si>
  <si>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</si>
  <si>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</si>
  <si>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</si>
  <si>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</si>
  <si>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</si>
  <si>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</si>
  <si>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</si>
  <si>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</si>
  <si>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</si>
  <si>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</si>
  <si>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</si>
  <si>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</si>
  <si>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</si>
  <si>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</si>
  <si>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</si>
  <si>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</si>
  <si>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</si>
  <si>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</si>
  <si>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</si>
  <si>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</si>
  <si>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</si>
  <si>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</si>
  <si>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</si>
  <si>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</si>
  <si>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</si>
  <si>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</si>
  <si>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</si>
  <si>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</si>
  <si>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</si>
  <si>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</si>
  <si>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</si>
  <si>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</si>
  <si>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</si>
  <si>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</si>
  <si>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</si>
  <si>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</si>
  <si>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</si>
  <si>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</si>
  <si>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</si>
  <si>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</si>
  <si>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</si>
  <si>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</si>
  <si>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</si>
  <si>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</si>
  <si>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</si>
  <si>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</si>
  <si>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</si>
  <si>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</si>
  <si>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</si>
  <si>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</si>
  <si>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</si>
  <si>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</si>
  <si>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</si>
  <si>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</si>
  <si>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</si>
  <si>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</si>
  <si>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</si>
  <si>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</si>
  <si>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</si>
  <si>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</si>
  <si>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</si>
  <si>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</si>
  <si>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</si>
  <si>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</si>
  <si>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</si>
  <si>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</si>
  <si>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</si>
  <si>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</si>
  <si>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</si>
  <si>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</si>
  <si>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</si>
  <si>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</si>
  <si>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</si>
  <si>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</si>
  <si>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</si>
  <si>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</si>
  <si>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</si>
  <si>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</si>
  <si>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</si>
  <si>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</si>
  <si>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</si>
  <si>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</si>
  <si>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</si>
  <si>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</si>
  <si>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</si>
  <si>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</si>
  <si>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</si>
  <si>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</si>
  <si>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</si>
  <si>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</si>
  <si>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</si>
  <si>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</si>
  <si>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</si>
  <si>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</si>
  <si>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</si>
  <si>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</si>
  <si>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</si>
  <si>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</si>
  <si>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</si>
  <si>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</si>
  <si>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</si>
  <si>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</si>
  <si>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</si>
  <si>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</si>
  <si>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</si>
  <si>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</si>
  <si>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</si>
  <si>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</si>
  <si>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</si>
  <si>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</si>
  <si>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</si>
  <si>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</si>
  <si>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</si>
  <si>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</si>
  <si>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</si>
  <si>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</si>
  <si>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</si>
  <si>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</si>
  <si>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</si>
  <si>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</si>
  <si>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</si>
  <si>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</si>
  <si>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</si>
  <si>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</si>
  <si>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</si>
  <si>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</si>
  <si>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</si>
  <si>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</si>
  <si>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</si>
  <si>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</si>
  <si>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</si>
  <si>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</si>
  <si>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</si>
  <si>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</si>
  <si>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</si>
  <si>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</si>
  <si>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</si>
  <si>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</si>
  <si>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</si>
  <si>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</si>
  <si>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</si>
  <si>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</si>
  <si>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</si>
  <si>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</si>
  <si>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</si>
  <si>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</si>
  <si>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</si>
  <si>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</si>
  <si>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</si>
  <si>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</si>
  <si>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</si>
  <si>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</si>
  <si>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</si>
  <si>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</si>
  <si>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</si>
  <si>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</si>
  <si>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</si>
  <si>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</si>
  <si>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</si>
  <si>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</si>
  <si>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</si>
  <si>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</si>
  <si>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</si>
  <si>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</si>
  <si>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</si>
  <si>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</si>
  <si>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</si>
  <si>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</si>
  <si>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</si>
  <si>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</si>
  <si>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</si>
  <si>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</si>
  <si>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</si>
  <si>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</si>
  <si>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</si>
  <si>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</si>
  <si>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</si>
  <si>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</si>
  <si>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</si>
  <si>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</si>
  <si>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</si>
  <si>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</si>
  <si>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</si>
  <si>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</si>
  <si>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</si>
  <si>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</si>
  <si>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</si>
  <si>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</si>
  <si>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</si>
  <si>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</si>
  <si>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</si>
  <si>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</si>
  <si>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</si>
  <si>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</si>
  <si>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</si>
  <si>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</si>
  <si>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</si>
  <si>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</si>
  <si>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</si>
  <si>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</si>
  <si>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</si>
  <si>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</si>
  <si>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</si>
  <si>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</si>
  <si>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</si>
  <si>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</si>
  <si>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</si>
  <si>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</si>
  <si>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</si>
  <si>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</si>
  <si>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</si>
  <si>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</si>
  <si>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</si>
  <si>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</si>
  <si>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</si>
  <si>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</si>
  <si>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</si>
  <si>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</si>
  <si>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</si>
  <si>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</si>
  <si>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</si>
  <si>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</si>
  <si>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</si>
  <si>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</si>
  <si>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</si>
  <si>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</si>
  <si>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</si>
  <si>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</si>
  <si>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</si>
  <si>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</si>
  <si>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</si>
  <si>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</si>
  <si>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</si>
  <si>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</si>
  <si>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</si>
  <si>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</si>
  <si>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</si>
  <si>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</si>
  <si>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</si>
  <si>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</si>
  <si>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</si>
  <si>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</si>
  <si>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</si>
  <si>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</si>
  <si>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</si>
  <si>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</si>
  <si>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</si>
  <si>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</si>
  <si>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</si>
  <si>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</si>
  <si>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</si>
  <si>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</si>
  <si>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</si>
  <si>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</si>
  <si>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</si>
  <si>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</si>
  <si>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</si>
  <si>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</si>
  <si>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</si>
  <si>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</si>
  <si>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</si>
  <si>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</si>
  <si>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</si>
  <si>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</si>
  <si>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</si>
  <si>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</si>
  <si>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</si>
  <si>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</si>
  <si>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</si>
  <si>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</si>
  <si>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</si>
  <si>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</si>
  <si>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</si>
  <si>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</si>
  <si>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</si>
  <si>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</si>
  <si>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</si>
  <si>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</si>
  <si>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</si>
  <si>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</si>
  <si>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</si>
  <si>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</si>
  <si>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</si>
  <si>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</si>
  <si>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</si>
  <si>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</si>
  <si>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</si>
  <si>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</si>
  <si>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</si>
  <si>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</si>
  <si>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</si>
  <si>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</si>
  <si>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</si>
  <si>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</si>
  <si>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</si>
  <si>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</si>
  <si>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</si>
  <si>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</si>
  <si>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</si>
  <si>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</si>
  <si>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</si>
  <si>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</si>
  <si>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</si>
  <si>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</si>
  <si>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</si>
  <si>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</si>
  <si>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</si>
  <si>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</si>
  <si>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</si>
  <si>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</si>
  <si>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</si>
  <si>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</si>
  <si>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</si>
  <si>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</si>
  <si>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</si>
  <si>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</si>
  <si>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</si>
  <si>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</si>
  <si>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</si>
  <si>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</si>
  <si>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</si>
  <si>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</si>
  <si>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</si>
  <si>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</si>
  <si>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</si>
  <si>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</si>
  <si>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</si>
  <si>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</si>
  <si>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</si>
  <si>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</si>
  <si>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</si>
  <si>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</si>
  <si>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</si>
  <si>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</si>
  <si>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</si>
  <si>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</si>
  <si>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</si>
  <si>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</si>
  <si>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</si>
  <si>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</si>
  <si>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</si>
  <si>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</si>
  <si>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</si>
  <si>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</si>
  <si>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</si>
  <si>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</si>
  <si>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</si>
  <si>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</si>
  <si>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</si>
  <si>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</si>
  <si>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</si>
  <si>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</si>
  <si>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</si>
  <si>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</si>
  <si>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</si>
  <si>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</si>
  <si>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</si>
  <si>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</si>
  <si>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</si>
  <si>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</si>
  <si>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</si>
  <si>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</si>
  <si>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</si>
  <si>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</si>
  <si>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</si>
  <si>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</si>
  <si>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</si>
  <si>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</si>
  <si>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</si>
  <si>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</si>
  <si>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</si>
  <si>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</si>
  <si>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</si>
  <si>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</si>
  <si>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</si>
  <si>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</si>
  <si>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</si>
  <si>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</si>
  <si>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</si>
  <si>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</si>
  <si>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</si>
  <si>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</si>
  <si>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</si>
  <si>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</si>
  <si>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</si>
  <si>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</si>
  <si>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</si>
  <si>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</si>
  <si>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</si>
  <si>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</si>
  <si>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</si>
  <si>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</si>
  <si>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</si>
  <si>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</si>
  <si>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</si>
  <si>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</si>
  <si>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</si>
  <si>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</si>
  <si>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</si>
  <si>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</si>
  <si>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</si>
  <si>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</si>
  <si>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</si>
  <si>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</si>
  <si>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</si>
  <si>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</si>
  <si>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</si>
  <si>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</si>
  <si>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</si>
  <si>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</si>
  <si>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</si>
  <si>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</si>
  <si>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</si>
  <si>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</si>
  <si>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</si>
  <si>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</si>
  <si>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</si>
  <si>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</si>
  <si>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</si>
  <si>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</si>
  <si>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</si>
  <si>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</si>
  <si>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</si>
  <si>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</si>
  <si>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</si>
  <si>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</si>
  <si>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</si>
  <si>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</si>
  <si>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</si>
  <si>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</si>
  <si>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</si>
  <si>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</si>
  <si>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</si>
  <si>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</si>
  <si>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</si>
  <si>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</si>
  <si>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</si>
  <si>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</si>
  <si>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</si>
  <si>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</si>
  <si>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</si>
  <si>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</si>
  <si>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</si>
  <si>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</si>
  <si>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</si>
  <si>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</si>
  <si>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</si>
  <si>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</si>
  <si>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</si>
  <si>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</si>
  <si>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</si>
  <si>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</si>
  <si>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</si>
  <si>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</si>
  <si>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</si>
  <si>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</si>
  <si>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</si>
  <si>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</si>
  <si>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</si>
  <si>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</si>
  <si>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</si>
  <si>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</si>
  <si>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</si>
  <si>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</si>
  <si>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</si>
  <si>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</si>
  <si>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</si>
  <si>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</si>
  <si>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</si>
  <si>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</si>
  <si>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</si>
  <si>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</si>
  <si>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</si>
  <si>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</si>
  <si>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</si>
  <si>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</si>
  <si>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</si>
  <si>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</si>
  <si>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</si>
  <si>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</si>
  <si>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</si>
  <si>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</si>
  <si>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</si>
  <si>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</si>
  <si>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</si>
  <si>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</si>
  <si>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</si>
  <si>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</si>
  <si>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</si>
  <si>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</si>
  <si>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</si>
  <si>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</si>
  <si>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</si>
  <si>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</si>
  <si>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</si>
  <si>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</si>
  <si>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</si>
  <si>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</si>
  <si>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</si>
  <si>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</si>
  <si>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</si>
  <si>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</si>
  <si>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</si>
  <si>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</si>
  <si>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</si>
  <si>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</si>
  <si>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</si>
  <si>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</si>
  <si>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</si>
  <si>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</si>
  <si>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</si>
  <si>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</si>
  <si>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</si>
  <si>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</si>
  <si>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</si>
  <si>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</si>
  <si>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</si>
  <si>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</si>
  <si>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</si>
  <si>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</si>
  <si>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</si>
  <si>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</si>
  <si>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</si>
  <si>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</si>
  <si>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</si>
  <si>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</si>
  <si>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</si>
  <si>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</si>
  <si>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</si>
  <si>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</si>
  <si>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</si>
  <si>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</si>
  <si>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</si>
  <si>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</si>
  <si>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</si>
  <si>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</si>
  <si>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</si>
  <si>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</si>
  <si>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</si>
  <si>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</si>
  <si>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</si>
  <si>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</si>
  <si>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</si>
  <si>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</si>
  <si>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</si>
  <si>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</si>
  <si>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</si>
  <si>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</si>
  <si>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</si>
  <si>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</si>
  <si>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</si>
  <si>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</si>
  <si>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</si>
  <si>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</si>
  <si>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</si>
  <si>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</si>
  <si>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</si>
  <si>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</si>
  <si>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</si>
  <si>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</si>
  <si>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</si>
  <si>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</si>
  <si>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</si>
  <si>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</si>
  <si>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</si>
  <si>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</si>
  <si>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</si>
  <si>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</si>
  <si>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</si>
  <si>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</si>
  <si>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</si>
  <si>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</si>
  <si>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</si>
  <si>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</si>
  <si>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</si>
  <si>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</si>
  <si>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</si>
  <si>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</si>
  <si>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</si>
  <si>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</si>
  <si>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</si>
  <si>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</si>
  <si>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</si>
  <si>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</si>
  <si>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</si>
  <si>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</si>
  <si>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</si>
  <si>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</si>
  <si>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</si>
  <si>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</si>
  <si>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</si>
  <si>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</si>
  <si>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</si>
  <si>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</si>
  <si>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</si>
  <si>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</si>
  <si>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</si>
  <si>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</si>
  <si>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</si>
  <si>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</si>
  <si>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</si>
  <si>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</si>
  <si>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</si>
  <si>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</si>
  <si>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</si>
  <si>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</si>
  <si>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</si>
  <si>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</si>
  <si>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</si>
  <si>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</si>
  <si>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</si>
  <si>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</si>
  <si>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</si>
  <si>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</si>
  <si>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</si>
  <si>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</si>
  <si>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</si>
  <si>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</si>
  <si>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</si>
  <si>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</si>
  <si>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</si>
  <si>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</si>
  <si>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</si>
  <si>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</si>
  <si>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</si>
  <si>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</si>
  <si>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</si>
  <si>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</si>
  <si>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</si>
  <si>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</si>
  <si>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</si>
  <si>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</si>
  <si>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</si>
  <si>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</si>
  <si>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</si>
  <si>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</si>
  <si>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</si>
  <si>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</si>
  <si>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</si>
  <si>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</si>
  <si>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</si>
  <si>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</si>
  <si>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</si>
  <si>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</si>
  <si>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</si>
  <si>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</si>
  <si>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</si>
  <si>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</si>
  <si>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</si>
  <si>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</si>
  <si>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</si>
  <si>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</si>
  <si>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</si>
  <si>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</si>
  <si>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</si>
  <si>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</si>
  <si>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</si>
  <si>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</si>
  <si>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</si>
  <si>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</si>
  <si>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</si>
  <si>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</si>
  <si>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</si>
  <si>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</si>
  <si>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</si>
  <si>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</si>
  <si>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</si>
  <si>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</si>
  <si>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</si>
  <si>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</si>
  <si>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</si>
  <si>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</si>
  <si>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</si>
  <si>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</si>
  <si>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</si>
  <si>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</si>
  <si>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</si>
  <si>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</si>
  <si>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</si>
  <si>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</si>
  <si>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</si>
  <si>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</si>
  <si>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</si>
  <si>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</si>
  <si>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</si>
  <si>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</si>
  <si>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</si>
  <si>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</si>
  <si>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</si>
  <si>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</si>
  <si>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</si>
  <si>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</si>
  <si>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</si>
  <si>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</si>
  <si>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</si>
  <si>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</si>
  <si>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</si>
  <si>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</si>
  <si>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</si>
  <si>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</si>
  <si>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</si>
  <si>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</si>
  <si>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</si>
  <si>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</si>
  <si>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</si>
  <si>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</si>
  <si>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</si>
  <si>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</si>
  <si>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</si>
  <si>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</si>
  <si>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</si>
  <si>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</si>
  <si>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</si>
  <si>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</si>
  <si>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</si>
  <si>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</si>
  <si>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</si>
  <si>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</si>
  <si>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</si>
  <si>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</si>
  <si>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</si>
  <si>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</si>
  <si>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</si>
  <si>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</si>
  <si>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</si>
  <si>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</si>
  <si>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</si>
  <si>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</si>
  <si>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</si>
  <si>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</si>
  <si>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</si>
  <si>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</si>
  <si>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</si>
  <si>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</si>
  <si>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</si>
  <si>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</si>
  <si>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</si>
  <si>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</si>
  <si>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</si>
  <si>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</si>
  <si>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</si>
  <si>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</si>
  <si>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</si>
  <si>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</si>
  <si>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</si>
  <si>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</si>
  <si>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</si>
  <si>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</si>
  <si>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</si>
  <si>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</si>
  <si>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</si>
  <si>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</si>
  <si>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</si>
  <si>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</si>
  <si>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</si>
  <si>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</si>
  <si>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</si>
  <si>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</si>
  <si>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</si>
  <si>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</si>
  <si>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</si>
  <si>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</si>
  <si>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</si>
  <si>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</si>
  <si>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</si>
  <si>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</si>
  <si>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</si>
  <si>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</si>
  <si>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</si>
  <si>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</si>
  <si>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</si>
  <si>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</si>
  <si>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</si>
  <si>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</si>
  <si>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</si>
  <si>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</si>
  <si>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</si>
  <si>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</si>
  <si>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</si>
  <si>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</si>
  <si>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</si>
  <si>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</si>
  <si>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</si>
  <si>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</si>
  <si>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</si>
  <si>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</si>
  <si>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</si>
  <si>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</si>
  <si>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</si>
  <si>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</si>
  <si>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</si>
  <si>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</si>
  <si>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</si>
  <si>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</si>
  <si>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</si>
  <si>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</si>
  <si>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</si>
  <si>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</si>
  <si>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</si>
  <si>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</si>
  <si>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</si>
  <si>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</si>
  <si>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</si>
  <si>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</si>
  <si>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</si>
  <si>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</si>
  <si>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</si>
  <si>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</si>
  <si>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</si>
  <si>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</si>
  <si>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</si>
  <si>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</si>
  <si>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</si>
  <si>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</si>
  <si>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</si>
  <si>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</si>
  <si>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</si>
  <si>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</si>
  <si>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</si>
  <si>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</si>
  <si>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</si>
  <si>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</si>
  <si>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</si>
  <si>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</si>
  <si>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</si>
  <si>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</si>
  <si>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</si>
  <si>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</si>
  <si>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</si>
  <si>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</si>
  <si>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</si>
  <si>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</si>
  <si>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</si>
  <si>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</si>
  <si>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</si>
  <si>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</si>
  <si>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</si>
  <si>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</si>
  <si>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</si>
  <si>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</si>
  <si>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</si>
  <si>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</si>
  <si>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</si>
  <si>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</si>
  <si>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</si>
  <si>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</si>
  <si>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</si>
  <si>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</si>
  <si>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</si>
  <si>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</si>
  <si>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</si>
  <si>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</si>
  <si>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</si>
  <si>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</si>
  <si>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</si>
  <si>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</si>
  <si>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</si>
  <si>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</si>
  <si>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</si>
  <si>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</si>
  <si>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</si>
  <si>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</si>
  <si>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</si>
  <si>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</si>
  <si>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</si>
  <si>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</si>
  <si>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</si>
  <si>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</si>
  <si>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</si>
  <si>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</si>
  <si>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</si>
  <si>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</si>
  <si>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</si>
  <si>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</si>
  <si>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</si>
  <si>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</si>
  <si>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</si>
  <si>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</si>
  <si>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</si>
  <si>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</si>
  <si>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</si>
  <si>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</si>
  <si>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</si>
  <si>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</si>
  <si>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</si>
  <si>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</si>
  <si>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</si>
  <si>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</si>
  <si>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</si>
  <si>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</si>
  <si>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</si>
  <si>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</si>
  <si>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</si>
  <si>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</si>
  <si>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</si>
  <si>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</si>
  <si>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</si>
  <si>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</si>
  <si>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</si>
  <si>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</si>
  <si>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</si>
  <si>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</si>
  <si>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</si>
  <si>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</si>
  <si>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</si>
  <si>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</si>
  <si>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</si>
  <si>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</si>
  <si>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</si>
  <si>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</si>
  <si>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</si>
  <si>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</si>
  <si>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</si>
  <si>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</si>
  <si>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</si>
  <si>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</si>
  <si>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</si>
  <si>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</si>
  <si>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</si>
  <si>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</si>
  <si>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</si>
  <si>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</si>
  <si>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</si>
  <si>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</si>
  <si>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</si>
  <si>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</si>
  <si>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</si>
  <si>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</si>
  <si>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</si>
  <si>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</si>
  <si>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</si>
  <si>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</si>
  <si>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</si>
  <si>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</si>
  <si>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</si>
  <si>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</si>
  <si>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</si>
  <si>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</si>
  <si>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</si>
  <si>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</si>
  <si>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</si>
  <si>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</si>
  <si>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</si>
  <si>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</si>
  <si>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</si>
  <si>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</si>
  <si>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</si>
  <si>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</si>
  <si>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</si>
  <si>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</si>
  <si>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</si>
  <si>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</si>
  <si>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</si>
  <si>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</si>
  <si>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</si>
  <si>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</si>
  <si>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</si>
  <si>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</si>
  <si>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</si>
  <si>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</si>
  <si>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</si>
  <si>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</si>
  <si>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</si>
  <si>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</si>
  <si>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</si>
  <si>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</si>
  <si>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</si>
  <si>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</si>
  <si>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</si>
  <si>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</si>
  <si>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</si>
  <si>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</si>
  <si>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</si>
  <si>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</si>
  <si>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</si>
  <si>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</si>
  <si>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</si>
  <si>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</si>
  <si>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</si>
  <si>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</si>
  <si>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</si>
  <si>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</si>
  <si>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</si>
  <si>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</si>
  <si>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</si>
  <si>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</si>
  <si>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</si>
  <si>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</si>
  <si>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</si>
  <si>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</si>
  <si>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</si>
  <si>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</si>
  <si>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</si>
  <si>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</si>
  <si>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</si>
  <si>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</si>
  <si>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</si>
  <si>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</si>
  <si>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</si>
  <si>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</si>
  <si>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</si>
  <si>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</si>
  <si>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</si>
  <si>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</si>
  <si>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</si>
  <si>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</si>
  <si>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</si>
  <si>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</si>
  <si>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</si>
  <si>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</si>
  <si>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</si>
  <si>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</si>
  <si>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</si>
  <si>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</si>
  <si>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</si>
  <si>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</si>
  <si>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</si>
  <si>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</si>
  <si>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</si>
  <si>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</si>
  <si>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</si>
  <si>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</si>
  <si>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</si>
  <si>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</si>
  <si>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</si>
  <si>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</si>
  <si>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</si>
  <si>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</si>
  <si>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</si>
  <si>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</si>
  <si>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</si>
  <si>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</si>
  <si>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</si>
  <si>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</si>
  <si>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</si>
  <si>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</si>
  <si>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</si>
  <si>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</si>
  <si>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</si>
  <si>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</si>
  <si>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</si>
  <si>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</si>
  <si>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</si>
  <si>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</si>
  <si>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</si>
  <si>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</si>
  <si>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</si>
  <si>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</si>
  <si>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</si>
  <si>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</si>
  <si>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</si>
  <si>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</si>
  <si>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</si>
  <si>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</si>
  <si>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</si>
  <si>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</si>
  <si>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</si>
  <si>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</si>
  <si>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</si>
  <si>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</si>
  <si>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</si>
  <si>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</si>
  <si>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</si>
  <si>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</si>
  <si>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</si>
  <si>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</si>
  <si>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</si>
  <si>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</si>
  <si>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</si>
  <si>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</si>
  <si>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</si>
  <si>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</si>
  <si>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</si>
  <si>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</si>
  <si>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</si>
  <si>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</si>
  <si>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</si>
  <si>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</si>
  <si>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</si>
  <si>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</si>
  <si>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</si>
  <si>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</si>
  <si>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</si>
  <si>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</si>
  <si>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</si>
  <si>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</si>
  <si>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</si>
  <si>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</si>
  <si>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</si>
  <si>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</si>
  <si>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</si>
  <si>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</si>
  <si>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</si>
  <si>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</si>
  <si>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</si>
  <si>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</si>
  <si>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</si>
  <si>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</si>
  <si>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</si>
  <si>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</si>
  <si>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</si>
  <si>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</si>
  <si>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</si>
  <si>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</si>
  <si>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</si>
  <si>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</si>
  <si>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</si>
  <si>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</si>
  <si>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</si>
  <si>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</si>
  <si>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</si>
  <si>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</si>
  <si>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</si>
  <si>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</si>
  <si>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</si>
  <si>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</si>
  <si>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</si>
  <si>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</si>
  <si>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</si>
  <si>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</si>
  <si>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</si>
  <si>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</si>
  <si>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</si>
  <si>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</si>
  <si>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</si>
  <si>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</si>
  <si>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</si>
  <si>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</si>
  <si>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</si>
  <si>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</si>
  <si>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</si>
  <si>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</si>
  <si>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</si>
  <si>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</si>
  <si>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</si>
  <si>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</si>
  <si>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</si>
  <si>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</si>
  <si>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</si>
  <si>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</si>
  <si>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</si>
  <si>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</si>
  <si>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</si>
  <si>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</si>
  <si>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</si>
  <si>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</si>
  <si>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</si>
  <si>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</si>
  <si>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</si>
  <si>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</si>
  <si>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</si>
  <si>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</si>
  <si>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</si>
  <si>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</si>
  <si>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</si>
  <si>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</si>
  <si>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</si>
  <si>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</si>
  <si>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</si>
  <si>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</si>
  <si>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</si>
  <si>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</si>
  <si>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</si>
  <si>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</si>
  <si>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</si>
  <si>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</si>
  <si>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</si>
  <si>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</si>
  <si>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</si>
  <si>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</si>
  <si>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</si>
  <si>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</si>
  <si>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</si>
  <si>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</si>
  <si>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</si>
  <si>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</si>
  <si>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</si>
  <si>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</si>
  <si>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</si>
  <si>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</si>
  <si>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</si>
  <si>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</si>
  <si>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</si>
  <si>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</si>
  <si>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</si>
  <si>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</si>
  <si>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</si>
  <si>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</si>
  <si>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</si>
  <si>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</si>
  <si>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</si>
  <si>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</si>
  <si>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</si>
  <si>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</si>
  <si>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</si>
  <si>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</si>
  <si>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</si>
  <si>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</si>
  <si>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</si>
  <si>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</si>
  <si>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</si>
  <si>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</si>
  <si>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</si>
  <si>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</si>
  <si>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</si>
  <si>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</si>
  <si>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</si>
  <si>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</si>
  <si>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</si>
  <si>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</si>
  <si>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</si>
  <si>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</si>
  <si>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</si>
  <si>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</si>
  <si>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</si>
  <si>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</si>
  <si>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</si>
  <si>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</si>
  <si>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</si>
  <si>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</si>
  <si>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</si>
  <si>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</si>
  <si>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</si>
  <si>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</si>
  <si>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</si>
  <si>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</si>
  <si>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</si>
  <si>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</si>
  <si>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</si>
  <si>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</si>
  <si>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</si>
  <si>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</si>
  <si>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</si>
  <si>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</si>
  <si>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</si>
  <si>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</si>
  <si>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</si>
  <si>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</si>
  <si>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</si>
  <si>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</si>
  <si>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</si>
  <si>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</si>
  <si>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</si>
  <si>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</si>
  <si>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</si>
  <si>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</si>
  <si>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</si>
  <si>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</si>
  <si>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</si>
  <si>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</si>
  <si>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</si>
  <si>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</si>
  <si>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</si>
  <si>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</si>
  <si>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</si>
  <si>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</si>
  <si>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</si>
  <si>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</si>
  <si>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</si>
  <si>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</si>
  <si>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</si>
  <si>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</si>
  <si>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</si>
  <si>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</si>
  <si>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</si>
  <si>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</si>
  <si>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</si>
  <si>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</si>
  <si>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</si>
  <si>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</si>
  <si>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</si>
  <si>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</si>
  <si>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</si>
  <si>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</si>
  <si>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</si>
  <si>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</si>
  <si>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</si>
  <si>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</si>
  <si>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</si>
  <si>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</si>
  <si>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</si>
  <si>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</si>
  <si>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</si>
  <si>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</si>
  <si>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</si>
  <si>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</si>
  <si>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</si>
  <si>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</si>
  <si>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</si>
  <si>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</si>
  <si>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</si>
  <si>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</si>
  <si>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</si>
  <si>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</si>
  <si>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</si>
  <si>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</si>
  <si>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</si>
  <si>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</si>
  <si>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</si>
  <si>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</si>
  <si>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</si>
  <si>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</si>
  <si>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</si>
  <si>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</si>
  <si>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</si>
  <si>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</si>
  <si>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</si>
  <si>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</si>
  <si>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</si>
  <si>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</si>
  <si>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</si>
  <si>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</si>
  <si>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</si>
  <si>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</si>
  <si>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</si>
  <si>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</si>
  <si>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</si>
  <si>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</si>
  <si>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</si>
  <si>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</si>
  <si>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</si>
  <si>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</si>
  <si>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</si>
  <si>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</si>
  <si>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</si>
  <si>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</si>
  <si>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</si>
  <si>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</si>
  <si>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</si>
  <si>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</si>
  <si>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</si>
  <si>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</si>
  <si>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</si>
  <si>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</si>
  <si>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</si>
  <si>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</si>
  <si>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</si>
  <si>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</si>
  <si>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</si>
  <si>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</si>
  <si>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</si>
  <si>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</si>
  <si>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</si>
  <si>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</si>
  <si>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</si>
  <si>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</si>
  <si>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</si>
  <si>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</si>
  <si>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</si>
  <si>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</si>
  <si>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</si>
  <si>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</si>
  <si>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</si>
  <si>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</si>
  <si>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</si>
  <si>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</si>
  <si>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</si>
  <si>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</si>
  <si>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</si>
  <si>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</si>
  <si>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</si>
  <si>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</si>
  <si>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</si>
  <si>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</si>
  <si>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</si>
  <si>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</si>
  <si>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</si>
  <si>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</si>
  <si>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</si>
  <si>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</si>
  <si>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</si>
  <si>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</si>
  <si>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</si>
  <si>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</si>
  <si>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</si>
  <si>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</si>
  <si>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</si>
  <si>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</si>
  <si>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</si>
  <si>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</si>
  <si>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</si>
  <si>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</si>
  <si>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</si>
  <si>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</si>
  <si>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</si>
  <si>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</si>
  <si>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</si>
  <si>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</si>
  <si>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</si>
  <si>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</si>
  <si>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</si>
  <si>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</si>
  <si>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</si>
  <si>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</si>
  <si>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</si>
  <si>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</si>
  <si>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</si>
  <si>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</si>
  <si>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</si>
  <si>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</si>
  <si>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</si>
  <si>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</si>
  <si>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</si>
  <si>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</si>
  <si>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</si>
  <si>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</si>
  <si>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</si>
  <si>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</si>
  <si>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</si>
  <si>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</si>
  <si>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</si>
  <si>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</si>
  <si>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</si>
  <si>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</si>
  <si>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</si>
  <si>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</si>
  <si>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</si>
  <si>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</si>
  <si>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</si>
  <si>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</si>
  <si>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</si>
  <si>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</si>
  <si>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</si>
  <si>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</si>
  <si>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</si>
  <si>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</si>
  <si>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</si>
  <si>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</si>
  <si>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</si>
  <si>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</si>
  <si>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</si>
  <si>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</si>
  <si>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</si>
  <si>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</si>
  <si>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</si>
  <si>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</si>
  <si>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</si>
  <si>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</si>
  <si>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</si>
  <si>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</si>
  <si>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</si>
  <si>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</si>
  <si>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</si>
  <si>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</si>
  <si>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</si>
  <si>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</si>
  <si>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</si>
  <si>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</si>
  <si>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</si>
  <si>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</si>
  <si>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</si>
  <si>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</si>
  <si>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</si>
  <si>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</si>
  <si>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</si>
  <si>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</si>
  <si>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</si>
  <si>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</si>
  <si>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</si>
  <si>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</si>
  <si>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</si>
  <si>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</si>
  <si>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</si>
  <si>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</si>
  <si>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</si>
  <si>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</si>
  <si>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</si>
  <si>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</si>
  <si>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</si>
  <si>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</si>
  <si>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</si>
  <si>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</si>
  <si>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</si>
  <si>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</si>
  <si>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</si>
  <si>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</si>
  <si>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</si>
  <si>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</si>
  <si>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</si>
  <si>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</si>
  <si>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</si>
  <si>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</si>
  <si>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</si>
  <si>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</si>
  <si>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</si>
  <si>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</si>
  <si>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</si>
  <si>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</si>
  <si>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</si>
  <si>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</si>
  <si>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</si>
  <si>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</si>
  <si>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</si>
  <si>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</si>
  <si>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</si>
  <si>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</si>
  <si>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</si>
  <si>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</si>
  <si>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</si>
  <si>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</si>
  <si>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</si>
  <si>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</si>
  <si>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</si>
  <si>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</si>
  <si>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</si>
  <si>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</si>
  <si>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</si>
  <si>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</si>
  <si>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</si>
  <si>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</si>
  <si>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</si>
  <si>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</si>
  <si>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</si>
  <si>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</si>
  <si>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</si>
  <si>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</si>
  <si>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</si>
  <si>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</si>
  <si>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</si>
  <si>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</si>
  <si>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</si>
  <si>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</si>
  <si>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</si>
  <si>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</si>
  <si>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</si>
  <si>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</si>
  <si>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</si>
  <si>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</si>
  <si>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</si>
  <si>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</si>
  <si>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</si>
  <si>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</si>
  <si>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</si>
  <si>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</si>
  <si>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</si>
  <si>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</si>
  <si>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</si>
  <si>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</si>
  <si>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</si>
  <si>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</si>
  <si>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</si>
  <si>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</si>
  <si>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</si>
  <si>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</si>
  <si>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</si>
  <si>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</si>
  <si>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</si>
  <si>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</si>
  <si>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</si>
  <si>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</si>
  <si>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</si>
  <si>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</si>
  <si>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</si>
  <si>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</si>
  <si>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</si>
  <si>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</si>
  <si>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</si>
  <si>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</si>
  <si>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</si>
  <si>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</si>
  <si>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</si>
  <si>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</si>
  <si>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</si>
  <si>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</si>
  <si>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</si>
  <si>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</si>
  <si>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</si>
  <si>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</si>
  <si>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</si>
  <si>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</si>
  <si>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</si>
  <si>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</si>
  <si>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</si>
  <si>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</si>
  <si>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</si>
  <si>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</si>
  <si>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</si>
  <si>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</si>
  <si>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</si>
  <si>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</si>
  <si>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</si>
  <si>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</si>
  <si>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</si>
  <si>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</si>
  <si>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</si>
  <si>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</si>
  <si>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</si>
  <si>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</si>
  <si>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</si>
  <si>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</si>
  <si>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</si>
  <si>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</si>
  <si>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</si>
  <si>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</si>
  <si>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</si>
  <si>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</si>
  <si>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</si>
  <si>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</si>
  <si>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</si>
  <si>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</si>
  <si>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</si>
  <si>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</si>
  <si>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</si>
  <si>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</si>
  <si>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</si>
  <si>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</si>
  <si>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</si>
  <si>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</si>
  <si>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</si>
  <si>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</si>
  <si>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</si>
  <si>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</si>
  <si>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</si>
  <si>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</si>
  <si>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</si>
  <si>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</si>
  <si>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</si>
  <si>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</si>
  <si>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</si>
  <si>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</si>
  <si>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</si>
  <si>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</si>
  <si>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</si>
  <si>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</si>
  <si>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</si>
  <si>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</si>
  <si>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</si>
  <si>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</si>
  <si>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</si>
  <si>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</si>
  <si>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</si>
  <si>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</si>
  <si>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</si>
  <si>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</si>
  <si>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</si>
  <si>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</si>
  <si>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</si>
  <si>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</si>
  <si>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</si>
  <si>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</si>
  <si>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</si>
  <si>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</si>
  <si>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</si>
  <si>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</si>
  <si>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</si>
  <si>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</si>
  <si>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</si>
  <si>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</si>
  <si>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</si>
  <si>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</si>
  <si>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</si>
  <si>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</si>
  <si>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</si>
  <si>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</si>
  <si>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</si>
  <si>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</si>
  <si>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</si>
  <si>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</si>
  <si>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</si>
  <si>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</si>
  <si>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</si>
  <si>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</si>
  <si>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</si>
  <si>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</si>
  <si>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</si>
  <si>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</si>
  <si>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</si>
  <si>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</si>
  <si>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</si>
  <si>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</si>
  <si>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</si>
  <si>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</si>
  <si>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</si>
  <si>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</si>
  <si>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</si>
  <si>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</si>
  <si>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</si>
  <si>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</si>
  <si>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</si>
  <si>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</si>
  <si>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</si>
  <si>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</si>
  <si>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</si>
  <si>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</si>
  <si>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</si>
  <si>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</si>
  <si>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</si>
  <si>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</si>
  <si>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</si>
  <si>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</si>
  <si>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</si>
  <si>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</si>
  <si>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</si>
  <si>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</si>
  <si>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</si>
  <si>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</si>
  <si>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</si>
  <si>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</si>
  <si>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</si>
  <si>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</si>
  <si>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</si>
  <si>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</si>
  <si>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</si>
  <si>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</si>
  <si>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</si>
  <si>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</si>
  <si>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</si>
  <si>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</si>
  <si>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</si>
  <si>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</si>
  <si>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</si>
  <si>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</si>
  <si>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</si>
  <si>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</si>
  <si>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</si>
  <si>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</si>
  <si>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</si>
  <si>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</si>
  <si>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</si>
  <si>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</si>
  <si>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</si>
  <si>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</si>
  <si>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</si>
  <si>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</si>
  <si>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</si>
  <si>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</si>
  <si>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</si>
  <si>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</si>
  <si>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</si>
  <si>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</si>
  <si>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</si>
  <si>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</si>
  <si>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</si>
  <si>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</si>
  <si>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</si>
  <si>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</si>
  <si>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</si>
  <si>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</si>
  <si>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</si>
  <si>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</si>
  <si>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</si>
  <si>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</si>
  <si>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</si>
  <si>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</si>
  <si>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</si>
  <si>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</si>
  <si>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</si>
  <si>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</si>
  <si>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</si>
  <si>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</si>
  <si>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</si>
  <si>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</si>
  <si>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</si>
  <si>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</si>
  <si>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</si>
  <si>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</si>
  <si>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</si>
  <si>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</si>
  <si>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</si>
  <si>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</si>
  <si>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</si>
  <si>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</si>
  <si>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</si>
  <si>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</si>
  <si>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</si>
  <si>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</si>
  <si>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</si>
  <si>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</si>
  <si>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</si>
  <si>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</si>
  <si>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</si>
  <si>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</si>
  <si>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</si>
  <si>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</si>
  <si>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</si>
  <si>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</si>
  <si>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</si>
  <si>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</si>
  <si>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</si>
  <si>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</si>
  <si>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</si>
  <si>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</si>
  <si>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</si>
  <si>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</si>
  <si>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</si>
  <si>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</si>
  <si>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</si>
  <si>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</si>
  <si>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</si>
  <si>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</si>
  <si>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</si>
  <si>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</si>
  <si>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</si>
  <si>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</si>
  <si>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</si>
  <si>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</si>
  <si>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</si>
  <si>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</si>
  <si>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</si>
  <si>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</si>
  <si>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</si>
  <si>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</si>
  <si>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</si>
  <si>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</si>
  <si>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</si>
  <si>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</si>
  <si>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</si>
  <si>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</si>
  <si>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</si>
  <si>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</si>
  <si>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</si>
  <si>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</si>
  <si>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</si>
  <si>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</si>
  <si>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</si>
  <si>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</si>
  <si>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</si>
  <si>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</si>
  <si>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</si>
  <si>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</si>
  <si>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</si>
  <si>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</si>
  <si>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</si>
  <si>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</si>
  <si>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</si>
  <si>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</si>
  <si>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</si>
  <si>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</si>
  <si>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</si>
  <si>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</si>
  <si>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</si>
  <si>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</si>
  <si>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</si>
  <si>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</si>
  <si>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</si>
  <si>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</si>
  <si>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</si>
  <si>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</si>
  <si>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</si>
  <si>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</si>
  <si>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</si>
  <si>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</si>
  <si>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</si>
  <si>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</si>
  <si>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</si>
  <si>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</si>
  <si>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</si>
  <si>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</si>
  <si>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</si>
  <si>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</si>
  <si>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</si>
  <si>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</si>
  <si>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</si>
  <si>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</si>
  <si>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</si>
  <si>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</si>
  <si>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</si>
  <si>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</si>
  <si>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</si>
  <si>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</si>
  <si>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</si>
  <si>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</si>
  <si>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</si>
  <si>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</si>
  <si>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</si>
  <si>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</si>
  <si>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</si>
  <si>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</si>
  <si>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</si>
  <si>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</si>
  <si>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</si>
  <si>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</si>
  <si>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</si>
  <si>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</si>
  <si>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</si>
  <si>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</si>
  <si>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</si>
  <si>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</si>
  <si>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</si>
  <si>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</si>
  <si>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</si>
  <si>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</si>
  <si>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</si>
  <si>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</si>
  <si>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</si>
  <si>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</si>
  <si>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</si>
  <si>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</si>
  <si>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</si>
  <si>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</si>
  <si>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</si>
  <si>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</si>
  <si>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</si>
  <si>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</si>
  <si>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</si>
  <si>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</si>
  <si>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</si>
  <si>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</si>
  <si>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</si>
  <si>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</si>
  <si>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</si>
  <si>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</si>
  <si>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</si>
  <si>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</si>
  <si>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</si>
  <si>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</si>
  <si>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</si>
  <si>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</si>
  <si>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</si>
  <si>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</si>
  <si>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</si>
  <si>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</si>
  <si>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</si>
  <si>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</si>
  <si>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</si>
  <si>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</si>
  <si>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</si>
  <si>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</si>
  <si>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</si>
  <si>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</si>
  <si>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</si>
  <si>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</si>
  <si>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</si>
  <si>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</si>
  <si>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</si>
  <si>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</si>
  <si>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</si>
  <si>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</si>
  <si>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</si>
  <si>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</si>
  <si>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</si>
  <si>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</si>
  <si>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</si>
  <si>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</si>
  <si>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</si>
  <si>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</si>
  <si>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</si>
  <si>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</si>
  <si>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</si>
  <si>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</si>
  <si>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</si>
  <si>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</si>
  <si>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</si>
  <si>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</si>
  <si>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</si>
  <si>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</si>
  <si>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</si>
  <si>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</si>
  <si>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</si>
  <si>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</si>
  <si>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</si>
  <si>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</si>
  <si>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</si>
  <si>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</si>
  <si>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</si>
  <si>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</si>
  <si>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</si>
  <si>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</si>
  <si>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</si>
  <si>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</si>
  <si>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</si>
  <si>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</si>
  <si>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</si>
  <si>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</si>
  <si>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</si>
  <si>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</si>
  <si>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</si>
  <si>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</si>
  <si>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</si>
  <si>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</si>
  <si>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</si>
  <si>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</si>
  <si>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</si>
  <si>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</si>
  <si>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</si>
  <si>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</si>
  <si>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</si>
  <si>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</si>
  <si>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</si>
  <si>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</si>
  <si>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</si>
  <si>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</si>
  <si>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</si>
  <si>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</si>
  <si>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</si>
  <si>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</si>
  <si>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</si>
  <si>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</si>
  <si>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</si>
  <si>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</si>
  <si>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</si>
  <si>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</si>
  <si>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</si>
  <si>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</si>
  <si>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</si>
  <si>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</si>
  <si>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</si>
  <si>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</si>
  <si>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</si>
  <si>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</si>
  <si>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</si>
  <si>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</si>
  <si>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</si>
  <si>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</si>
  <si>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</si>
  <si>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</si>
  <si>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</si>
  <si>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</si>
  <si>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</si>
  <si>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</si>
  <si>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</si>
  <si>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</si>
  <si>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</si>
  <si>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</si>
  <si>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</si>
  <si>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</si>
  <si>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</si>
  <si>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</si>
  <si>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</si>
  <si>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</si>
  <si>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</si>
  <si>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</si>
  <si>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</si>
  <si>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</si>
  <si>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</si>
  <si>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</si>
  <si>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</si>
  <si>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</si>
  <si>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</si>
  <si>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</si>
  <si>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</si>
  <si>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</si>
  <si>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</si>
  <si>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</si>
  <si>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</si>
  <si>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</si>
  <si>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</si>
  <si>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</si>
  <si>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</si>
  <si>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</si>
  <si>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</si>
  <si>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</si>
  <si>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</si>
  <si>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</si>
  <si>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</si>
  <si>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</si>
  <si>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</si>
  <si>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</si>
  <si>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</si>
  <si>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</si>
  <si>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</si>
  <si>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</si>
  <si>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</si>
  <si>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</si>
  <si>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</si>
  <si>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</si>
  <si>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</si>
  <si>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</si>
  <si>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</si>
  <si>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</si>
  <si>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</si>
  <si>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</si>
  <si>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</si>
  <si>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</si>
  <si>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</si>
  <si>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</si>
  <si>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</si>
  <si>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</si>
  <si>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</si>
  <si>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</si>
  <si>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</si>
  <si>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</si>
  <si>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</si>
  <si>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</si>
  <si>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</si>
  <si>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</si>
  <si>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</si>
  <si>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</si>
  <si>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</si>
  <si>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</si>
  <si>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</si>
  <si>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</si>
  <si>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</si>
  <si>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</si>
  <si>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</si>
  <si>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</si>
  <si>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</si>
  <si>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</si>
  <si>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</si>
  <si>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</si>
  <si>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</si>
  <si>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</si>
  <si>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</si>
  <si>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</si>
  <si>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</si>
  <si>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</si>
  <si>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</si>
  <si>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</si>
  <si>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</si>
  <si>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</si>
  <si>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</si>
  <si>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</si>
  <si>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</si>
  <si>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</si>
  <si>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</si>
  <si>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</si>
  <si>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</si>
  <si>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</si>
  <si>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</si>
  <si>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</si>
  <si>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</si>
  <si>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</si>
  <si>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</si>
  <si>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</si>
  <si>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</si>
  <si>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</si>
  <si>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</si>
  <si>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</si>
  <si>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</si>
  <si>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</si>
  <si>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</si>
  <si>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</si>
  <si>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</si>
  <si>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</si>
  <si>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</si>
  <si>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</si>
  <si>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</si>
  <si>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</si>
  <si>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</si>
  <si>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</si>
  <si>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</si>
  <si>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</si>
  <si>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</si>
  <si>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</si>
  <si>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</si>
  <si>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</si>
  <si>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</si>
  <si>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</si>
  <si>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</si>
  <si>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</si>
  <si>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</si>
  <si>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</si>
  <si>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</si>
  <si>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</si>
  <si>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</si>
  <si>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</si>
  <si>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</si>
  <si>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</si>
  <si>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</si>
  <si>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</si>
  <si>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</si>
  <si>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</si>
  <si>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</si>
  <si>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</si>
  <si>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</si>
  <si>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</si>
  <si>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</si>
  <si>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</si>
  <si>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</si>
  <si>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</si>
  <si>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</si>
  <si>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</si>
  <si>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</si>
  <si>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</si>
  <si>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</si>
  <si>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</si>
  <si>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</si>
  <si>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</si>
  <si>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</si>
  <si>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</si>
  <si>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</si>
  <si>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</si>
  <si>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</si>
  <si>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</si>
  <si>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</si>
  <si>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</si>
  <si>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</si>
  <si>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</si>
  <si>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</si>
  <si>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</si>
  <si>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</si>
  <si>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</si>
  <si>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</si>
  <si>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</si>
  <si>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</si>
  <si>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</si>
  <si>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</si>
  <si>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</si>
  <si>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</si>
  <si>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</si>
  <si>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</si>
  <si>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</si>
  <si>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</si>
  <si>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</si>
  <si>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</si>
  <si>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</si>
  <si>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</si>
  <si>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</si>
  <si>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</si>
  <si>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</si>
  <si>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</si>
  <si>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</si>
  <si>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</si>
  <si>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</si>
  <si>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</si>
  <si>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</si>
  <si>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</si>
  <si>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</si>
  <si>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</si>
  <si>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</si>
  <si>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</si>
  <si>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</si>
  <si>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</si>
  <si>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</si>
  <si>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</si>
  <si>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</si>
  <si>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</si>
  <si>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</si>
  <si>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</si>
  <si>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</si>
  <si>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</si>
  <si>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</si>
  <si>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</si>
  <si>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</si>
  <si>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</si>
  <si>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</si>
  <si>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</si>
  <si>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</si>
  <si>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</si>
  <si>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</si>
  <si>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</si>
  <si>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</si>
  <si>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</si>
  <si>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</si>
  <si>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</si>
  <si>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</si>
  <si>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</si>
  <si>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</si>
  <si>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</si>
  <si>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</si>
  <si>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</si>
  <si>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</si>
  <si>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</si>
  <si>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</si>
  <si>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</si>
  <si>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</si>
  <si>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</si>
  <si>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</si>
  <si>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</si>
  <si>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</si>
  <si>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</si>
  <si>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</si>
  <si>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</si>
  <si>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</si>
  <si>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</si>
  <si>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</si>
  <si>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</si>
  <si>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</si>
  <si>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</si>
  <si>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</si>
  <si>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</si>
  <si>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</si>
  <si>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</si>
  <si>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</si>
  <si>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</si>
  <si>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</si>
  <si>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</si>
  <si>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</si>
  <si>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</si>
  <si>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</si>
  <si>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</si>
  <si>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</si>
  <si>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</si>
  <si>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</si>
  <si>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</si>
  <si>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</si>
  <si>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</si>
  <si>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</si>
  <si>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</si>
  <si>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</si>
  <si>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</si>
  <si>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</si>
  <si>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</si>
  <si>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</si>
  <si>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</si>
  <si>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</si>
  <si>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</si>
  <si>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</si>
  <si>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</si>
  <si>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</si>
  <si>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</si>
  <si>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</si>
  <si>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</si>
  <si>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</si>
  <si>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</si>
  <si>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</si>
  <si>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</si>
  <si>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</si>
  <si>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</si>
  <si>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</si>
  <si>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</si>
  <si>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</si>
  <si>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</si>
  <si>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</si>
  <si>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</si>
  <si>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</si>
  <si>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</si>
  <si>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</si>
  <si>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</si>
  <si>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</si>
  <si>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</si>
  <si>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</si>
  <si>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</si>
  <si>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</si>
  <si>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</si>
  <si>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</si>
  <si>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</si>
  <si>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</si>
  <si>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</si>
  <si>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</si>
  <si>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</si>
  <si>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</si>
  <si>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</si>
  <si>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</si>
  <si>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</si>
  <si>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</si>
  <si>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</si>
  <si>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</si>
  <si>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</si>
  <si>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</si>
  <si>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</si>
  <si>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</si>
  <si>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</si>
  <si>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</si>
  <si>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</si>
  <si>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</si>
  <si>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</si>
  <si>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</si>
  <si>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</si>
  <si>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</si>
  <si>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</si>
  <si>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</si>
  <si>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</si>
  <si>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</si>
  <si>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</si>
  <si>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</si>
  <si>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</si>
  <si>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</si>
  <si>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</si>
  <si>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</si>
  <si>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</si>
  <si>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</si>
  <si>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</si>
  <si>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</si>
  <si>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</si>
  <si>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</si>
  <si>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</si>
  <si>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</si>
  <si>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</si>
  <si>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</si>
  <si>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</si>
  <si>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</si>
  <si>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</si>
  <si>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</si>
  <si>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</si>
  <si>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</si>
  <si>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</si>
  <si>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</si>
  <si>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</si>
  <si>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</si>
  <si>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</si>
  <si>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</si>
  <si>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</si>
  <si>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</si>
  <si>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</si>
  <si>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</si>
  <si>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</si>
  <si>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</si>
  <si>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</si>
  <si>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</si>
  <si>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</si>
  <si>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</si>
  <si>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</si>
  <si>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</si>
  <si>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</si>
  <si>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</si>
  <si>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</si>
  <si>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</si>
  <si>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</si>
  <si>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</si>
  <si>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</si>
  <si>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</si>
  <si>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</si>
  <si>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</si>
  <si>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</si>
  <si>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</si>
  <si>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</si>
  <si>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</si>
  <si>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</si>
  <si>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</si>
  <si>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</si>
  <si>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</si>
  <si>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</si>
  <si>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</si>
  <si>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</si>
  <si>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</si>
  <si>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</si>
  <si>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</si>
  <si>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</si>
  <si>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</si>
  <si>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</si>
  <si>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</si>
  <si>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</si>
  <si>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</si>
  <si>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</si>
  <si>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</si>
  <si>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</si>
  <si>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</si>
  <si>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</si>
  <si>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</si>
  <si>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</si>
  <si>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</si>
  <si>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</si>
  <si>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</si>
  <si>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</si>
  <si>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</si>
  <si>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</si>
  <si>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</si>
  <si>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</si>
  <si>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</si>
  <si>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</si>
  <si>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</si>
  <si>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</si>
  <si>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</si>
  <si>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</si>
  <si>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</si>
  <si>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</si>
  <si>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</si>
  <si>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</si>
  <si>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</si>
  <si>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</si>
  <si>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</si>
  <si>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</si>
  <si>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</si>
  <si>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</si>
  <si>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</si>
  <si>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</si>
  <si>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</si>
  <si>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</si>
  <si>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</si>
  <si>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</si>
  <si>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</si>
  <si>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</si>
  <si>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</si>
  <si>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</si>
  <si>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</si>
  <si>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</si>
  <si>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</si>
  <si>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</si>
  <si>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</si>
  <si>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</si>
  <si>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</si>
  <si>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</si>
  <si>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</si>
  <si>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</si>
  <si>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</si>
  <si>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</si>
  <si>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</si>
  <si>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</si>
  <si>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</si>
  <si>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</si>
  <si>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</si>
  <si>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</si>
  <si>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</si>
  <si>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</si>
  <si>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</si>
  <si>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</si>
  <si>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</si>
  <si>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</si>
  <si>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</si>
  <si>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</si>
  <si>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</si>
  <si>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</si>
  <si>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</si>
  <si>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</si>
  <si>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</si>
  <si>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</si>
  <si>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</si>
  <si>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</si>
  <si>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</si>
  <si>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</si>
  <si>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</si>
  <si>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</si>
  <si>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</si>
  <si>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</si>
  <si>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</si>
  <si>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</si>
  <si>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</si>
  <si>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</si>
  <si>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</si>
  <si>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</si>
  <si>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</si>
  <si>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</si>
  <si>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</si>
  <si>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</si>
  <si>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</si>
  <si>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</si>
  <si>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</si>
  <si>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</si>
  <si>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</si>
  <si>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</si>
  <si>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</si>
  <si>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</si>
  <si>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</si>
  <si>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</si>
  <si>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</si>
  <si>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</si>
  <si>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</si>
  <si>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</si>
  <si>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</si>
  <si>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</si>
  <si>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</si>
  <si>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</si>
  <si>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</si>
  <si>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</si>
  <si>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</si>
  <si>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</si>
  <si>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</si>
  <si>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</si>
  <si>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</si>
  <si>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</si>
  <si>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</si>
  <si>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</si>
  <si>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</si>
  <si>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</si>
  <si>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</si>
  <si>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</si>
  <si>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</si>
  <si>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</si>
  <si>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</si>
  <si>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</si>
  <si>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</si>
  <si>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</si>
  <si>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</si>
  <si>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</si>
  <si>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</si>
  <si>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</si>
  <si>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</si>
  <si>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</si>
  <si>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</si>
  <si>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</si>
  <si>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</si>
  <si>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</si>
  <si>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</si>
  <si>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</si>
  <si>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</si>
  <si>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</si>
  <si>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</si>
  <si>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</si>
  <si>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</si>
  <si>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</si>
  <si>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</si>
  <si>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</si>
  <si>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</si>
  <si>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</si>
  <si>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</si>
  <si>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</si>
  <si>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</si>
  <si>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</si>
  <si>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</si>
  <si>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</si>
  <si>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</si>
  <si>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</si>
  <si>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</si>
  <si>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</si>
  <si>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</si>
  <si>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</si>
  <si>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</si>
  <si>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</si>
  <si>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</si>
  <si>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</si>
  <si>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</si>
  <si>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</si>
  <si>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</si>
  <si>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</si>
  <si>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</si>
  <si>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</si>
  <si>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</si>
  <si>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</si>
  <si>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</si>
  <si>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</si>
  <si>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</si>
  <si>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</si>
  <si>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</si>
  <si>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</si>
  <si>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</si>
  <si>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</si>
  <si>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</si>
  <si>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</si>
  <si>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</si>
  <si>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</si>
  <si>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</si>
  <si>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</si>
  <si>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</si>
  <si>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</si>
  <si>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</si>
  <si>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</si>
  <si>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</si>
  <si>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</si>
  <si>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</si>
  <si>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</si>
  <si>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</si>
  <si>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</si>
  <si>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</si>
  <si>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</si>
  <si>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</si>
  <si>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</si>
  <si>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</si>
  <si>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</si>
  <si>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</si>
  <si>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</si>
  <si>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</si>
  <si>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</si>
  <si>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</si>
  <si>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</si>
  <si>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</si>
  <si>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</si>
  <si>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</si>
  <si>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</si>
  <si>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</si>
  <si>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</si>
  <si>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</si>
  <si>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</si>
  <si>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</si>
  <si>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</si>
  <si>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</si>
  <si>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</si>
  <si>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</si>
  <si>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</si>
  <si>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</si>
  <si>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</si>
  <si>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</si>
  <si>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</si>
  <si>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</si>
  <si>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</si>
  <si>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</si>
  <si>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</si>
  <si>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</si>
  <si>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</si>
  <si>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</si>
  <si>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</si>
  <si>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</si>
  <si>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</si>
  <si>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</si>
  <si>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</si>
  <si>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</si>
  <si>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</si>
  <si>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</si>
  <si>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</si>
  <si>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</si>
  <si>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</si>
  <si>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</si>
  <si>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</si>
  <si>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</si>
  <si>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</si>
  <si>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</si>
  <si>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</si>
  <si>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</si>
  <si>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</si>
  <si>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</si>
  <si>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</si>
  <si>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</si>
  <si>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</si>
  <si>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</si>
  <si>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</si>
  <si>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</si>
  <si>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</si>
  <si>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</si>
  <si>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</si>
  <si>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</si>
  <si>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</si>
  <si>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</si>
  <si>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</si>
  <si>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</si>
  <si>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</si>
  <si>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</si>
  <si>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</si>
  <si>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</si>
  <si>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</si>
  <si>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</si>
  <si>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</si>
  <si>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</si>
  <si>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</si>
  <si>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</si>
  <si>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</si>
  <si>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</si>
  <si>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</si>
  <si>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</si>
  <si>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</si>
  <si>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</si>
  <si>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</si>
  <si>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</si>
  <si>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</si>
  <si>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</si>
  <si>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</si>
  <si>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</si>
  <si>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</si>
  <si>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</si>
  <si>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</si>
  <si>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</si>
  <si>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</si>
  <si>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</si>
  <si>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</si>
  <si>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</si>
  <si>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</si>
  <si>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</si>
  <si>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</si>
  <si>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</si>
  <si>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</si>
  <si>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</si>
  <si>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</si>
  <si>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</si>
  <si>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</si>
  <si>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</si>
  <si>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</si>
  <si>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</si>
  <si>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</si>
  <si>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</si>
  <si>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</si>
  <si>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</si>
  <si>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</si>
  <si>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</si>
  <si>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</si>
  <si>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</si>
  <si>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</si>
  <si>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</si>
  <si>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</si>
  <si>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</si>
  <si>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</si>
  <si>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</si>
  <si>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</si>
  <si>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</si>
  <si>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</si>
  <si>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</si>
  <si>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</si>
  <si>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</si>
  <si>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</si>
  <si>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</si>
  <si>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</si>
  <si>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</si>
  <si>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</si>
  <si>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</si>
  <si>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</si>
  <si>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</si>
  <si>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</si>
  <si>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</si>
  <si>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</si>
  <si>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</si>
  <si>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</si>
  <si>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</si>
  <si>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</si>
  <si>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</si>
  <si>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</si>
  <si>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</si>
  <si>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</si>
  <si>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</si>
  <si>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</si>
  <si>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</si>
  <si>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</si>
  <si>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</si>
  <si>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</si>
  <si>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</si>
  <si>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</si>
  <si>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</si>
  <si>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</si>
  <si>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</si>
  <si>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</si>
  <si>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</si>
  <si>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</si>
  <si>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</si>
  <si>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</si>
  <si>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</si>
  <si>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</si>
  <si>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</si>
  <si>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</si>
  <si>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</si>
  <si>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</si>
  <si>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</si>
  <si>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</si>
  <si>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</si>
  <si>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</si>
  <si>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</si>
  <si>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</si>
  <si>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</si>
  <si>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</si>
  <si>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</si>
  <si>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</si>
  <si>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</si>
  <si>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</si>
  <si>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</si>
  <si>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</si>
  <si>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</si>
  <si>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</si>
  <si>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</si>
  <si>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</si>
  <si>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</si>
  <si>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</si>
  <si>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</si>
  <si>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</si>
  <si>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</si>
  <si>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</si>
  <si>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</si>
  <si>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</si>
  <si>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</si>
  <si>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</si>
  <si>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</si>
  <si>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</si>
  <si>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</si>
  <si>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</si>
  <si>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</si>
  <si>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</si>
  <si>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</si>
  <si>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</si>
  <si>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</si>
  <si>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</si>
  <si>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</si>
  <si>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</si>
  <si>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</si>
  <si>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</si>
  <si>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</si>
  <si>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</si>
  <si>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</si>
  <si>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</si>
  <si>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</si>
  <si>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</si>
  <si>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</si>
  <si>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</si>
  <si>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</si>
  <si>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</si>
  <si>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</si>
  <si>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</si>
  <si>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</si>
  <si>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</si>
  <si>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</si>
  <si>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</si>
  <si>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</si>
  <si>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</si>
  <si>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</si>
  <si>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</si>
  <si>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</si>
  <si>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</si>
  <si>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</si>
  <si>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</si>
  <si>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</si>
  <si>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</si>
  <si>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</si>
  <si>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</si>
  <si>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</si>
  <si>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</si>
  <si>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</si>
  <si>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</si>
  <si>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</si>
  <si>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</si>
  <si>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</si>
  <si>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</si>
  <si>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</si>
  <si>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</si>
  <si>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</si>
  <si>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</si>
  <si>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</si>
  <si>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</si>
  <si>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</si>
  <si>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</si>
  <si>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</si>
  <si>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</si>
  <si>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</si>
  <si>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</si>
  <si>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</si>
  <si>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</si>
  <si>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</si>
  <si>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</si>
  <si>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</si>
  <si>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</si>
  <si>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</si>
  <si>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</si>
  <si>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</si>
  <si>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</si>
  <si>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</si>
  <si>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</si>
  <si>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</si>
  <si>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</si>
  <si>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</si>
  <si>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</si>
  <si>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</si>
  <si>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</si>
  <si>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</si>
  <si>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</si>
  <si>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</si>
  <si>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</si>
  <si>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</si>
  <si>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</si>
  <si>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</si>
  <si>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</si>
  <si>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</si>
  <si>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</si>
  <si>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</si>
  <si>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</si>
  <si>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</si>
  <si>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</si>
  <si>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</si>
  <si>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</si>
  <si>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</si>
  <si>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</si>
  <si>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</si>
  <si>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</si>
  <si>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</si>
  <si>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</si>
  <si>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</si>
  <si>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</si>
  <si>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</si>
  <si>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</si>
  <si>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</si>
  <si>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</si>
  <si>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</si>
  <si>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</si>
  <si>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</si>
  <si>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</si>
  <si>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</si>
  <si>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</si>
  <si>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</si>
  <si>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</si>
  <si>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</si>
  <si>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</si>
  <si>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</si>
  <si>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</si>
  <si>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</si>
  <si>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</si>
  <si>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</si>
  <si>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</si>
  <si>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</si>
  <si>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</si>
  <si>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</si>
  <si>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</si>
  <si>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</si>
  <si>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</si>
  <si>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</si>
  <si>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</si>
  <si>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</si>
  <si>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</si>
  <si>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</si>
  <si>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</si>
  <si>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</si>
  <si>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</si>
  <si>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</si>
  <si>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</si>
  <si>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</si>
  <si>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</si>
  <si>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</si>
  <si>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</si>
  <si>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</si>
  <si>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</si>
  <si>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</si>
  <si>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</si>
  <si>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</si>
  <si>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</si>
  <si>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</si>
  <si>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</si>
  <si>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</si>
  <si>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</si>
  <si>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</si>
  <si>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</si>
  <si>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</si>
  <si>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</si>
  <si>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</si>
  <si>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</si>
  <si>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</si>
  <si>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</si>
  <si>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</si>
  <si>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</si>
  <si>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</si>
  <si>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</si>
  <si>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</si>
  <si>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</si>
  <si>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</si>
  <si>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</si>
  <si>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</si>
  <si>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</si>
  <si>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</si>
  <si>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</si>
  <si>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</si>
  <si>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</si>
  <si>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</si>
  <si>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</si>
  <si>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</si>
  <si>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</si>
  <si>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</si>
  <si>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</si>
  <si>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</si>
  <si>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</si>
  <si>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</si>
  <si>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</si>
  <si>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</si>
  <si>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</si>
  <si>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</si>
  <si>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</si>
  <si>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</si>
  <si>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</si>
  <si>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</si>
  <si>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</si>
  <si>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</si>
  <si>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</si>
  <si>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</si>
  <si>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</si>
  <si>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</si>
  <si>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</si>
  <si>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</si>
  <si>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</si>
  <si>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</si>
  <si>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</si>
  <si>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</si>
  <si>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</si>
  <si>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</si>
  <si>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</si>
  <si>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</si>
  <si>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</si>
  <si>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</si>
  <si>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</si>
  <si>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</si>
  <si>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</si>
  <si>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</si>
  <si>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</si>
  <si>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</si>
  <si>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</si>
  <si>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</si>
  <si>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</si>
  <si>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</si>
  <si>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</si>
  <si>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</si>
  <si>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</si>
  <si>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</si>
  <si>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</si>
  <si>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</si>
  <si>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</si>
  <si>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</si>
  <si>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</si>
  <si>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</si>
  <si>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</si>
  <si>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</si>
  <si>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</si>
  <si>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</si>
  <si>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</si>
  <si>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</si>
  <si>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</si>
  <si>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</si>
  <si>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</si>
  <si>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</si>
  <si>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</si>
  <si>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</si>
  <si>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</si>
  <si>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</si>
  <si>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</si>
  <si>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</si>
  <si>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</si>
  <si>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</si>
  <si>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</si>
  <si>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</si>
  <si>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</si>
  <si>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</si>
  <si>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</si>
  <si>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</si>
  <si>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</si>
  <si>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</si>
  <si>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</si>
  <si>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</si>
  <si>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</si>
  <si>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</si>
  <si>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</si>
  <si>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</si>
  <si>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</si>
  <si>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</si>
  <si>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</si>
  <si>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</si>
  <si>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</si>
  <si>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</si>
  <si>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</si>
  <si>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</si>
  <si>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</si>
  <si>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</si>
  <si>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</si>
  <si>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</si>
  <si>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</si>
  <si>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</si>
  <si>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</si>
  <si>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</si>
  <si>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</si>
  <si>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</si>
  <si>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</si>
  <si>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</si>
  <si>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</si>
  <si>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</si>
  <si>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</si>
  <si>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</si>
  <si>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</si>
  <si>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</si>
  <si>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</si>
  <si>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</si>
  <si>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</si>
  <si>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</si>
  <si>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</si>
  <si>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</si>
  <si>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</si>
  <si>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</si>
  <si>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</si>
  <si>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</si>
  <si>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</si>
  <si>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</si>
  <si>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</si>
  <si>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</si>
  <si>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</si>
  <si>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</si>
  <si>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</si>
  <si>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</si>
  <si>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</si>
  <si>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</si>
  <si>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</si>
  <si>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</si>
  <si>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</si>
  <si>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</si>
  <si>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</si>
  <si>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</si>
  <si>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</si>
  <si>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</si>
  <si>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</si>
  <si>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</si>
  <si>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</si>
  <si>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</si>
  <si>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</si>
  <si>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</si>
  <si>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</si>
  <si>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</si>
  <si>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</si>
  <si>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</si>
  <si>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</si>
  <si>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</si>
  <si>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</si>
  <si>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</si>
  <si>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</si>
  <si>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</si>
  <si>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</si>
  <si>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</si>
  <si>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</si>
  <si>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</si>
  <si>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</si>
  <si>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</si>
  <si>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</si>
  <si>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</si>
  <si>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</si>
  <si>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</si>
  <si>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</si>
  <si>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</si>
  <si>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</si>
  <si>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</si>
  <si>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</si>
  <si>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</si>
  <si>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</si>
  <si>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</si>
  <si>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</si>
  <si>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</si>
  <si>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</si>
  <si>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</si>
  <si>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</si>
  <si>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</si>
  <si>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</si>
  <si>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</si>
  <si>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</si>
  <si>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</si>
  <si>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</si>
  <si>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</si>
  <si>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</si>
  <si>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</si>
  <si>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</si>
  <si>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</si>
  <si>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</si>
  <si>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</si>
  <si>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</si>
  <si>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</si>
  <si>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</si>
  <si>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</si>
  <si>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</si>
  <si>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</si>
  <si>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</si>
  <si>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</si>
  <si>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</si>
  <si>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</si>
  <si>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</si>
  <si>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</si>
  <si>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</si>
  <si>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</si>
  <si>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</si>
  <si>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</si>
  <si>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</si>
  <si>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</si>
  <si>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</si>
  <si>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</si>
  <si>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</si>
  <si>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</si>
  <si>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</si>
  <si>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</si>
  <si>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</si>
  <si>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</si>
  <si>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</si>
  <si>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</si>
  <si>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</si>
  <si>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</si>
  <si>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</si>
  <si>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</si>
  <si>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</si>
  <si>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</si>
  <si>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</si>
  <si>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</si>
  <si>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</si>
  <si>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</si>
  <si>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</si>
  <si>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</si>
  <si>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</si>
  <si>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</si>
  <si>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</si>
  <si>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</si>
  <si>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</si>
  <si>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</si>
  <si>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</si>
  <si>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</si>
  <si>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</si>
  <si>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</si>
  <si>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</si>
  <si>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</si>
  <si>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</si>
  <si>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</si>
  <si>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</si>
  <si>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</si>
  <si>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</si>
  <si>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</si>
  <si>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</si>
  <si>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</si>
  <si>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</si>
  <si>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</si>
  <si>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</si>
  <si>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</si>
  <si>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</si>
  <si>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</si>
  <si>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</si>
  <si>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</si>
  <si>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</si>
  <si>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</si>
  <si>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</si>
  <si>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</si>
  <si>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</si>
  <si>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</si>
  <si>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</si>
  <si>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</si>
  <si>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</si>
  <si>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</si>
  <si>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</si>
  <si>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</si>
  <si>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</si>
  <si>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</si>
  <si>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</si>
  <si>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</si>
  <si>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</si>
  <si>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</si>
  <si>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</si>
  <si>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</si>
  <si>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</si>
  <si>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</si>
  <si>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</si>
  <si>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</si>
  <si>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</si>
  <si>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</si>
  <si>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</si>
  <si>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</si>
  <si>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</si>
  <si>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</si>
  <si>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</si>
  <si>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</si>
  <si>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</si>
  <si>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</si>
  <si>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</si>
  <si>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</si>
  <si>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</si>
  <si>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</si>
  <si>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</si>
  <si>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</si>
  <si>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</si>
  <si>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</si>
  <si>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</si>
  <si>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</si>
  <si>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</si>
  <si>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</si>
  <si>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</si>
  <si>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</si>
  <si>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</si>
  <si>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</si>
  <si>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</si>
  <si>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</si>
  <si>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</si>
  <si>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</si>
  <si>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</si>
  <si>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</si>
  <si>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</si>
  <si>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</si>
  <si>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</si>
  <si>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</si>
  <si>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</si>
  <si>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</si>
  <si>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</si>
  <si>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</si>
  <si>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</si>
  <si>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</si>
  <si>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</si>
  <si>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</si>
  <si>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</si>
  <si>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</si>
  <si>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</si>
  <si>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</si>
  <si>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</si>
  <si>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</si>
  <si>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</si>
  <si>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</si>
  <si>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</si>
  <si>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</si>
  <si>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</si>
  <si>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</si>
  <si>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</si>
  <si>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</si>
  <si>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</si>
  <si>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</si>
  <si>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</si>
  <si>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</si>
  <si>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</si>
  <si>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</si>
  <si>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</si>
  <si>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</si>
  <si>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</si>
  <si>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</si>
  <si>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</si>
  <si>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</si>
  <si>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</si>
  <si>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</si>
  <si>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</si>
  <si>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</si>
  <si>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</si>
  <si>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</si>
  <si>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</si>
  <si>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</si>
  <si>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</si>
  <si>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</si>
  <si>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</si>
  <si>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</si>
  <si>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</si>
  <si>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</si>
  <si>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</si>
  <si>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</si>
  <si>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</si>
  <si>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</si>
  <si>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</si>
  <si>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</si>
  <si>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</si>
  <si>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</si>
  <si>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</si>
  <si>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</si>
  <si>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</si>
  <si>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</si>
  <si>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</si>
  <si>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</si>
  <si>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</si>
  <si>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</si>
  <si>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</si>
  <si>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</si>
  <si>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</si>
  <si>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</si>
  <si>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</si>
  <si>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</si>
  <si>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</si>
  <si>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</si>
  <si>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</si>
  <si>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</si>
  <si>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</si>
  <si>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</si>
  <si>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</si>
  <si>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</si>
  <si>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</si>
  <si>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</si>
  <si>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</si>
  <si>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</si>
  <si>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</si>
  <si>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</si>
  <si>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</si>
  <si>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</si>
  <si>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</si>
  <si>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</si>
  <si>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</si>
  <si>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</si>
  <si>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</si>
  <si>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</si>
  <si>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</si>
  <si>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</si>
  <si>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</si>
  <si>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</si>
  <si>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</si>
  <si>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</si>
  <si>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</si>
  <si>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</si>
  <si>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</si>
  <si>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</si>
  <si>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</si>
  <si>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</si>
  <si>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</si>
  <si>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</si>
  <si>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</si>
  <si>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</si>
  <si>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</si>
  <si>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</si>
  <si>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</si>
  <si>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</si>
  <si>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</si>
  <si>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</si>
  <si>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</si>
  <si>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</si>
  <si>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</si>
  <si>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</si>
  <si>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</si>
  <si>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</si>
  <si>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</si>
  <si>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</si>
  <si>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</si>
  <si>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</si>
  <si>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</si>
  <si>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</si>
  <si>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</si>
  <si>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</si>
  <si>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</si>
  <si>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</si>
  <si>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</si>
  <si>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</si>
  <si>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</si>
  <si>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</si>
  <si>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</si>
  <si>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</si>
  <si>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</si>
  <si>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</si>
  <si>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</si>
  <si>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</si>
  <si>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</si>
  <si>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</si>
  <si>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</si>
  <si>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</si>
  <si>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</si>
  <si>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</si>
  <si>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</si>
  <si>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</si>
  <si>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</si>
  <si>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</si>
  <si>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</si>
  <si>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</si>
  <si>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</si>
  <si>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</si>
  <si>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</si>
  <si>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</si>
  <si>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</si>
  <si>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</si>
  <si>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</si>
  <si>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</si>
  <si>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</si>
  <si>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</si>
  <si>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</si>
  <si>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</si>
  <si>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</si>
  <si>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</si>
  <si>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</si>
  <si>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</si>
  <si>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</si>
  <si>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</si>
  <si>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</si>
  <si>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</si>
  <si>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</si>
  <si>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</si>
  <si>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</si>
  <si>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</si>
  <si>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</si>
  <si>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</si>
  <si>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</si>
  <si>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</si>
  <si>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</si>
  <si>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</si>
  <si>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</si>
  <si>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</si>
  <si>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</si>
  <si>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</si>
  <si>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</si>
  <si>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</si>
  <si>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</si>
  <si>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</si>
  <si>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</si>
  <si>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</si>
  <si>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</si>
  <si>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</si>
  <si>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</si>
  <si>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</si>
  <si>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</si>
  <si>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</si>
  <si>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</si>
  <si>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</si>
  <si>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</si>
  <si>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</si>
  <si>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</si>
  <si>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</si>
  <si>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</si>
  <si>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</si>
  <si>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</si>
  <si>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</si>
  <si>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</si>
  <si>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</si>
  <si>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</si>
  <si>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</si>
  <si>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</si>
  <si>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</si>
  <si>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</si>
  <si>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</si>
  <si>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</si>
  <si>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</si>
  <si>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</si>
  <si>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</si>
  <si>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</si>
  <si>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</si>
  <si>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</si>
  <si>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</si>
  <si>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</si>
  <si>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</si>
  <si>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</si>
  <si>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</si>
  <si>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</si>
  <si>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</si>
  <si>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</si>
  <si>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</si>
  <si>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</si>
  <si>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</si>
  <si>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</si>
  <si>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</si>
  <si>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</si>
  <si>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</si>
  <si>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</si>
  <si>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</si>
  <si>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</si>
  <si>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</si>
  <si>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</si>
  <si>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</si>
  <si>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</si>
  <si>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</si>
  <si>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</si>
  <si>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</si>
  <si>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</si>
  <si>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</si>
  <si>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</si>
  <si>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</si>
  <si>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</si>
  <si>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</si>
  <si>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</si>
  <si>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</si>
  <si>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</si>
  <si>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</si>
  <si>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</si>
  <si>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</si>
  <si>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</si>
  <si>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</si>
  <si>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</si>
  <si>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</si>
  <si>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</si>
  <si>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</si>
  <si>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</si>
  <si>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</si>
  <si>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</si>
  <si>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</si>
  <si>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</si>
  <si>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</si>
  <si>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</si>
  <si>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</si>
  <si>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</si>
  <si>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</si>
  <si>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</si>
  <si>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</si>
  <si>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</si>
  <si>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</si>
  <si>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</si>
  <si>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</si>
  <si>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</si>
  <si>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</si>
  <si>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</si>
  <si>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</si>
  <si>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</si>
  <si>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</si>
  <si>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</si>
  <si>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</si>
  <si>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</si>
  <si>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</si>
  <si>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</si>
  <si>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</si>
  <si>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</si>
  <si>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</si>
  <si>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</si>
  <si>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</si>
  <si>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</si>
  <si>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</si>
  <si>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</si>
  <si>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</si>
  <si>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</si>
  <si>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</si>
  <si>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</si>
  <si>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</si>
  <si>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</si>
  <si>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</si>
  <si>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</si>
  <si>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</si>
  <si>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</si>
  <si>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</si>
  <si>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</si>
  <si>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</si>
  <si>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</si>
  <si>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</si>
  <si>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</si>
  <si>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</si>
  <si>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</si>
  <si>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</si>
  <si>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</si>
  <si>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</si>
  <si>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</si>
  <si>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</si>
  <si>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</si>
  <si>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</si>
  <si>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</si>
  <si>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</si>
  <si>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</si>
  <si>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</si>
  <si>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</si>
  <si>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</si>
  <si>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</si>
  <si>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</si>
  <si>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</si>
  <si>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</si>
  <si>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</si>
  <si>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</si>
  <si>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</si>
  <si>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</si>
  <si>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</si>
  <si>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</si>
  <si>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</si>
  <si>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</si>
  <si>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</si>
  <si>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</si>
  <si>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</si>
  <si>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</si>
  <si>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</si>
  <si>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</si>
  <si>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</si>
  <si>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</si>
  <si>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</si>
  <si>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</si>
  <si>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</si>
  <si>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</si>
  <si>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</si>
  <si>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</si>
  <si>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</si>
  <si>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</si>
  <si>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</si>
  <si>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</si>
  <si>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</si>
  <si>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</si>
  <si>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</si>
  <si>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</si>
  <si>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</si>
  <si>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</si>
  <si>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</si>
  <si>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</si>
  <si>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</si>
  <si>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</si>
  <si>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</si>
  <si>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</si>
  <si>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</si>
  <si>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</si>
  <si>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</si>
  <si>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</si>
  <si>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</si>
  <si>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</si>
  <si>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</si>
  <si>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</si>
  <si>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</si>
  <si>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</si>
  <si>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</si>
  <si>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</si>
  <si>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</si>
  <si>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</si>
  <si>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</si>
  <si>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</si>
  <si>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</si>
  <si>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</si>
  <si>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</si>
  <si>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</si>
  <si>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</si>
  <si>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</si>
  <si>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</si>
  <si>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</si>
  <si>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</si>
  <si>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</si>
  <si>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</si>
  <si>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</si>
  <si>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</si>
  <si>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</si>
  <si>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</si>
  <si>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</si>
  <si>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</si>
  <si>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</si>
  <si>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</si>
  <si>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</si>
  <si>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</si>
  <si>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</si>
  <si>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</si>
  <si>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</si>
  <si>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</si>
  <si>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</si>
  <si>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</si>
  <si>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</si>
  <si>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</si>
  <si>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</si>
  <si>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</si>
  <si>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</si>
  <si>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</si>
  <si>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</si>
  <si>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</si>
  <si>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</si>
  <si>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</si>
  <si>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</si>
  <si>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</si>
  <si>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</si>
  <si>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</si>
  <si>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</si>
  <si>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</si>
  <si>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</si>
  <si>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</si>
  <si>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</si>
  <si>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</si>
  <si>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</si>
  <si>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</si>
  <si>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</si>
  <si>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</si>
  <si>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</si>
  <si>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</si>
  <si>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</si>
  <si>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</si>
  <si>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</si>
  <si>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</si>
  <si>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</si>
  <si>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</si>
  <si>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</si>
  <si>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</si>
  <si>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</si>
  <si>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</si>
  <si>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</si>
  <si>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</si>
  <si>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</si>
  <si>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</si>
  <si>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</si>
  <si>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</si>
  <si>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</si>
  <si>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</si>
  <si>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</si>
  <si>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</si>
  <si>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</si>
  <si>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</si>
  <si>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</si>
  <si>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</si>
  <si>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</si>
  <si>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</si>
  <si>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</si>
  <si>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</si>
  <si>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</si>
  <si>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</si>
  <si>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</si>
  <si>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</si>
  <si>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</si>
  <si>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</si>
  <si>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</si>
  <si>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</si>
  <si>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</si>
  <si>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</si>
  <si>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</si>
  <si>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</si>
  <si>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</si>
  <si>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</si>
  <si>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</si>
  <si>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</si>
  <si>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</si>
  <si>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</si>
  <si>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</si>
  <si>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</si>
  <si>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</si>
  <si>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</si>
  <si>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</si>
  <si>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</si>
  <si>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</si>
  <si>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</si>
  <si>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</si>
  <si>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</si>
  <si>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</si>
  <si>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</si>
  <si>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</si>
  <si>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</si>
  <si>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</si>
  <si>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</si>
  <si>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</si>
  <si>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</si>
  <si>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</si>
  <si>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</si>
  <si>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</si>
  <si>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</si>
  <si>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</si>
  <si>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</si>
  <si>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</si>
  <si>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</si>
  <si>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</si>
  <si>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</si>
  <si>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</si>
  <si>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</si>
  <si>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</si>
  <si>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</si>
  <si>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</si>
  <si>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</si>
  <si>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</si>
  <si>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</si>
  <si>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</si>
  <si>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</si>
  <si>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</si>
  <si>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</si>
  <si>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</si>
  <si>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</si>
  <si>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</si>
  <si>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</si>
  <si>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</si>
  <si>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</si>
  <si>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</si>
  <si>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</si>
  <si>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</si>
  <si>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</si>
  <si>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</si>
  <si>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</si>
  <si>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</si>
  <si>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</si>
  <si>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</si>
  <si>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</si>
  <si>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</si>
  <si>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</si>
  <si>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</si>
  <si>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</si>
  <si>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</si>
  <si>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</si>
  <si>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</si>
  <si>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</si>
  <si>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</si>
  <si>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</si>
  <si>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</si>
  <si>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</si>
  <si>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</si>
  <si>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</si>
  <si>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</si>
  <si>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</si>
  <si>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</si>
  <si>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</si>
  <si>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</si>
  <si>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</si>
  <si>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</si>
  <si>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</si>
  <si>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</si>
  <si>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</si>
  <si>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</si>
  <si>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</si>
  <si>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</si>
  <si>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</si>
  <si>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</si>
  <si>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</si>
  <si>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</si>
  <si>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</si>
  <si>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</si>
  <si>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</si>
  <si>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</si>
  <si>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</si>
  <si>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</si>
  <si>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</si>
  <si>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</si>
  <si>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</si>
  <si>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</si>
  <si>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</si>
  <si>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</si>
  <si>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</si>
  <si>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</si>
  <si>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</si>
  <si>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</si>
  <si>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</si>
  <si>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</si>
  <si>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</si>
  <si>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</si>
  <si>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</si>
  <si>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</si>
  <si>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</si>
  <si>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</si>
  <si>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</si>
  <si>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</si>
  <si>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</si>
  <si>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</si>
  <si>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</si>
  <si>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</si>
  <si>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</si>
  <si>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</si>
  <si>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</si>
  <si>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</si>
  <si>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</si>
  <si>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</si>
  <si>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</si>
  <si>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</si>
  <si>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</si>
  <si>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</si>
  <si>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</si>
  <si>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</si>
  <si>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</si>
  <si>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</si>
  <si>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</si>
  <si>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</si>
  <si>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</si>
  <si>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</si>
  <si>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</si>
  <si>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</si>
  <si>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</si>
  <si>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</si>
  <si>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</si>
  <si>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</si>
  <si>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</si>
  <si>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</si>
  <si>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</si>
  <si>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</si>
  <si>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</si>
  <si>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</si>
  <si>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</si>
  <si>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</si>
  <si>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</si>
  <si>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</si>
  <si>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</si>
  <si>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</si>
  <si>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</si>
  <si>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</si>
  <si>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</si>
  <si>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</si>
  <si>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</si>
  <si>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</si>
  <si>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</si>
  <si>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</si>
  <si>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</si>
  <si>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</si>
  <si>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</si>
  <si>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</si>
  <si>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</si>
  <si>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</si>
  <si>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</si>
  <si>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</si>
  <si>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</si>
  <si>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</si>
  <si>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</si>
  <si>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</si>
  <si>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</si>
  <si>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</si>
  <si>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</si>
  <si>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</si>
  <si>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</si>
  <si>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</si>
  <si>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</si>
  <si>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</si>
  <si>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</si>
  <si>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</si>
  <si>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</si>
  <si>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</si>
  <si>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</si>
  <si>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</si>
  <si>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</si>
  <si>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</si>
  <si>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</si>
  <si>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</si>
  <si>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</si>
  <si>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</si>
  <si>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</si>
  <si>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</si>
  <si>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</si>
  <si>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</si>
  <si>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</si>
  <si>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</si>
  <si>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</si>
  <si>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</si>
  <si>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</si>
  <si>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</si>
  <si>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</si>
  <si>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</si>
  <si>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</si>
  <si>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</si>
  <si>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</si>
  <si>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</si>
  <si>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</si>
  <si>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</si>
  <si>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</si>
  <si>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</si>
  <si>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</si>
  <si>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</si>
  <si>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</si>
  <si>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</si>
  <si>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</si>
  <si>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</si>
  <si>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</si>
  <si>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</si>
  <si>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</si>
  <si>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</si>
  <si>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</si>
  <si>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</si>
  <si>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</si>
  <si>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</si>
  <si>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</si>
  <si>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</si>
  <si>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</si>
  <si>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</si>
  <si>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</si>
  <si>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</si>
  <si>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</si>
  <si>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</si>
  <si>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</si>
  <si>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</si>
  <si>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</si>
  <si>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</si>
  <si>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</si>
  <si>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</si>
  <si>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</si>
  <si>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</si>
  <si>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</si>
  <si>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</si>
  <si>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</si>
  <si>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</si>
  <si>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</si>
  <si>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</si>
  <si>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</si>
  <si>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</si>
  <si>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</si>
  <si>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</si>
  <si>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</si>
  <si>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</si>
  <si>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</si>
  <si>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</si>
  <si>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</si>
  <si>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</si>
  <si>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</si>
  <si>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</si>
  <si>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</si>
  <si>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</si>
  <si>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</si>
  <si>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</si>
  <si>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</si>
  <si>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</si>
  <si>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</si>
  <si>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</si>
  <si>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</si>
  <si>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</si>
  <si>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</si>
  <si>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</si>
  <si>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</si>
  <si>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</si>
  <si>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</si>
  <si>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</si>
  <si>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</si>
  <si>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</si>
  <si>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</si>
  <si>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</si>
  <si>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</si>
  <si>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</si>
  <si>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</si>
  <si>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</si>
  <si>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</si>
  <si>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</si>
  <si>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</si>
  <si>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</si>
  <si>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</si>
  <si>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</si>
  <si>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</si>
  <si>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</si>
  <si>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</si>
  <si>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</si>
  <si>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</si>
  <si>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</si>
  <si>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</si>
  <si>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</si>
  <si>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</si>
  <si>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</si>
  <si>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</si>
  <si>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</si>
  <si>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</si>
  <si>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</si>
  <si>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</si>
  <si>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</si>
  <si>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</si>
  <si>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</si>
  <si>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</si>
  <si>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</si>
  <si>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</si>
  <si>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</si>
  <si>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</si>
  <si>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</si>
  <si>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</si>
  <si>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</si>
  <si>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</si>
  <si>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</si>
  <si>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</si>
  <si>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</si>
  <si>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</si>
  <si>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</si>
  <si>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</si>
  <si>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</si>
  <si>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</si>
  <si>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</si>
  <si>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</si>
  <si>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</si>
  <si>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</si>
  <si>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</si>
  <si>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</si>
  <si>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</si>
  <si>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</si>
  <si>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</si>
  <si>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</si>
  <si>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</si>
  <si>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</si>
  <si>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</si>
  <si>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</si>
  <si>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</si>
  <si>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</si>
  <si>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</si>
  <si>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</si>
  <si>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</si>
  <si>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</si>
  <si>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</si>
  <si>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</si>
  <si>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</si>
  <si>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</si>
  <si>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</si>
  <si>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</si>
  <si>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</si>
  <si>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</si>
  <si>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</si>
  <si>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</si>
  <si>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</si>
  <si>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</si>
  <si>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</si>
  <si>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</si>
  <si>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</si>
  <si>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</si>
  <si>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</si>
  <si>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</si>
  <si>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</si>
  <si>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</si>
  <si>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</si>
  <si>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</si>
  <si>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</si>
  <si>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</si>
  <si>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</si>
  <si>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</si>
  <si>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</si>
  <si>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</si>
  <si>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</si>
  <si>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</si>
  <si>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</si>
  <si>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</si>
  <si>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</si>
  <si>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</si>
  <si>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</si>
  <si>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</si>
  <si>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</si>
  <si>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</si>
  <si>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</si>
  <si>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</si>
  <si>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</si>
  <si>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</si>
  <si>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</si>
  <si>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</si>
  <si>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</si>
  <si>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</si>
  <si>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</si>
  <si>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</si>
  <si>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</si>
  <si>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</si>
  <si>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</si>
  <si>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</si>
  <si>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</si>
  <si>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</si>
  <si>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</si>
  <si>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</si>
  <si>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</si>
  <si>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</si>
  <si>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</si>
  <si>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</si>
  <si>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</si>
  <si>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</si>
  <si>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</si>
  <si>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</si>
  <si>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</si>
  <si>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</si>
  <si>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</si>
  <si>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</si>
  <si>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</si>
  <si>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</si>
  <si>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</si>
  <si>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</si>
  <si>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</si>
  <si>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</si>
  <si>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</si>
  <si>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</si>
  <si>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</si>
  <si>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</si>
  <si>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</si>
  <si>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</si>
  <si>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</si>
  <si>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</si>
  <si>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</si>
  <si>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</si>
  <si>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</si>
  <si>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</si>
  <si>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</si>
  <si>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</si>
  <si>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</si>
  <si>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</si>
  <si>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</si>
  <si>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</si>
  <si>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</si>
  <si>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</si>
  <si>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</si>
  <si>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</si>
  <si>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</si>
  <si>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</si>
  <si>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</si>
  <si>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</si>
  <si>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</si>
  <si>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</si>
  <si>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</si>
  <si>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</si>
  <si>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</si>
  <si>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</si>
  <si>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</si>
  <si>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</si>
  <si>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</si>
  <si>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</si>
  <si>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</si>
  <si>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</si>
  <si>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</si>
  <si>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</si>
  <si>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</si>
  <si>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</si>
  <si>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</si>
  <si>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</si>
  <si>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</si>
  <si>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</si>
  <si>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</si>
  <si>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</si>
  <si>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</si>
  <si>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</si>
  <si>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</si>
  <si>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</si>
  <si>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</si>
  <si>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</si>
  <si>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</si>
  <si>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</si>
  <si>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</si>
  <si>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</si>
  <si>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</si>
  <si>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</si>
  <si>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</si>
  <si>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</si>
  <si>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</si>
  <si>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</si>
  <si>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</si>
  <si>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</si>
  <si>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</si>
  <si>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</si>
  <si>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</si>
  <si>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</si>
  <si>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</si>
  <si>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</si>
  <si>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</si>
  <si>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</si>
  <si>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</si>
  <si>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</si>
  <si>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</si>
  <si>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</si>
  <si>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</si>
  <si>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</si>
  <si>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</si>
  <si>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</si>
  <si>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</si>
  <si>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</si>
  <si>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</si>
  <si>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</si>
  <si>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</si>
  <si>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</si>
  <si>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</si>
  <si>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</si>
  <si>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</si>
  <si>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</si>
  <si>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</si>
  <si>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</si>
  <si>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</si>
  <si>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</si>
  <si>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</si>
  <si>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</si>
  <si>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</si>
  <si>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</si>
  <si>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</si>
  <si>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</si>
  <si>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</si>
  <si>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</si>
  <si>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</si>
  <si>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</si>
  <si>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</si>
  <si>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</si>
  <si>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</si>
  <si>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</si>
  <si>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</si>
  <si>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</si>
  <si>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</si>
  <si>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</si>
  <si>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</si>
  <si>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</si>
  <si>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</si>
  <si>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</si>
  <si>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</si>
  <si>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</si>
  <si>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</si>
  <si>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</si>
  <si>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</si>
  <si>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</si>
  <si>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</si>
  <si>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</si>
  <si>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</si>
  <si>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</si>
  <si>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</si>
  <si>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</si>
  <si>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</si>
  <si>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</si>
  <si>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</si>
  <si>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</si>
  <si>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</si>
  <si>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</si>
  <si>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</si>
  <si>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</si>
  <si>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</si>
  <si>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</si>
  <si>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</si>
  <si>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</si>
  <si>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</si>
  <si>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</si>
  <si>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</si>
  <si>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</si>
  <si>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</si>
  <si>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</si>
  <si>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</si>
  <si>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</si>
  <si>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</si>
  <si>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</si>
  <si>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</si>
  <si>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</si>
  <si>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</si>
  <si>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</si>
  <si>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</si>
  <si>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</si>
  <si>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</si>
  <si>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</si>
  <si>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</si>
  <si>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</si>
  <si>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</si>
  <si>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</si>
  <si>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</si>
  <si>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</si>
  <si>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</si>
  <si>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</si>
  <si>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</si>
  <si>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</si>
  <si>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</si>
  <si>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</si>
  <si>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</si>
  <si>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</si>
  <si>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</si>
  <si>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</si>
  <si>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</si>
  <si>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</si>
  <si>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</si>
  <si>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</si>
  <si>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</si>
  <si>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</si>
  <si>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</si>
  <si>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</si>
  <si>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</si>
  <si>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</si>
  <si>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</si>
  <si>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</si>
  <si>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</si>
  <si>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</si>
  <si>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</si>
  <si>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</si>
  <si>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</si>
  <si>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</si>
  <si>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</si>
  <si>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</si>
  <si>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</si>
  <si>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</si>
  <si>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</si>
  <si>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</si>
  <si>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</si>
  <si>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</si>
  <si>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</si>
  <si>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</si>
  <si>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</si>
  <si>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</si>
  <si>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</si>
  <si>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</si>
  <si>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</si>
  <si>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</si>
  <si>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</si>
  <si>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</si>
  <si>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</si>
  <si>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</si>
  <si>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</si>
  <si>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</si>
  <si>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</si>
  <si>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</si>
  <si>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</si>
  <si>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</si>
  <si>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</si>
  <si>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</si>
  <si>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</si>
  <si>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</si>
  <si>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</si>
  <si>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</si>
  <si>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</si>
  <si>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</si>
  <si>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</si>
  <si>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</si>
  <si>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</si>
  <si>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</si>
  <si>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</si>
  <si>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</si>
  <si>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</si>
  <si>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</si>
  <si>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</si>
  <si>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</si>
  <si>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</si>
  <si>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</si>
  <si>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</si>
  <si>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</si>
  <si>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</si>
  <si>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</si>
  <si>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</si>
  <si>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</si>
  <si>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</si>
  <si>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</si>
  <si>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</si>
  <si>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</si>
  <si>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</si>
  <si>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</si>
  <si>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</si>
  <si>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</si>
  <si>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</si>
  <si>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</si>
  <si>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</si>
  <si>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</si>
  <si>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</si>
  <si>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</si>
  <si>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</si>
  <si>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</si>
  <si>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</si>
  <si>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</si>
  <si>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</si>
  <si>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</si>
  <si>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</si>
  <si>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</si>
  <si>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</si>
  <si>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</si>
  <si>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</si>
  <si>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</si>
  <si>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</si>
  <si>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</si>
  <si>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</si>
  <si>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</si>
  <si>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</si>
  <si>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</si>
  <si>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</si>
  <si>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</si>
  <si>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</si>
  <si>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</si>
  <si>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</si>
  <si>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</si>
  <si>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</si>
  <si>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</si>
  <si>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</si>
  <si>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</si>
  <si>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</si>
  <si>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</si>
  <si>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</si>
  <si>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</si>
  <si>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</si>
  <si>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</si>
  <si>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</si>
  <si>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</si>
  <si>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</si>
  <si>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</si>
  <si>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</si>
  <si>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</si>
  <si>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</si>
  <si>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</si>
  <si>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</si>
  <si>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</si>
  <si>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</si>
  <si>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</si>
  <si>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</si>
  <si>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</si>
  <si>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</si>
  <si>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</si>
  <si>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</si>
  <si>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</si>
  <si>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</si>
  <si>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</si>
  <si>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</si>
  <si>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</si>
  <si>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</si>
  <si>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</si>
  <si>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</si>
  <si>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</si>
  <si>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</si>
  <si>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</si>
  <si>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</si>
  <si>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</si>
  <si>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</si>
  <si>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</si>
  <si>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</si>
  <si>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</si>
  <si>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</si>
  <si>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</si>
  <si>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</si>
  <si>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</si>
  <si>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</si>
  <si>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</si>
  <si>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</si>
  <si>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</si>
  <si>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</si>
  <si>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</si>
  <si>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</si>
  <si>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</si>
  <si>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</si>
  <si>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</si>
  <si>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</si>
  <si>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</si>
  <si>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</si>
  <si>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</si>
  <si>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</si>
  <si>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</si>
  <si>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</si>
  <si>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</si>
  <si>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</si>
  <si>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</si>
  <si>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</si>
  <si>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</si>
  <si>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</si>
  <si>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</si>
  <si>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</si>
  <si>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</si>
  <si>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</si>
  <si>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</si>
  <si>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</si>
  <si>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</si>
  <si>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</si>
  <si>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</si>
  <si>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</si>
  <si>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</si>
  <si>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</si>
  <si>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</si>
  <si>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</si>
  <si>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</si>
  <si>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</si>
  <si>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</si>
  <si>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</si>
  <si>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</si>
  <si>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</si>
  <si>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</si>
  <si>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</si>
  <si>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</si>
  <si>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</si>
  <si>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</si>
  <si>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</si>
  <si>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</si>
  <si>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</si>
  <si>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</si>
  <si>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</si>
  <si>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</si>
  <si>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</si>
  <si>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</si>
  <si>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</si>
  <si>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</si>
  <si>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</si>
  <si>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</si>
  <si>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</si>
  <si>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</si>
  <si>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</si>
  <si>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</si>
  <si>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</si>
  <si>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</si>
  <si>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</si>
  <si>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</si>
  <si>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</si>
  <si>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</si>
  <si>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</si>
  <si>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</si>
  <si>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</si>
  <si>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</si>
  <si>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</si>
  <si>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</si>
  <si>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</si>
  <si>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</si>
  <si>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</si>
  <si>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</si>
  <si>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</si>
  <si>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</si>
  <si>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</si>
  <si>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</si>
  <si>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</si>
  <si>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</si>
  <si>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</si>
  <si>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</si>
  <si>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</si>
  <si>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</si>
  <si>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</si>
  <si>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</si>
  <si>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</si>
  <si>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</si>
  <si>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</si>
  <si>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</si>
  <si>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</si>
  <si>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</si>
  <si>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</si>
  <si>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</si>
  <si>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</si>
  <si>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</si>
  <si>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</si>
  <si>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</si>
  <si>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</si>
  <si>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</si>
  <si>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</si>
  <si>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</si>
  <si>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</si>
  <si>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</si>
  <si>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</si>
  <si>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</si>
  <si>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</si>
  <si>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</si>
  <si>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</si>
  <si>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</si>
  <si>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</si>
  <si>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</si>
  <si>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</si>
  <si>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</si>
  <si>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</si>
  <si>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</si>
  <si>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</si>
  <si>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</si>
  <si>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</si>
  <si>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</si>
  <si>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</si>
  <si>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</si>
  <si>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</si>
  <si>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</si>
  <si>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</si>
  <si>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</si>
  <si>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</si>
  <si>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</si>
  <si>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</si>
  <si>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</si>
  <si>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</si>
  <si>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</si>
  <si>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</si>
  <si>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</si>
  <si>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</si>
  <si>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</si>
  <si>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</si>
  <si>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</si>
  <si>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</si>
  <si>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</si>
  <si>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</si>
  <si>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</si>
  <si>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</si>
  <si>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</si>
  <si>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</si>
  <si>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</si>
  <si>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</si>
  <si>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</si>
  <si>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</si>
  <si>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</si>
  <si>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</si>
  <si>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</si>
  <si>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</si>
  <si>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</si>
  <si>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</si>
  <si>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</si>
  <si>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</si>
  <si>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</si>
  <si>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</si>
  <si>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</si>
  <si>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</si>
  <si>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</si>
  <si>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</si>
  <si>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</si>
  <si>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</si>
  <si>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</si>
  <si>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</si>
  <si>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</si>
  <si>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</si>
  <si>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</si>
  <si>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</si>
  <si>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</si>
  <si>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</si>
  <si>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</si>
  <si>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</si>
  <si>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</si>
  <si>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</si>
  <si>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</si>
  <si>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</si>
  <si>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</si>
  <si>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</si>
  <si>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</si>
  <si>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</si>
  <si>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</si>
  <si>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</si>
  <si>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</si>
  <si>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</si>
  <si>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</si>
  <si>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</si>
  <si>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</si>
  <si>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</si>
  <si>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</si>
  <si>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</si>
  <si>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</si>
  <si>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</si>
  <si>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</si>
  <si>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</si>
  <si>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</si>
  <si>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</si>
  <si>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</si>
  <si>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</si>
  <si>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</si>
  <si>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</si>
  <si>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</si>
  <si>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</si>
  <si>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</si>
  <si>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</si>
  <si>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</si>
  <si>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</si>
  <si>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</si>
  <si>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</si>
  <si>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</si>
  <si>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</si>
  <si>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</si>
  <si>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</si>
  <si>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</si>
  <si>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</si>
  <si>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</si>
  <si>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</si>
  <si>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</si>
  <si>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</si>
  <si>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</si>
  <si>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</si>
  <si>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</si>
  <si>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</si>
  <si>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</si>
  <si>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</si>
  <si>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</si>
  <si>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</si>
  <si>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</si>
  <si>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</si>
  <si>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</si>
  <si>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</si>
  <si>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</si>
  <si>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</si>
  <si>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</si>
  <si>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</si>
  <si>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</si>
  <si>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</si>
  <si>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</si>
  <si>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</si>
  <si>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</si>
  <si>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</si>
  <si>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</si>
  <si>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</si>
  <si>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</si>
  <si>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</si>
  <si>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</si>
  <si>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</si>
  <si>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</si>
  <si>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</si>
  <si>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</si>
  <si>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</si>
  <si>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</si>
  <si>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</si>
  <si>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</si>
  <si>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</si>
  <si>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</si>
  <si>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</si>
  <si>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</si>
  <si>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</si>
  <si>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</si>
  <si>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</si>
  <si>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</si>
  <si>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</si>
  <si>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</si>
  <si>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</si>
  <si>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</si>
  <si>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</si>
  <si>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</si>
  <si>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</si>
  <si>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</si>
  <si>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</si>
  <si>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</si>
  <si>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</si>
  <si>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</si>
  <si>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</si>
  <si>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</si>
  <si>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</si>
  <si>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</si>
  <si>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</si>
  <si>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</si>
  <si>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</si>
  <si>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</si>
  <si>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</si>
  <si>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</si>
  <si>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</si>
  <si>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</si>
  <si>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</si>
  <si>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</si>
  <si>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</si>
  <si>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</si>
  <si>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</si>
  <si>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</si>
  <si>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</si>
  <si>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</si>
  <si>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</si>
  <si>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</si>
  <si>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</si>
  <si>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</si>
  <si>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</si>
  <si>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</si>
  <si>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</si>
  <si>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</si>
  <si>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</si>
  <si>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</si>
  <si>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</si>
  <si>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</si>
  <si>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</si>
  <si>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</si>
  <si>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</si>
  <si>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</si>
  <si>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</si>
  <si>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</si>
  <si>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</si>
  <si>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</si>
  <si>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</si>
  <si>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</si>
  <si>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</si>
  <si>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</si>
  <si>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</si>
  <si>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</si>
  <si>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</si>
  <si>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</si>
  <si>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</si>
  <si>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</si>
  <si>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</si>
  <si>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</si>
  <si>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</si>
  <si>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</si>
  <si>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</si>
  <si>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</si>
  <si>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</si>
  <si>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</si>
  <si>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</si>
  <si>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</si>
  <si>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</si>
  <si>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</si>
  <si>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</si>
  <si>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</si>
  <si>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</si>
  <si>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</si>
  <si>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</si>
  <si>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</si>
  <si>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</si>
  <si>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</si>
  <si>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</si>
  <si>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</si>
  <si>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</si>
  <si>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</si>
  <si>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</si>
  <si>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</si>
  <si>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</si>
  <si>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</si>
  <si>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</si>
  <si>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</si>
  <si>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</si>
  <si>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</si>
  <si>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</si>
  <si>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</si>
  <si>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</si>
  <si>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</si>
  <si>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</si>
  <si>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</si>
  <si>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</si>
  <si>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</si>
  <si>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</si>
  <si>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</si>
  <si>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</si>
  <si>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</si>
  <si>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</si>
  <si>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</si>
  <si>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</si>
  <si>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</si>
  <si>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</si>
  <si>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</si>
  <si>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</si>
  <si>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</si>
  <si>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</si>
  <si>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</si>
  <si>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</si>
  <si>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</si>
  <si>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</si>
  <si>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</si>
  <si>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</si>
  <si>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</si>
  <si>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</si>
  <si>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</si>
  <si>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</si>
  <si>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</si>
  <si>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</si>
  <si>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</si>
  <si>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</si>
  <si>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</si>
  <si>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</si>
  <si>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</si>
  <si>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</si>
  <si>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</si>
  <si>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</si>
  <si>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</si>
  <si>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</si>
  <si>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</si>
  <si>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</si>
  <si>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</si>
  <si>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</si>
  <si>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</si>
  <si>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</si>
  <si>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</si>
  <si>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</si>
  <si>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</si>
  <si>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</si>
  <si>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</si>
  <si>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</si>
  <si>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</si>
  <si>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</si>
  <si>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</si>
  <si>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</si>
  <si>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</si>
  <si>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</si>
  <si>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</si>
  <si>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</si>
  <si>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</si>
  <si>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</si>
  <si>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</si>
  <si>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</si>
  <si>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</si>
  <si>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</si>
  <si>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</si>
  <si>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</si>
  <si>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</si>
  <si>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</si>
  <si>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</si>
  <si>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</si>
  <si>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</si>
  <si>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</si>
  <si>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</si>
  <si>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</si>
  <si>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</si>
  <si>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</si>
  <si>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</si>
  <si>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</si>
  <si>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</si>
  <si>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</si>
  <si>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</si>
  <si>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</si>
  <si>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</si>
  <si>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</si>
  <si>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</si>
  <si>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</si>
  <si>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</si>
  <si>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</si>
  <si>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</si>
  <si>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</si>
  <si>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</si>
  <si>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</si>
  <si>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</si>
  <si>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</si>
  <si>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</si>
  <si>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</si>
  <si>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</si>
  <si>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</si>
  <si>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</si>
  <si>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</si>
  <si>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</si>
  <si>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</si>
  <si>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</si>
  <si>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</si>
  <si>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</si>
  <si>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</si>
  <si>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</si>
  <si>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</si>
  <si>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</si>
  <si>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</si>
  <si>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</si>
  <si>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</si>
  <si>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</si>
  <si>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</si>
  <si>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</si>
  <si>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</si>
  <si>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</si>
  <si>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</si>
  <si>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</si>
  <si>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</si>
  <si>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</si>
  <si>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</si>
  <si>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</si>
  <si>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</si>
  <si>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</si>
  <si>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</si>
  <si>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</si>
  <si>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</si>
  <si>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</si>
  <si>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</si>
  <si>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</si>
  <si>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</si>
  <si>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</si>
  <si>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</si>
  <si>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</si>
  <si>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</si>
  <si>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</si>
  <si>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</si>
  <si>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</si>
  <si>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</si>
  <si>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</si>
  <si>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</si>
  <si>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</si>
  <si>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</si>
  <si>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</si>
  <si>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</si>
  <si>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</si>
  <si>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</si>
  <si>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</si>
  <si>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</si>
  <si>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</si>
  <si>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</si>
  <si>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</si>
  <si>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</si>
  <si>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</si>
  <si>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</si>
  <si>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</si>
  <si>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</si>
  <si>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</si>
  <si>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</si>
  <si>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</si>
  <si>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</si>
  <si>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</si>
  <si>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</si>
  <si>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</si>
  <si>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</si>
  <si>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</si>
  <si>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</si>
  <si>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</si>
  <si>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</si>
  <si>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</si>
  <si>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</si>
  <si>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</si>
  <si>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</si>
  <si>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</si>
  <si>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</si>
  <si>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</si>
  <si>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</si>
  <si>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</si>
  <si>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</si>
  <si>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</si>
  <si>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</si>
  <si>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</si>
  <si>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</si>
  <si>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</si>
  <si>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</si>
  <si>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</si>
  <si>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</si>
  <si>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</si>
  <si>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</si>
  <si>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</si>
  <si>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</si>
  <si>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</si>
  <si>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</si>
  <si>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</si>
  <si>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</si>
  <si>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</si>
  <si>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</si>
  <si>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</si>
  <si>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</si>
  <si>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</si>
  <si>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</si>
  <si>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</si>
  <si>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</si>
  <si>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</si>
  <si>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</si>
  <si>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</si>
  <si>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</si>
  <si>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</si>
  <si>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</si>
  <si>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</si>
  <si>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</si>
  <si>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</si>
  <si>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</si>
  <si>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</si>
  <si>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</si>
  <si>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</si>
  <si>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</si>
  <si>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</si>
  <si>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</si>
  <si>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</si>
  <si>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</si>
  <si>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</si>
  <si>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</si>
  <si>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</si>
  <si>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</si>
  <si>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</si>
  <si>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</si>
  <si>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</si>
  <si>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</si>
  <si>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</si>
  <si>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</si>
  <si>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</si>
  <si>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</si>
  <si>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</si>
  <si>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</si>
  <si>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</si>
  <si>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</si>
  <si>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</si>
  <si>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</si>
  <si>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</si>
  <si>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</si>
  <si>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</si>
  <si>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</si>
  <si>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</si>
  <si>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</si>
  <si>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</si>
  <si>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</si>
  <si>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</si>
  <si>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</si>
  <si>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</si>
  <si>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</si>
  <si>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</si>
  <si>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</si>
  <si>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</si>
  <si>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</si>
  <si>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</si>
  <si>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</si>
  <si>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</si>
  <si>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</si>
  <si>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</si>
  <si>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</si>
  <si>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</si>
  <si>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</si>
  <si>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</si>
  <si>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</si>
  <si>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</si>
  <si>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</si>
  <si>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</si>
  <si>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</si>
  <si>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</si>
  <si>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</si>
  <si>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</si>
  <si>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</si>
  <si>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</si>
  <si>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</si>
  <si>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</si>
  <si>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</si>
  <si>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</si>
  <si>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</si>
  <si>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</si>
  <si>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</si>
  <si>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</si>
  <si>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</si>
  <si>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</si>
  <si>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</si>
  <si>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</si>
  <si>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</si>
  <si>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</si>
  <si>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</si>
  <si>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</si>
  <si>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</si>
  <si>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</si>
  <si>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</si>
  <si>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</si>
  <si>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</si>
  <si>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</si>
  <si>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</si>
  <si>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</si>
  <si>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</si>
  <si>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</si>
  <si>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</si>
  <si>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</si>
  <si>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</si>
  <si>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</si>
  <si>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</si>
  <si>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</si>
  <si>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</si>
  <si>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</si>
  <si>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</si>
  <si>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</si>
  <si>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</si>
  <si>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</si>
  <si>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</si>
  <si>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</si>
  <si>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</si>
  <si>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</si>
  <si>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</si>
  <si>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</si>
  <si>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</si>
  <si>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</si>
  <si>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</si>
  <si>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</si>
  <si>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</si>
  <si>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</si>
  <si>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</si>
  <si>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</si>
  <si>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</si>
  <si>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</si>
  <si>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</si>
  <si>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</si>
  <si>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</si>
  <si>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</si>
  <si>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</si>
  <si>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</si>
  <si>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</si>
  <si>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</si>
  <si>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</si>
  <si>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</si>
  <si>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</si>
  <si>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</si>
  <si>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</si>
  <si>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</si>
  <si>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</si>
  <si>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</si>
  <si>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</si>
  <si>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</si>
  <si>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</si>
  <si>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</si>
  <si>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</si>
  <si>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</si>
  <si>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</si>
  <si>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</si>
  <si>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</si>
  <si>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</si>
  <si>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</si>
  <si>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</si>
  <si>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</si>
  <si>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</si>
  <si>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</si>
  <si>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</si>
  <si>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</si>
  <si>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</si>
  <si>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</si>
  <si>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</si>
  <si>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</si>
  <si>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</si>
  <si>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</si>
  <si>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</si>
  <si>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</si>
  <si>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</si>
  <si>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</si>
  <si>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</si>
  <si>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</si>
  <si>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</si>
  <si>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</si>
  <si>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</si>
  <si>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</si>
  <si>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</si>
  <si>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</si>
  <si>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</si>
  <si>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</si>
  <si>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</si>
  <si>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</si>
  <si>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</si>
  <si>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</si>
  <si>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</si>
  <si>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</si>
  <si>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</si>
  <si>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</si>
  <si>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</si>
  <si>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</si>
  <si>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</si>
  <si>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</si>
  <si>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</si>
  <si>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</si>
  <si>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</si>
  <si>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</si>
  <si>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</si>
  <si>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</si>
  <si>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</si>
  <si>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</si>
  <si>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</si>
  <si>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</si>
  <si>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</si>
  <si>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</si>
  <si>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</si>
  <si>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</si>
  <si>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</si>
  <si>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</si>
  <si>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</si>
  <si>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</si>
  <si>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</si>
  <si>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</si>
  <si>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</si>
  <si>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</si>
  <si>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</si>
  <si>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</si>
  <si>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</si>
  <si>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</si>
  <si>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</si>
  <si>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</si>
  <si>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</si>
  <si>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</si>
  <si>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</si>
  <si>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</si>
  <si>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</si>
  <si>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</si>
  <si>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</si>
  <si>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</si>
  <si>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</si>
  <si>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</si>
  <si>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</si>
  <si>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</si>
  <si>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</si>
  <si>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</si>
  <si>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</si>
  <si>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</si>
  <si>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</si>
  <si>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</si>
  <si>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</si>
  <si>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</si>
  <si>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</si>
  <si>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</si>
  <si>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</si>
  <si>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</si>
  <si>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</si>
  <si>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</si>
  <si>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</si>
  <si>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</si>
  <si>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</si>
  <si>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</si>
  <si>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</si>
  <si>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</si>
  <si>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</si>
  <si>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</si>
  <si>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</si>
  <si>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</si>
  <si>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</si>
  <si>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</si>
  <si>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</si>
  <si>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</si>
  <si>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</si>
  <si>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</si>
  <si>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</si>
  <si>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</si>
  <si>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</si>
  <si>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</si>
  <si>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</si>
  <si>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</si>
  <si>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</si>
  <si>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</si>
  <si>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</si>
  <si>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</si>
  <si>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</si>
  <si>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</si>
  <si>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</si>
  <si>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</si>
  <si>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</si>
  <si>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</si>
  <si>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</si>
  <si>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</si>
  <si>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</si>
  <si>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</si>
  <si>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</si>
  <si>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</si>
  <si>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</si>
  <si>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</si>
  <si>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</si>
  <si>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</si>
  <si>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</si>
  <si>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</si>
  <si>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</si>
  <si>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</si>
  <si>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</si>
  <si>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</si>
  <si>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</si>
  <si>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</si>
  <si>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</si>
  <si>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</si>
  <si>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</si>
  <si>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</si>
  <si>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</si>
  <si>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</si>
  <si>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</si>
  <si>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</si>
  <si>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</si>
  <si>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</si>
  <si>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</si>
  <si>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</si>
  <si>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</si>
  <si>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</si>
  <si>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</si>
  <si>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</si>
  <si>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</si>
  <si>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</si>
  <si>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</si>
  <si>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</si>
  <si>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</si>
  <si>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</si>
  <si>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</si>
  <si>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</si>
  <si>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</si>
  <si>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</si>
  <si>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</si>
  <si>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</si>
  <si>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</si>
  <si>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</si>
  <si>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</si>
  <si>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</si>
  <si>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</si>
  <si>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</si>
  <si>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</si>
  <si>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</si>
  <si>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</si>
  <si>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</si>
  <si>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</si>
  <si>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</si>
  <si>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</si>
  <si>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</si>
  <si>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</si>
  <si>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</si>
  <si>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</si>
  <si>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</si>
  <si>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</si>
  <si>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</si>
  <si>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</si>
  <si>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</si>
  <si>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</si>
  <si>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</si>
  <si>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</si>
  <si>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</si>
  <si>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</si>
  <si>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</si>
  <si>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</si>
  <si>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</si>
  <si>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</si>
  <si>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</si>
  <si>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</si>
  <si>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</si>
  <si>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</si>
  <si>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</si>
  <si>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</si>
  <si>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</si>
  <si>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</si>
  <si>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</si>
  <si>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</si>
  <si>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</si>
  <si>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</si>
  <si>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</si>
  <si>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</si>
  <si>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</si>
  <si>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</si>
  <si>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</si>
  <si>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</si>
  <si>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</si>
  <si>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</si>
  <si>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</si>
  <si>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</si>
  <si>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</si>
  <si>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</si>
  <si>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</si>
  <si>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</si>
  <si>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</si>
  <si>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</si>
  <si>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</si>
  <si>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</si>
  <si>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</si>
  <si>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</si>
  <si>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</si>
  <si>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</si>
  <si>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</si>
  <si>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</si>
  <si>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</si>
  <si>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</si>
  <si>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</si>
  <si>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</si>
  <si>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</si>
  <si>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</si>
  <si>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</si>
  <si>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</si>
  <si>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</si>
  <si>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</si>
  <si>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</si>
  <si>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</si>
  <si>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</si>
  <si>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</si>
  <si>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</si>
  <si>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</si>
  <si>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</si>
  <si>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</si>
  <si>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</si>
  <si>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</si>
  <si>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</si>
  <si>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</si>
  <si>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</si>
  <si>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</si>
  <si>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</si>
  <si>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</si>
  <si>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</si>
  <si>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</si>
  <si>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</si>
  <si>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</si>
  <si>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</si>
  <si>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</si>
  <si>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</si>
  <si>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</si>
  <si>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</si>
  <si>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</si>
  <si>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</si>
  <si>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</si>
  <si>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</si>
  <si>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</si>
  <si>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</si>
  <si>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</si>
  <si>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</si>
  <si>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</si>
  <si>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</si>
  <si>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</si>
  <si>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</si>
  <si>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</si>
  <si>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</si>
  <si>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</si>
  <si>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</si>
  <si>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</si>
  <si>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</si>
  <si>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</si>
  <si>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</si>
  <si>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</si>
  <si>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</si>
  <si>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</si>
  <si>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</si>
  <si>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</si>
  <si>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</si>
  <si>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</si>
  <si>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</si>
  <si>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</si>
  <si>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</si>
  <si>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</si>
  <si>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</si>
  <si>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</si>
  <si>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</si>
  <si>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</si>
  <si>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</si>
  <si>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</si>
  <si>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</si>
  <si>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</si>
  <si>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</si>
  <si>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</si>
  <si>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</si>
  <si>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</si>
  <si>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</si>
  <si>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</si>
  <si>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</si>
  <si>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</si>
  <si>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</si>
  <si>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</si>
  <si>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</si>
  <si>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</si>
  <si>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</si>
  <si>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</si>
  <si>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</si>
  <si>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</si>
  <si>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</si>
  <si>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</si>
  <si>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</si>
  <si>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</si>
  <si>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</si>
  <si>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</si>
  <si>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</si>
  <si>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</si>
  <si>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</si>
  <si>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</si>
  <si>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</si>
  <si>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</si>
  <si>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</si>
  <si>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</si>
  <si>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</si>
  <si>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</si>
  <si>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</si>
  <si>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</si>
  <si>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</si>
  <si>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</si>
  <si>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</si>
  <si>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</si>
  <si>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</si>
  <si>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</si>
  <si>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</si>
  <si>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</si>
  <si>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</si>
  <si>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</si>
  <si>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</si>
  <si>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</si>
  <si>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</si>
  <si>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</si>
  <si>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</si>
  <si>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</si>
  <si>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</si>
  <si>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</si>
  <si>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</si>
  <si>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</si>
  <si>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</si>
  <si>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</si>
  <si>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</si>
  <si>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</si>
  <si>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</si>
  <si>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</si>
  <si>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</si>
  <si>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</si>
  <si>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</si>
  <si>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</si>
  <si>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</si>
  <si>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</si>
  <si>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</si>
  <si>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</si>
  <si>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</si>
  <si>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</si>
  <si>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</si>
  <si>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</si>
  <si>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</si>
  <si>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</si>
  <si>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</si>
  <si>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</si>
  <si>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</si>
  <si>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</si>
  <si>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</si>
  <si>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</si>
  <si>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</si>
  <si>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</si>
  <si>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</si>
  <si>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</si>
  <si>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</si>
  <si>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</si>
  <si>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</si>
  <si>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</si>
  <si>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</si>
  <si>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</si>
  <si>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</si>
  <si>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</si>
  <si>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</si>
  <si>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</si>
  <si>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</si>
  <si>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</si>
  <si>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</si>
  <si>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</si>
  <si>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</si>
  <si>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</si>
  <si>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</si>
  <si>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</si>
  <si>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</si>
  <si>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</si>
  <si>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</si>
  <si>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</si>
  <si>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</si>
  <si>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</si>
  <si>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</si>
  <si>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</si>
  <si>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</si>
  <si>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</si>
  <si>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</si>
  <si>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</si>
  <si>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</si>
  <si>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</si>
  <si>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</si>
  <si>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</si>
  <si>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</si>
  <si>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</si>
  <si>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</si>
  <si>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</si>
  <si>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</si>
  <si>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</si>
  <si>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</si>
  <si>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</si>
  <si>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</si>
  <si>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</si>
  <si>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</si>
  <si>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</si>
  <si>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</si>
  <si>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</si>
  <si>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</si>
  <si>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</si>
  <si>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</si>
  <si>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</si>
  <si>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</si>
  <si>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</si>
  <si>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</si>
  <si>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</si>
  <si>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</si>
  <si>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</si>
  <si>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</si>
  <si>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</si>
  <si>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</si>
  <si>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</si>
  <si>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</si>
  <si>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</si>
  <si>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</si>
  <si>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</si>
  <si>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</si>
  <si>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</si>
  <si>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</si>
  <si>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</si>
  <si>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</si>
  <si>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</si>
  <si>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</si>
  <si>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</si>
  <si>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</si>
  <si>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</si>
  <si>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</si>
  <si>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</si>
  <si>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</si>
  <si>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</si>
  <si>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</si>
  <si>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</si>
  <si>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</si>
  <si>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</si>
  <si>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</si>
  <si>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</si>
  <si>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</si>
  <si>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</si>
  <si>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</si>
  <si>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</si>
  <si>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</si>
  <si>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</si>
  <si>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</si>
  <si>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</si>
  <si>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</si>
  <si>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</si>
  <si>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</si>
  <si>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</si>
  <si>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</si>
  <si>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</si>
  <si>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</si>
  <si>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</si>
  <si>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</si>
  <si>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</si>
  <si>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</si>
  <si>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</si>
  <si>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</si>
  <si>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</si>
  <si>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</si>
  <si>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</si>
  <si>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</si>
  <si>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</si>
  <si>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</si>
  <si>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</si>
  <si>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</si>
  <si>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</si>
  <si>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</si>
  <si>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</si>
  <si>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</si>
  <si>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</si>
  <si>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</si>
  <si>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</si>
  <si>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</si>
  <si>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</si>
  <si>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</si>
  <si>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</si>
  <si>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</si>
  <si>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</si>
  <si>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</si>
  <si>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</si>
  <si>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</si>
  <si>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</si>
  <si>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</si>
  <si>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</si>
  <si>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</si>
  <si>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</si>
  <si>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</si>
  <si>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</si>
  <si>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</si>
  <si>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</si>
  <si>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</si>
  <si>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</si>
  <si>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</si>
  <si>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</si>
  <si>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</si>
  <si>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</si>
  <si>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</si>
  <si>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</si>
  <si>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</si>
  <si>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</si>
  <si>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</si>
  <si>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</si>
  <si>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</si>
  <si>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</si>
  <si>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</si>
  <si>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</si>
  <si>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</si>
  <si>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</si>
  <si>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</si>
  <si>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</si>
  <si>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</si>
  <si>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</si>
  <si>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</si>
  <si>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</si>
  <si>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</si>
  <si>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</si>
  <si>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</si>
  <si>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</si>
  <si>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</si>
  <si>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</si>
  <si>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</si>
  <si>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</si>
  <si>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</si>
  <si>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</si>
  <si>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</si>
  <si>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</si>
  <si>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</si>
  <si>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</si>
  <si>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</si>
  <si>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</si>
  <si>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</si>
  <si>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</si>
  <si>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</si>
  <si>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</si>
  <si>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</si>
  <si>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</si>
  <si>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</si>
  <si>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</si>
  <si>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</si>
  <si>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</si>
  <si>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</si>
  <si>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</si>
  <si>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</si>
  <si>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</si>
  <si>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</si>
  <si>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</si>
  <si>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</si>
  <si>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</si>
  <si>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</si>
  <si>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</si>
  <si>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</si>
  <si>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</si>
  <si>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</si>
  <si>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</si>
  <si>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</si>
  <si>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</si>
  <si>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</si>
  <si>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</si>
  <si>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</si>
  <si>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</si>
  <si>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</si>
  <si>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</si>
  <si>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</si>
  <si>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</si>
  <si>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</si>
  <si>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</si>
  <si>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</si>
  <si>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</si>
  <si>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</si>
  <si>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</si>
  <si>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</si>
  <si>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</si>
  <si>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</si>
  <si>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</si>
  <si>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</si>
  <si>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</si>
  <si>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</si>
  <si>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</si>
  <si>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</si>
  <si>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</si>
  <si>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</si>
  <si>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</si>
  <si>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</si>
  <si>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</si>
  <si>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</si>
  <si>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</si>
  <si>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</si>
  <si>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</si>
  <si>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</si>
  <si>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</si>
  <si>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</si>
  <si>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</si>
  <si>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</si>
  <si>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</si>
  <si>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</si>
  <si>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</si>
  <si>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</si>
  <si>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</si>
  <si>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2023PA-014</t>
  </si>
  <si>
    <t>Lowcountry Housing Communities</t>
  </si>
  <si>
    <t>Max Elbe</t>
  </si>
  <si>
    <t>max@lchousing.com</t>
  </si>
  <si>
    <t>Robert Haley</t>
  </si>
  <si>
    <t>rob@lchousing.com</t>
  </si>
  <si>
    <t>Affordable Equity Partners</t>
  </si>
  <si>
    <t>Lowcountry Housing Communities II, LLC</t>
  </si>
  <si>
    <t>Amortizing</t>
  </si>
  <si>
    <t>GA DCA South</t>
  </si>
  <si>
    <t>Electric Heat Pump</t>
  </si>
  <si>
    <t>huduser.org (U.S. Non-Metropolitan)</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</si>
  <si>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</si>
  <si>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 xml:space="preserve">This application demonstrates that the proposed project is feasible and viable under DCA's rules and requirements that are outlined in the 2023 Qualified Allocation Plan ("QAP").  The application conforms to the 2023 QAP.  </t>
  </si>
  <si>
    <t>Applicant selects Family tenancy.</t>
  </si>
  <si>
    <t>Novogradac and Company, LLC</t>
  </si>
  <si>
    <t>There is no identity of interest between the buyer and the seller of the land.  This project is not required to submit an appraisal.</t>
  </si>
  <si>
    <t>Purchase Contract</t>
  </si>
  <si>
    <t>The development team agrees to at least 2 basic ongoing services from 2 of the categories listed in the QAP (social and recreational programs and on-site enrichment classes), temporary staffing during lease up for activities set-up and sign-up and part-time activity managers.
The Applicant will track resident participation in any on-site services. If participation declines continuously over a six-month window, on-site staff will request resident feedback on the services provided.</t>
  </si>
  <si>
    <t>Central Bank of Kansas City</t>
  </si>
  <si>
    <t>Central Bank of Kansas City (Capital Magnet Funds)</t>
  </si>
  <si>
    <t>Building</t>
  </si>
  <si>
    <t>On-site laundry</t>
  </si>
  <si>
    <t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t>
  </si>
  <si>
    <t>Covered Porch</t>
  </si>
  <si>
    <t>The proposed project is new construction.  This section is not applicable.</t>
  </si>
  <si>
    <t xml:space="preserve">Conceptual Site Development Plan is in Tab 15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
</t>
  </si>
  <si>
    <t>Agree</t>
  </si>
  <si>
    <t xml:space="preserve">The applicant will employ a qualified accessibility consultant and will follow all required accessibility standards.  </t>
  </si>
  <si>
    <t>Yes - see Comment</t>
  </si>
  <si>
    <t>Max Elbe is the certifying GP/developer and received a "Qualified" determination.  The Project Team has not changed since pre-application.  Please see tab 19.</t>
  </si>
  <si>
    <t>Applicant is not applying under the Preservation Set-Aside.</t>
  </si>
  <si>
    <t>This section is not applicable.</t>
  </si>
  <si>
    <t>If DCA funds the proposed development, the Applicant agrees to submit an AFFH marketing plan that meets the requirements above.</t>
  </si>
  <si>
    <t xml:space="preserve">The applicant believes the project meets all of DCA's rules and guidelines.  The applicant also believes the costs of the project are reasonable.  Therefore, the proposed project should be an optimal utilization of DCA's resources.  </t>
  </si>
  <si>
    <t>To Be Determined</t>
  </si>
  <si>
    <t>TBD (only if Option A)</t>
  </si>
  <si>
    <t>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</si>
  <si>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</si>
  <si>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N/a</t>
  </si>
  <si>
    <t xml:space="preserve">The project will include the designs mentioned above.  Please see architectural documentation included in tab 18 of the application. </t>
  </si>
  <si>
    <t>This section is not applicable</t>
  </si>
  <si>
    <t>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</si>
  <si>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West Pine Residences</t>
  </si>
  <si>
    <t>City Limits</t>
  </si>
  <si>
    <t>The State Limited Partner will contribute capital for an allocation of 99.99% of the State Tax Credits at $.35 per credit.
The Federal Limited Partner will contribute capital for an allocation of 99.99% of the Federal Tax Credits at $.85 per credit.
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t>
  </si>
  <si>
    <t xml:space="preserve">There is no identity of interest between the buyer and the seller of the land. 
The contract expires after November 20, 2023 on December 31, 2023.  However, the contract allows for two 60 day extensions.
See supporting documentation in Tab 8.
</t>
  </si>
  <si>
    <t>Project will have direct access to W Pine Street.  The conceptual site plan shows an entrance into the project from W Pine Street.  See Tab 9.
The site provides a specified entrance that is legally accessible by paved roads.  The appropriate drawings, surveys, photographs and other documentation reflecting such paved roads are included in the electronic application binder in Tab 9.</t>
  </si>
  <si>
    <t>City of Sylvester</t>
  </si>
  <si>
    <t>The City of Sylvester will be provide power to the project.  All required documentation is in tab 11.</t>
  </si>
  <si>
    <t xml:space="preserve">Water and sewer services will be provided by City of Sylvester.  Please see tab 12 for suppporting documentation. </t>
  </si>
  <si>
    <t>The applicant has submitted 17 desirable activities which should qualifies the project for 22.50 desirable points.  However, the applicant is limited to only 20 points.  
The applicant is unaware of any undesirable/inefficient site activities/characteristics within .25 miles of the project site.  See Tab 26.
The project site does not fall within a food desert per USDA's website.  The nearest grocery store is located 1.60 miles from the project site.</t>
  </si>
  <si>
    <t>Southwest Georgia Regional Commission</t>
  </si>
  <si>
    <t>229-446-7433</t>
  </si>
  <si>
    <t>info@swgrc.org</t>
  </si>
  <si>
    <t>https://www.swgrc.org/southwest-georgia-regional-transit</t>
  </si>
  <si>
    <t>Worth County Primary School</t>
  </si>
  <si>
    <t>Worth County Elementary School</t>
  </si>
  <si>
    <t>Worth County Middle School</t>
  </si>
  <si>
    <t>Worth County High School</t>
  </si>
  <si>
    <t>The QAP allows applicants to claim points for schools under one of the three options available, A, B or C.
Option A – No schools in Worth County score under Option A.
Option B – Only three of the Worth County schools received a Beating the Odds designation (“BTO”) in 2018 or later and are eligible to claim points under Option B.
     -Worth County Primary School (serves grades PK-2) – received 2018 ans 2019 BTO
     -Worth County Elementary School (serves grades 3-5) – received 2018 BTO
     -Worth County Middle School (serves grades 6-8) – received 2018 BTO
Option C – Per the Option C Scoring Data Sheet published by DCA, the following schools meet the criteria to claim points under Option C:
1. Worth County Primary School (Grades Pre-K through 2nd)
2. Worth County Elementary School (Grades 3 through 5)
3. Worth County Middle School (Grades 6 through 8)
4. Worth County High School (Grades 9 through 12)
Worth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West Pine Residences will serve a family tenancy and all four schools collectively serve grades K-12 and meet the criteria for points under at least one of the three options available in this section.  The applicant qualifies for 3 points in this section.  All supporting documentation is included in Tab 28.</t>
  </si>
  <si>
    <t>Page 42. Last page of pdf</t>
  </si>
  <si>
    <t>Page 19 &amp; 41</t>
  </si>
  <si>
    <t>Pages 5,8,15-18</t>
  </si>
  <si>
    <t>Pages 5, 13-15</t>
  </si>
  <si>
    <t>Page 26-29</t>
  </si>
  <si>
    <t>The proposed site is within the current city limits of Sylvester, GA.  The City of Sylvester has only had one (1) project with an award of 9% Credits within the last 15 DCA Housing Credit Competitive Rounds and it was issued prior to January 1, 2017.   The name of that project is Paradise Estates Apartments (2008-061).</t>
  </si>
  <si>
    <t>City of Sylvester GICH</t>
  </si>
  <si>
    <t>The City of Sylvester is a Certified GICH Alumni Commnunity.  The Applicant obtained a letter from the City of Sylvester GICH team.  This letter was the sole letter issued in 2023 by the City of Sylvester team and the letter identifies the boundaries of the GICH community, identifies the proposed development as being within the boundaries of the City of Sylvester GICH community and the letter is executed by the primary contact for the City of Sylvester GICH, Glenice Stephens.  The Applicant also obtained a letter from the local government agreeing to the issuance of the GICH letter.  Copies of all letters are in tab 41.</t>
  </si>
  <si>
    <t>The applicant has secured a loan of Capital Manget Funds from a certified CDFI bank, Central Bank of Kansas City.  The loan meets all of the pre-requisites above and the size of the loan enables the applicant to score 1 point in this section.</t>
  </si>
  <si>
    <t>Terracon</t>
  </si>
  <si>
    <t>On Page 7 of the report, the Environmental professional states:  "No recognized environmental conditions (RECs), as that term is defined in the ASTM standard, were identified for the subject property. Based on the information obtained during this Phase I ESA, Terracon is of the opinion that the subject property is suitable for development of multi-family residential housing."</t>
  </si>
  <si>
    <t>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  For purposes of the proforma, we have assumed the all in interest rate would be 6.64% and the amortization would be 360 months at Year 11.</t>
  </si>
  <si>
    <t>As the low capture rate in the market study indicates, there is a strong demand for affordable housing in Sylvester.  See the market study in Tab 5.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</si>
  <si>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 xml:space="preserve">The proposed project will be located on W Pine Street,Sylvester, Worth County, Georgia within the city limits of Sylvester. The subject site is zoned R-PUD which allows the construction of the proposed development. Please see the zoning letter from the Community Development Director of the City of Sylvester included in Tab 10.
</t>
  </si>
  <si>
    <t>The applicant certifies that all dwelling units will comply with the requirements of the 2023 QAP, XVI Building Sustainability and the 2023 Architectural Manual.  The applicant will obtain sustainable building certification from Earth Craft House Multifamily (ECMF).  See ECMF scoring sheet in Tab 16.</t>
  </si>
  <si>
    <t>Southwest Georgia Regional Commission provides on-call curb-to-curb transportation services for Worth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Worth County.
2.The costs of transit services are below:
a.$3.00 within the county for trips 0-10 miles
b.$5.00 within the county for trips over 10 miles
c.For trips outside the county, $5.00 plus 50 cents per mile for trips over 10 miles.
3.If an apartment complex is located in Worth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info@swgrc.org. 
Additional information can also be found at the following website:
https://www.swgrc.org/southwest-georgia-regional-transit
See Tab 27 for further details.</t>
  </si>
  <si>
    <t>West Pine Residences is located within the boundaries of the City of Sylvester Community Revitalization Plan (“CRP”).  The CRP meets the requirements below that are required by the QAP to be considered a CRP:
-	The CRP clearly delineates a Targeted Area that includes the proposed site within the City of Sylvester.
-	The CRP discusses housing as a goal of the CRP.
-	The CRP includes an assessment of the Targeted Area’s existing infrastructure
-	The CRP designates implementation measures.
-	The CRP was adopted by the City of Sylvester on January 22, 2019 which is less than ten (10) years from the Application Submission date.
West Pine Residences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Sylvester in an amount equal to at least $10,000 per unit.  This amount, which is approximately $26,450/unit) would be eligible for at least two (2) points under subsection B. Third-Party Capital Investment.
The Applicant obtained a letter from the City Manager of the City of Sylvester detailing the amount and location of Third Party Capital Improvements and confirmed that these improvements will serve the residents of the proposed development.  All improvements listed were paid in full by unrelated third parties.  The improvements, all of which are within 1.0 miles of the proposed site, include:
1-$1,103,222 improvements on Pine Street.  This was completed in June 2019
2-$532,000 in utility extension and expansion.  The scope of this work will be complete between 2021 thru 2024.
3-$74,550 in street in paving.  Completed in 2022.
These investments exceed $20,000 per unit qualifying the Applicant for 2 points for Third Party Capital Investment.  
In total, the applicant qualifies for 6 points in this section. All supporting documentation is included in Tab 29.</t>
  </si>
  <si>
    <t>Cable/internet clubhouse</t>
  </si>
  <si>
    <t>Since the applicant qualifies for at least three community revitalization points above, the applicant is eligible for Community Transformation points.
The applicant and City of Sylvester Downtown Development Authority has agreed to serve as the Community Based Developer (See MOU in Tab 30) and has the following partnerships (See Tab 30).  1. Sylvester-Worth County Family Connections  2. WorkSource Southwest Georgia  3. Sylvester-Worth County Chamber of Commerce  4. Worth County Economic Development Authority  5. Worth County School System  6. Southwest Georgia Regional Commission.  The combined number of years as community partners exceeds 16 years.
The proposed development is not within and does not overlap a Defined Neighborhood already containing a Community Transformation initiative funded in 2020, 2021 and 2022.  A map of the Defined Neighborhood is included in Tab 30.
The Project Team member, The City of Sylvester DDA, associated with the submitted partnership letters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30 for supporting documentation.
The Community Quarterback Board has:
1.  At least one third of its members are residents of the Defined Neighborhood who have self certified their income is at less than 80% of AMI: a)Deandre Green b) Steven Danford
2.  At least one third include 3 of 5 following representatives: a) Education - Tracie Turner, Worth County School District b) Employment - None at this time
c) Health services-Mandy Gordon, Phoebe Worth Medical Center d) Transportation services-None at this time e) Local Government-Glenice Stephens Community Development Director, City of Sylvester
See Tab 30 for letters and signatures from the people above.
The board builds on existing community structure and local partnerships by having a member of the City of Sylvester GICH team on the board. - Glenice Stephens, Primary Contact for GICH team
In the last three years, the Community Based Developer has participated in or led philanthropic activities benefitting the community in which the proposed development will be located.  See Tab 30 for supporting documentation.</t>
  </si>
  <si>
    <t>West Pine Residences, LP</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</si>
  <si>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The Developer will contribute $50,000 of Developer Fee to the Community Improvement Fund as indicated in the Community Transformation section of Part VIII.  The $50,000 to the Community Improvement Fund has been removed from eligible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</si>
</sst>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5" borderId="133" xfId="37" quotePrefix="1" applyFont="1" applyFill="1" applyBorder="1" applyAlignment="1" applyProtection="1">
      <alignment horizontal="center" vertical="center"/>
      <protection locked="0"/>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West Pine Residences</v>
      </c>
    </row>
    <row r="3" spans="1:6" ht="15" customHeight="1">
      <c r="A3" s="666" t="str">
        <f>CONCATENATE('Part I-Project Identification'!F26,", ", 'Part I-Project Identification'!J26," County")</f>
        <v>Sylvester, Worth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9" zoomScaleNormal="100" workbookViewId="0">
      <selection activeCell="I241" sqref="I24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West Pine Residences, Sylvester, Worth County</v>
      </c>
      <c r="B2" s="3661"/>
      <c r="C2" s="3661"/>
      <c r="D2" s="3661"/>
      <c r="E2" s="3661"/>
      <c r="F2" s="3661"/>
      <c r="G2" s="3661"/>
      <c r="H2" s="3661"/>
      <c r="I2" s="3661"/>
      <c r="J2" s="3661"/>
      <c r="K2" s="3661"/>
      <c r="L2" s="3661"/>
      <c r="M2" s="3661"/>
      <c r="N2" s="3661"/>
      <c r="O2" s="3661"/>
      <c r="P2" s="3661"/>
      <c r="Q2" s="3662"/>
      <c r="T2" s="1427" t="str">
        <f>A2</f>
        <v>PART FOUR - PROJECTED REVENUES &amp; EXPENSES  -  2023-0 West Pine Residences, Sylvester, Worth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5" t="str">
        <f>'Part I-Project Identification'!$O$28</f>
        <v>Albany</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3203</v>
      </c>
      <c r="R5" s="830"/>
      <c r="S5" s="337"/>
      <c r="T5" s="337"/>
      <c r="U5" s="337"/>
      <c r="W5" s="338"/>
      <c r="X5" s="3554" t="s">
        <v>3681</v>
      </c>
      <c r="Y5" s="3554" t="s">
        <v>3682</v>
      </c>
      <c r="Z5" s="3554" t="s">
        <v>3683</v>
      </c>
      <c r="AA5" s="3554" t="s">
        <v>3684</v>
      </c>
      <c r="AB5" s="3554" t="s">
        <v>3685</v>
      </c>
      <c r="AC5" s="3554" t="s">
        <v>3686</v>
      </c>
      <c r="AD5" s="3554" t="s">
        <v>3687</v>
      </c>
      <c r="AE5" s="3554" t="s">
        <v>3688</v>
      </c>
      <c r="AF5" s="3554" t="s">
        <v>3689</v>
      </c>
      <c r="AG5" s="3554" t="s">
        <v>3690</v>
      </c>
      <c r="AH5" s="3554" t="s">
        <v>861</v>
      </c>
      <c r="AI5" s="3554" t="s">
        <v>705</v>
      </c>
      <c r="AJ5" s="3554" t="s">
        <v>706</v>
      </c>
      <c r="AK5" s="3554" t="s">
        <v>707</v>
      </c>
      <c r="AL5" s="3554" t="s">
        <v>708</v>
      </c>
      <c r="AM5" s="3554" t="s">
        <v>862</v>
      </c>
      <c r="AN5" s="3554" t="s">
        <v>2131</v>
      </c>
      <c r="AO5" s="3554" t="s">
        <v>2132</v>
      </c>
      <c r="AP5" s="3554" t="s">
        <v>2133</v>
      </c>
      <c r="AQ5" s="3554" t="s">
        <v>2134</v>
      </c>
      <c r="AR5" s="3554" t="s">
        <v>3692</v>
      </c>
      <c r="AS5" s="3554" t="s">
        <v>3693</v>
      </c>
      <c r="AT5" s="3554" t="s">
        <v>3694</v>
      </c>
      <c r="AU5" s="3554" t="s">
        <v>3695</v>
      </c>
      <c r="AV5" s="3554" t="s">
        <v>3691</v>
      </c>
      <c r="AW5" s="3554" t="s">
        <v>863</v>
      </c>
      <c r="AX5" s="3554" t="s">
        <v>2135</v>
      </c>
      <c r="AY5" s="3554" t="s">
        <v>2136</v>
      </c>
      <c r="AZ5" s="3554" t="s">
        <v>2137</v>
      </c>
      <c r="BA5" s="3554" t="s">
        <v>2138</v>
      </c>
      <c r="BB5" s="3554" t="s">
        <v>3696</v>
      </c>
      <c r="BC5" s="3554" t="s">
        <v>3697</v>
      </c>
      <c r="BD5" s="3554" t="s">
        <v>3698</v>
      </c>
      <c r="BE5" s="3554" t="s">
        <v>3699</v>
      </c>
      <c r="BF5" s="3554" t="s">
        <v>3700</v>
      </c>
      <c r="BG5" s="3554" t="s">
        <v>123</v>
      </c>
      <c r="BH5" s="3554" t="s">
        <v>2139</v>
      </c>
      <c r="BI5" s="3554" t="s">
        <v>2140</v>
      </c>
      <c r="BJ5" s="3554" t="s">
        <v>2141</v>
      </c>
      <c r="BK5" s="3554" t="s">
        <v>1080</v>
      </c>
      <c r="BL5" s="3554" t="s">
        <v>3701</v>
      </c>
      <c r="BM5" s="3554" t="s">
        <v>3702</v>
      </c>
      <c r="BN5" s="3554" t="s">
        <v>3703</v>
      </c>
      <c r="BO5" s="3554" t="s">
        <v>3704</v>
      </c>
      <c r="BP5" s="3554" t="s">
        <v>3705</v>
      </c>
      <c r="BQ5" s="3554" t="s">
        <v>517</v>
      </c>
      <c r="BR5" s="3554" t="s">
        <v>518</v>
      </c>
      <c r="BS5" s="3554" t="s">
        <v>535</v>
      </c>
      <c r="BT5" s="3554" t="s">
        <v>536</v>
      </c>
      <c r="BU5" s="3554" t="s">
        <v>537</v>
      </c>
      <c r="BV5" s="3554" t="s">
        <v>3706</v>
      </c>
      <c r="BW5" s="3554" t="s">
        <v>3707</v>
      </c>
      <c r="BX5" s="3554" t="s">
        <v>3708</v>
      </c>
      <c r="BY5" s="3554" t="s">
        <v>3709</v>
      </c>
      <c r="BZ5" s="3554" t="s">
        <v>3710</v>
      </c>
      <c r="CA5" s="3554" t="s">
        <v>538</v>
      </c>
      <c r="CB5" s="3554" t="s">
        <v>539</v>
      </c>
      <c r="CC5" s="3554" t="s">
        <v>540</v>
      </c>
      <c r="CD5" s="3554" t="s">
        <v>541</v>
      </c>
      <c r="CE5" s="3554" t="s">
        <v>542</v>
      </c>
      <c r="CF5" s="3554" t="s">
        <v>543</v>
      </c>
      <c r="CG5" s="3554" t="s">
        <v>544</v>
      </c>
      <c r="CH5" s="3554" t="s">
        <v>872</v>
      </c>
      <c r="CI5" s="3554" t="s">
        <v>873</v>
      </c>
      <c r="CJ5" s="3554" t="s">
        <v>874</v>
      </c>
      <c r="CK5" s="3554" t="s">
        <v>3716</v>
      </c>
      <c r="CL5" s="3554" t="s">
        <v>3717</v>
      </c>
      <c r="CM5" s="3554" t="s">
        <v>3718</v>
      </c>
      <c r="CN5" s="3554" t="s">
        <v>3719</v>
      </c>
      <c r="CO5" s="3554" t="s">
        <v>3720</v>
      </c>
      <c r="CP5" s="3554" t="s">
        <v>3711</v>
      </c>
      <c r="CQ5" s="3554" t="s">
        <v>3712</v>
      </c>
      <c r="CR5" s="3554" t="s">
        <v>3713</v>
      </c>
      <c r="CS5" s="3554" t="s">
        <v>3714</v>
      </c>
      <c r="CT5" s="3554" t="s">
        <v>3715</v>
      </c>
      <c r="CU5" s="3554" t="s">
        <v>3721</v>
      </c>
      <c r="CV5" s="3554" t="s">
        <v>3722</v>
      </c>
      <c r="CW5" s="3554" t="s">
        <v>3723</v>
      </c>
      <c r="CX5" s="3554" t="s">
        <v>3724</v>
      </c>
      <c r="CY5" s="3554" t="s">
        <v>3725</v>
      </c>
      <c r="CZ5" s="3554" t="s">
        <v>466</v>
      </c>
      <c r="DA5" s="3554" t="s">
        <v>467</v>
      </c>
      <c r="DB5" s="3554" t="s">
        <v>468</v>
      </c>
      <c r="DC5" s="3554" t="s">
        <v>469</v>
      </c>
      <c r="DD5" s="3554" t="s">
        <v>470</v>
      </c>
      <c r="DE5" s="3554" t="s">
        <v>3726</v>
      </c>
      <c r="DF5" s="3554" t="s">
        <v>3727</v>
      </c>
      <c r="DG5" s="3554" t="s">
        <v>3728</v>
      </c>
      <c r="DH5" s="3554" t="s">
        <v>3729</v>
      </c>
      <c r="DI5" s="3554" t="s">
        <v>3730</v>
      </c>
      <c r="DJ5" s="3554" t="s">
        <v>822</v>
      </c>
      <c r="DK5" s="3554" t="s">
        <v>823</v>
      </c>
      <c r="DL5" s="3554" t="s">
        <v>824</v>
      </c>
      <c r="DM5" s="3554" t="s">
        <v>825</v>
      </c>
      <c r="DN5" s="3554" t="s">
        <v>826</v>
      </c>
      <c r="DO5" s="3554" t="s">
        <v>827</v>
      </c>
      <c r="DP5" s="3554" t="s">
        <v>828</v>
      </c>
      <c r="DQ5" s="3554" t="s">
        <v>829</v>
      </c>
      <c r="DR5" s="3554" t="s">
        <v>830</v>
      </c>
      <c r="DS5" s="3554" t="s">
        <v>831</v>
      </c>
      <c r="DT5" s="3554" t="s">
        <v>3731</v>
      </c>
      <c r="DU5" s="3554" t="s">
        <v>3732</v>
      </c>
      <c r="DV5" s="3554" t="s">
        <v>3733</v>
      </c>
      <c r="DW5" s="3554" t="s">
        <v>3734</v>
      </c>
      <c r="DX5" s="3554" t="s">
        <v>3735</v>
      </c>
      <c r="DY5" s="3554" t="s">
        <v>3736</v>
      </c>
      <c r="DZ5" s="3554" t="s">
        <v>3737</v>
      </c>
      <c r="EA5" s="3554" t="s">
        <v>3738</v>
      </c>
      <c r="EB5" s="3554" t="s">
        <v>3739</v>
      </c>
      <c r="EC5" s="3554" t="s">
        <v>3740</v>
      </c>
      <c r="ED5" s="3554" t="s">
        <v>2235</v>
      </c>
      <c r="EE5" s="3554" t="s">
        <v>2236</v>
      </c>
      <c r="EF5" s="3554" t="s">
        <v>2237</v>
      </c>
      <c r="EG5" s="3554" t="s">
        <v>2238</v>
      </c>
      <c r="EH5" s="3554" t="s">
        <v>2239</v>
      </c>
      <c r="EI5" s="3554" t="s">
        <v>3741</v>
      </c>
      <c r="EJ5" s="3554" t="s">
        <v>3742</v>
      </c>
      <c r="EK5" s="3554" t="s">
        <v>3743</v>
      </c>
      <c r="EL5" s="3554" t="s">
        <v>3744</v>
      </c>
      <c r="EM5" s="3554" t="s">
        <v>3745</v>
      </c>
      <c r="EN5" s="3554" t="s">
        <v>3746</v>
      </c>
      <c r="EO5" s="3554" t="s">
        <v>3747</v>
      </c>
      <c r="EP5" s="3554" t="s">
        <v>3748</v>
      </c>
      <c r="EQ5" s="3554" t="s">
        <v>3749</v>
      </c>
      <c r="ER5" s="3554" t="s">
        <v>3750</v>
      </c>
      <c r="ES5" s="3554" t="s">
        <v>111</v>
      </c>
      <c r="ET5" s="3554" t="s">
        <v>1083</v>
      </c>
      <c r="EU5" s="3554" t="s">
        <v>1084</v>
      </c>
      <c r="EV5" s="3554" t="s">
        <v>1139</v>
      </c>
      <c r="EW5" s="3554" t="s">
        <v>1140</v>
      </c>
      <c r="EX5" s="3554" t="s">
        <v>126</v>
      </c>
      <c r="EY5" s="3554" t="s">
        <v>1141</v>
      </c>
      <c r="EZ5" s="3554" t="s">
        <v>1142</v>
      </c>
      <c r="FA5" s="3554" t="s">
        <v>1143</v>
      </c>
      <c r="FB5" s="3554" t="s">
        <v>1144</v>
      </c>
      <c r="FC5" s="3554" t="s">
        <v>3751</v>
      </c>
      <c r="FD5" s="3554" t="s">
        <v>3752</v>
      </c>
      <c r="FE5" s="3554" t="s">
        <v>3753</v>
      </c>
      <c r="FF5" s="3554" t="s">
        <v>3754</v>
      </c>
      <c r="FG5" s="3554" t="s">
        <v>3755</v>
      </c>
      <c r="FH5" s="3554" t="s">
        <v>125</v>
      </c>
      <c r="FI5" s="3554" t="s">
        <v>853</v>
      </c>
      <c r="FJ5" s="3554" t="s">
        <v>854</v>
      </c>
      <c r="FK5" s="3554" t="s">
        <v>855</v>
      </c>
      <c r="FL5" s="3554" t="s">
        <v>856</v>
      </c>
      <c r="FM5" s="3554" t="s">
        <v>3756</v>
      </c>
      <c r="FN5" s="3554" t="s">
        <v>3757</v>
      </c>
      <c r="FO5" s="3554" t="s">
        <v>3758</v>
      </c>
      <c r="FP5" s="3554" t="s">
        <v>3759</v>
      </c>
      <c r="FQ5" s="3554" t="s">
        <v>3760</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6094</v>
      </c>
      <c r="D6" s="1515"/>
      <c r="E6" s="1515"/>
      <c r="F6" s="1515"/>
      <c r="G6" s="1211" t="s">
        <v>194</v>
      </c>
      <c r="H6" s="3663" t="s">
        <v>6096</v>
      </c>
      <c r="I6" s="3664"/>
      <c r="J6" s="3664"/>
      <c r="K6" s="686" t="s">
        <v>3135</v>
      </c>
      <c r="L6" s="3556" t="str">
        <f>'Part I-Project Identification'!$A$6</f>
        <v>April 2023</v>
      </c>
      <c r="M6" s="3556"/>
      <c r="N6" s="3556"/>
      <c r="O6" s="1717" t="s">
        <v>6076</v>
      </c>
      <c r="P6" s="1505">
        <v>71300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6280</v>
      </c>
      <c r="MQ6" s="3554" t="s">
        <v>6281</v>
      </c>
      <c r="MR6" s="3554" t="s">
        <v>6282</v>
      </c>
      <c r="MS6" s="3554" t="s">
        <v>6283</v>
      </c>
      <c r="MT6" s="3554"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6095</v>
      </c>
      <c r="E7" s="4"/>
      <c r="G7" s="1246" t="s">
        <v>2652</v>
      </c>
      <c r="I7" s="3587" t="s">
        <v>4070</v>
      </c>
      <c r="J7" s="686" t="s">
        <v>742</v>
      </c>
      <c r="K7" s="686" t="s">
        <v>3182</v>
      </c>
      <c r="L7" s="3556"/>
      <c r="M7" s="3556"/>
      <c r="N7" s="3556"/>
      <c r="O7" s="1718" t="s">
        <v>6075</v>
      </c>
      <c r="P7" s="1543">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3763</v>
      </c>
      <c r="C8" s="1"/>
      <c r="E8" s="1"/>
      <c r="F8" s="1"/>
      <c r="I8" s="3587"/>
      <c r="J8" s="686" t="s">
        <v>743</v>
      </c>
      <c r="K8" s="686" t="s">
        <v>3183</v>
      </c>
      <c r="L8" s="667"/>
      <c r="M8" s="667"/>
      <c r="N8" s="1716" t="s">
        <v>6479</v>
      </c>
      <c r="O8" s="3589" t="s">
        <v>7048</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3764</v>
      </c>
      <c r="C9" s="686" t="s">
        <v>165</v>
      </c>
      <c r="D9" s="686" t="s">
        <v>510</v>
      </c>
      <c r="E9" s="686" t="s">
        <v>1382</v>
      </c>
      <c r="F9" s="686" t="s">
        <v>1382</v>
      </c>
      <c r="G9" s="3587" t="s">
        <v>6091</v>
      </c>
      <c r="H9" s="830" t="s">
        <v>3301</v>
      </c>
      <c r="I9" s="3587"/>
      <c r="J9" s="3583" t="s">
        <v>6085</v>
      </c>
      <c r="K9" s="686" t="s">
        <v>2217</v>
      </c>
      <c r="L9" s="3592" t="s">
        <v>139</v>
      </c>
      <c r="M9" s="3593"/>
      <c r="N9" s="686" t="s">
        <v>2184</v>
      </c>
      <c r="O9" s="686" t="s">
        <v>6482</v>
      </c>
      <c r="P9" s="3585" t="s">
        <v>6244</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6285</v>
      </c>
      <c r="IZ9" s="3554" t="s">
        <v>6285</v>
      </c>
      <c r="JA9" s="3554" t="s">
        <v>6285</v>
      </c>
      <c r="JB9" s="3554" t="s">
        <v>6285</v>
      </c>
      <c r="JC9" s="3554" t="s">
        <v>6285</v>
      </c>
      <c r="JD9" s="3554" t="s">
        <v>6286</v>
      </c>
      <c r="JE9" s="3554" t="s">
        <v>6286</v>
      </c>
      <c r="JF9" s="3554" t="s">
        <v>6286</v>
      </c>
      <c r="JG9" s="3554" t="s">
        <v>6286</v>
      </c>
      <c r="JH9" s="3554" t="s">
        <v>6286</v>
      </c>
      <c r="JI9" s="3554" t="s">
        <v>6288</v>
      </c>
      <c r="JJ9" s="3554" t="s">
        <v>6288</v>
      </c>
      <c r="JK9" s="3554" t="s">
        <v>6288</v>
      </c>
      <c r="JL9" s="3554" t="s">
        <v>6288</v>
      </c>
      <c r="JM9" s="3554" t="s">
        <v>6288</v>
      </c>
      <c r="JN9" s="3554" t="s">
        <v>6289</v>
      </c>
      <c r="JO9" s="3554" t="s">
        <v>6289</v>
      </c>
      <c r="JP9" s="3554" t="s">
        <v>6289</v>
      </c>
      <c r="JQ9" s="3554" t="s">
        <v>6289</v>
      </c>
      <c r="JR9" s="3554" t="s">
        <v>6289</v>
      </c>
      <c r="JS9" s="3554" t="s">
        <v>6290</v>
      </c>
      <c r="JT9" s="3554" t="s">
        <v>6290</v>
      </c>
      <c r="JU9" s="3554" t="s">
        <v>6290</v>
      </c>
      <c r="JV9" s="3554" t="s">
        <v>6290</v>
      </c>
      <c r="JW9" s="3554" t="s">
        <v>6290</v>
      </c>
      <c r="JX9" s="3554" t="s">
        <v>6483</v>
      </c>
      <c r="JY9" s="3554" t="s">
        <v>6483</v>
      </c>
      <c r="JZ9" s="3554" t="s">
        <v>6483</v>
      </c>
      <c r="KA9" s="3554" t="s">
        <v>6483</v>
      </c>
      <c r="KB9" s="3554" t="s">
        <v>6483</v>
      </c>
      <c r="KC9" s="3554" t="s">
        <v>6648</v>
      </c>
      <c r="KD9" s="3554" t="s">
        <v>6648</v>
      </c>
      <c r="KE9" s="3554" t="s">
        <v>6648</v>
      </c>
      <c r="KF9" s="3554" t="s">
        <v>6648</v>
      </c>
      <c r="KG9" s="3554" t="s">
        <v>6648</v>
      </c>
      <c r="KH9" s="3554" t="s">
        <v>6649</v>
      </c>
      <c r="KI9" s="3554" t="s">
        <v>6649</v>
      </c>
      <c r="KJ9" s="3554" t="s">
        <v>6649</v>
      </c>
      <c r="KK9" s="3554" t="s">
        <v>6649</v>
      </c>
      <c r="KL9" s="3554" t="s">
        <v>6649</v>
      </c>
      <c r="KM9" s="3554" t="s">
        <v>6292</v>
      </c>
      <c r="KN9" s="3554" t="s">
        <v>6292</v>
      </c>
      <c r="KO9" s="3554" t="s">
        <v>6292</v>
      </c>
      <c r="KP9" s="3554" t="s">
        <v>6292</v>
      </c>
      <c r="KQ9" s="3554" t="s">
        <v>6292</v>
      </c>
      <c r="KR9" s="3554" t="s">
        <v>6484</v>
      </c>
      <c r="KS9" s="3554" t="s">
        <v>6484</v>
      </c>
      <c r="KT9" s="3554" t="s">
        <v>6484</v>
      </c>
      <c r="KU9" s="3554" t="s">
        <v>6484</v>
      </c>
      <c r="KV9" s="3554" t="s">
        <v>6484</v>
      </c>
      <c r="KW9" s="3554" t="s">
        <v>6650</v>
      </c>
      <c r="KX9" s="3554" t="s">
        <v>6650</v>
      </c>
      <c r="KY9" s="3554" t="s">
        <v>6650</v>
      </c>
      <c r="KZ9" s="3554" t="s">
        <v>6650</v>
      </c>
      <c r="LA9" s="3554" t="s">
        <v>6650</v>
      </c>
      <c r="LB9" s="3554" t="s">
        <v>6651</v>
      </c>
      <c r="LC9" s="3554" t="s">
        <v>6651</v>
      </c>
      <c r="LD9" s="3554" t="s">
        <v>6651</v>
      </c>
      <c r="LE9" s="3554" t="s">
        <v>6651</v>
      </c>
      <c r="LF9" s="3554" t="s">
        <v>6651</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3931</v>
      </c>
      <c r="C10" s="686" t="s">
        <v>164</v>
      </c>
      <c r="D10" s="686" t="s">
        <v>166</v>
      </c>
      <c r="E10" s="686" t="s">
        <v>1383</v>
      </c>
      <c r="F10" s="686" t="s">
        <v>1203</v>
      </c>
      <c r="G10" s="3588"/>
      <c r="H10" s="686" t="s">
        <v>6092</v>
      </c>
      <c r="I10" s="3588"/>
      <c r="J10" s="3584"/>
      <c r="K10" s="358" t="s">
        <v>334</v>
      </c>
      <c r="L10" s="686" t="s">
        <v>1432</v>
      </c>
      <c r="M10" s="686" t="s">
        <v>504</v>
      </c>
      <c r="N10" s="686" t="s">
        <v>1382</v>
      </c>
      <c r="O10" s="686" t="s">
        <v>6496</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2</v>
      </c>
      <c r="F18" s="1084">
        <v>750</v>
      </c>
      <c r="G18" s="1084">
        <v>668</v>
      </c>
      <c r="H18" s="1084">
        <f>455+J18</f>
        <v>554</v>
      </c>
      <c r="I18" s="1084">
        <v>0</v>
      </c>
      <c r="J18" s="1100">
        <f>IF(C18="",0,HLOOKUP(C18,'Part IV-Utility Allowances'!$I$11:$M$22,12))</f>
        <v>99</v>
      </c>
      <c r="K18" s="1101"/>
      <c r="L18" s="1102">
        <f t="shared" si="1"/>
        <v>455</v>
      </c>
      <c r="M18" s="1102">
        <f t="shared" si="2"/>
        <v>910</v>
      </c>
      <c r="N18" s="1103" t="s">
        <v>2652</v>
      </c>
      <c r="O18" s="1685" t="s">
        <v>6291</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1500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2</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50</v>
      </c>
      <c r="C19" s="132">
        <v>2</v>
      </c>
      <c r="D19" s="1751">
        <v>2</v>
      </c>
      <c r="E19" s="133">
        <v>9</v>
      </c>
      <c r="F19" s="133">
        <v>964</v>
      </c>
      <c r="G19" s="133">
        <v>802</v>
      </c>
      <c r="H19" s="133">
        <f>495+J19</f>
        <v>622</v>
      </c>
      <c r="I19" s="133">
        <v>0</v>
      </c>
      <c r="J19" s="756">
        <f>IF(C19="",0,HLOOKUP(C19,'Part IV-Utility Allowances'!$I$11:$M$22,12))</f>
        <v>127</v>
      </c>
      <c r="K19" s="644"/>
      <c r="L19" s="461">
        <f t="shared" si="1"/>
        <v>495</v>
      </c>
      <c r="M19" s="461">
        <f t="shared" si="2"/>
        <v>4455</v>
      </c>
      <c r="N19" s="695" t="s">
        <v>2652</v>
      </c>
      <c r="O19" s="1683" t="s">
        <v>6291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9</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8676</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9</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9</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9</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9</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50</v>
      </c>
      <c r="C20" s="132">
        <v>3</v>
      </c>
      <c r="D20" s="1751">
        <v>2</v>
      </c>
      <c r="E20" s="133">
        <v>5</v>
      </c>
      <c r="F20" s="133">
        <v>1157</v>
      </c>
      <c r="G20" s="133">
        <v>926</v>
      </c>
      <c r="H20" s="133">
        <f>535+J20</f>
        <v>691</v>
      </c>
      <c r="I20" s="133">
        <v>0</v>
      </c>
      <c r="J20" s="756">
        <f>IF(C20="",0,HLOOKUP(C20,'Part IV-Utility Allowances'!$I$11:$M$22,12))</f>
        <v>156</v>
      </c>
      <c r="K20" s="644"/>
      <c r="L20" s="461">
        <f t="shared" si="1"/>
        <v>535</v>
      </c>
      <c r="M20" s="461">
        <f t="shared" si="2"/>
        <v>2675</v>
      </c>
      <c r="N20" s="695" t="s">
        <v>2652</v>
      </c>
      <c r="O20" s="1683" t="s">
        <v>6291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5</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5785</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5</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5</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5</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5</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32">
        <v>1</v>
      </c>
      <c r="D21" s="1751">
        <v>1</v>
      </c>
      <c r="E21" s="133">
        <v>3</v>
      </c>
      <c r="F21" s="133">
        <v>750</v>
      </c>
      <c r="G21" s="133">
        <v>801</v>
      </c>
      <c r="H21" s="133">
        <f>535+J21</f>
        <v>634</v>
      </c>
      <c r="I21" s="133">
        <v>0</v>
      </c>
      <c r="J21" s="756">
        <f>IF(C21="",0,HLOOKUP(C21,'Part IV-Utility Allowances'!$I$11:$M$22,12))</f>
        <v>99</v>
      </c>
      <c r="K21" s="644"/>
      <c r="L21" s="461">
        <f t="shared" si="1"/>
        <v>535</v>
      </c>
      <c r="M21" s="461">
        <f t="shared" si="2"/>
        <v>1605</v>
      </c>
      <c r="N21" s="695" t="s">
        <v>2652</v>
      </c>
      <c r="O21" s="1683" t="s">
        <v>6291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3</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2250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3</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3</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3</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3</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2</v>
      </c>
      <c r="D22" s="1751">
        <v>2</v>
      </c>
      <c r="E22" s="133">
        <v>11</v>
      </c>
      <c r="F22" s="133">
        <v>964</v>
      </c>
      <c r="G22" s="133">
        <v>963</v>
      </c>
      <c r="H22" s="133">
        <f>575+J22</f>
        <v>702</v>
      </c>
      <c r="I22" s="133">
        <v>0</v>
      </c>
      <c r="J22" s="756">
        <f>IF(C22="",0,HLOOKUP(C22,'Part IV-Utility Allowances'!$I$11:$M$22,12))</f>
        <v>127</v>
      </c>
      <c r="K22" s="644"/>
      <c r="L22" s="461">
        <f t="shared" si="1"/>
        <v>575</v>
      </c>
      <c r="M22" s="461">
        <f t="shared" si="2"/>
        <v>6325</v>
      </c>
      <c r="N22" s="695" t="s">
        <v>2652</v>
      </c>
      <c r="O22" s="1683" t="s">
        <v>6291</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10604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11</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11</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11</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11</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60</v>
      </c>
      <c r="C23" s="132">
        <v>3</v>
      </c>
      <c r="D23" s="1751">
        <v>2</v>
      </c>
      <c r="E23" s="133">
        <v>7</v>
      </c>
      <c r="F23" s="133">
        <v>1157</v>
      </c>
      <c r="G23" s="133">
        <v>1112</v>
      </c>
      <c r="H23" s="133">
        <f>615+J23</f>
        <v>771</v>
      </c>
      <c r="I23" s="133">
        <v>0</v>
      </c>
      <c r="J23" s="756">
        <f>IF(C23="",0,HLOOKUP(C23,'Part IV-Utility Allowances'!$I$11:$M$22,12))</f>
        <v>156</v>
      </c>
      <c r="K23" s="644"/>
      <c r="L23" s="461">
        <f t="shared" si="1"/>
        <v>615</v>
      </c>
      <c r="M23" s="461">
        <f t="shared" si="2"/>
        <v>4305</v>
      </c>
      <c r="N23" s="695" t="s">
        <v>2652</v>
      </c>
      <c r="O23" s="1683" t="s">
        <v>6291</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7</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8099</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7</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7</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7</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7</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70</v>
      </c>
      <c r="C24" s="132">
        <v>1</v>
      </c>
      <c r="D24" s="1751">
        <v>1</v>
      </c>
      <c r="E24" s="133">
        <v>1</v>
      </c>
      <c r="F24" s="133">
        <v>750</v>
      </c>
      <c r="G24" s="133">
        <v>935</v>
      </c>
      <c r="H24" s="133">
        <f>595+J24</f>
        <v>694</v>
      </c>
      <c r="I24" s="133">
        <v>0</v>
      </c>
      <c r="J24" s="756">
        <f>IF(C24="",0,HLOOKUP(C24,'Part IV-Utility Allowances'!$I$11:$M$22,12))</f>
        <v>99</v>
      </c>
      <c r="K24" s="644"/>
      <c r="L24" s="461">
        <f t="shared" si="1"/>
        <v>595</v>
      </c>
      <c r="M24" s="461">
        <f t="shared" si="2"/>
        <v>595</v>
      </c>
      <c r="N24" s="695" t="s">
        <v>2652</v>
      </c>
      <c r="O24" s="1683" t="s">
        <v>6291</v>
      </c>
      <c r="P24" s="695" t="s">
        <v>2120</v>
      </c>
      <c r="Q24" s="134" t="s">
        <v>2652</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f t="shared" si="9"/>
        <v>1</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f t="shared" si="124"/>
        <v>750</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1</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1</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1</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v>70</v>
      </c>
      <c r="C25" s="132">
        <v>2</v>
      </c>
      <c r="D25" s="1751">
        <v>2</v>
      </c>
      <c r="E25" s="133">
        <v>4</v>
      </c>
      <c r="F25" s="133">
        <v>964</v>
      </c>
      <c r="G25" s="133">
        <v>1123</v>
      </c>
      <c r="H25" s="133">
        <f>635+J25</f>
        <v>762</v>
      </c>
      <c r="I25" s="133">
        <v>0</v>
      </c>
      <c r="J25" s="756">
        <f>IF(C25="",0,HLOOKUP(C25,'Part IV-Utility Allowances'!$I$11:$M$22,12))</f>
        <v>127</v>
      </c>
      <c r="K25" s="644"/>
      <c r="L25" s="461">
        <f t="shared" si="1"/>
        <v>635</v>
      </c>
      <c r="M25" s="461">
        <f t="shared" si="2"/>
        <v>2540</v>
      </c>
      <c r="N25" s="695" t="s">
        <v>2652</v>
      </c>
      <c r="O25" s="1683" t="s">
        <v>6291</v>
      </c>
      <c r="P25" s="695" t="s">
        <v>2120</v>
      </c>
      <c r="Q25" s="134" t="s">
        <v>2652</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f t="shared" si="10"/>
        <v>4</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f t="shared" si="125"/>
        <v>3856</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4</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4</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4</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4</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70</v>
      </c>
      <c r="C26" s="132">
        <v>3</v>
      </c>
      <c r="D26" s="1751">
        <v>2</v>
      </c>
      <c r="E26" s="133">
        <v>2</v>
      </c>
      <c r="F26" s="133">
        <v>1157</v>
      </c>
      <c r="G26" s="133">
        <v>1297</v>
      </c>
      <c r="H26" s="133">
        <f>675+J26</f>
        <v>831</v>
      </c>
      <c r="I26" s="133">
        <v>0</v>
      </c>
      <c r="J26" s="756">
        <f>IF(C26="",0,HLOOKUP(C26,'Part IV-Utility Allowances'!$I$11:$M$22,12))</f>
        <v>156</v>
      </c>
      <c r="K26" s="644"/>
      <c r="L26" s="461">
        <f t="shared" si="1"/>
        <v>675</v>
      </c>
      <c r="M26" s="461">
        <f t="shared" si="2"/>
        <v>1350</v>
      </c>
      <c r="N26" s="695" t="s">
        <v>2652</v>
      </c>
      <c r="O26" s="1683" t="s">
        <v>6291</v>
      </c>
      <c r="P26" s="695" t="s">
        <v>2120</v>
      </c>
      <c r="Q26" s="134" t="s">
        <v>2652</v>
      </c>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2</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2314</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2</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2</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2</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2</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6" t="s">
        <v>3768</v>
      </c>
      <c r="C49" s="3607"/>
      <c r="D49" s="107" t="s">
        <v>954</v>
      </c>
      <c r="E49" s="1113">
        <f>SUM(E11:E48)</f>
        <v>44</v>
      </c>
      <c r="F49" s="1111">
        <f>(E11*F11+E12*F12+E13*F13+E14*F14+E15*F15+E16*F16+E17*F17+E18*F18+E19*F19+E20*F20+E21*F21+E22*F22+E23*F23+E24*F24+E25*F25+E26*F26+E27*F27+E28*F28+E29*F29+E30*F30+E31*F31+E32*F32+E33*F33+E34*F34+E35*F35+E36*F36+E37*F37+E38*F38+E39*F39+E40*F40+E41*F41+E42*F42+E43*F43+E44*F44+E45*F45+E46*F46+E47*F47+E48*F48)</f>
        <v>43834</v>
      </c>
      <c r="H49" s="3580" t="s">
        <v>3765</v>
      </c>
      <c r="I49" s="1114" t="s">
        <v>3766</v>
      </c>
      <c r="J49" s="1115" t="str">
        <f>IF(P67=0,"",IF(SUM(P58:P62)/P67&gt;=0.4,"Pass","Fail"))</f>
        <v>Pass</v>
      </c>
      <c r="K49" s="448"/>
      <c r="L49" s="699" t="s">
        <v>1225</v>
      </c>
      <c r="M49" s="94">
        <f>SUM(M11:M48)</f>
        <v>24760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1</v>
      </c>
      <c r="AE49" s="1749">
        <f t="shared" si="339"/>
        <v>4</v>
      </c>
      <c r="AF49" s="1749">
        <f t="shared" si="339"/>
        <v>2</v>
      </c>
      <c r="AG49" s="1749">
        <f t="shared" si="339"/>
        <v>0</v>
      </c>
      <c r="AH49" s="1749">
        <f t="shared" si="339"/>
        <v>0</v>
      </c>
      <c r="AI49" s="1749">
        <f t="shared" si="339"/>
        <v>3</v>
      </c>
      <c r="AJ49" s="1749">
        <f t="shared" si="339"/>
        <v>11</v>
      </c>
      <c r="AK49" s="1749">
        <f t="shared" si="339"/>
        <v>7</v>
      </c>
      <c r="AL49" s="1749">
        <f t="shared" si="339"/>
        <v>0</v>
      </c>
      <c r="AM49" s="1749">
        <f>SUM(AM11:AM48)</f>
        <v>0</v>
      </c>
      <c r="AN49" s="1749">
        <f>SUM(AN11:AN48)</f>
        <v>2</v>
      </c>
      <c r="AO49" s="1749">
        <f>SUM(AO11:AO48)</f>
        <v>9</v>
      </c>
      <c r="AP49" s="1749">
        <f>SUM(AP11:AP48)</f>
        <v>5</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750</v>
      </c>
      <c r="EP49" s="1749">
        <f t="shared" si="342"/>
        <v>3856</v>
      </c>
      <c r="EQ49" s="1749">
        <f t="shared" si="342"/>
        <v>2314</v>
      </c>
      <c r="ER49" s="1749">
        <f t="shared" si="342"/>
        <v>0</v>
      </c>
      <c r="ES49" s="1749">
        <f t="shared" si="342"/>
        <v>0</v>
      </c>
      <c r="ET49" s="1749">
        <f t="shared" si="342"/>
        <v>2250</v>
      </c>
      <c r="EU49" s="1749">
        <f t="shared" si="342"/>
        <v>10604</v>
      </c>
      <c r="EV49" s="1749">
        <f t="shared" si="342"/>
        <v>8099</v>
      </c>
      <c r="EW49" s="1749">
        <f t="shared" si="342"/>
        <v>0</v>
      </c>
      <c r="EX49" s="1749">
        <f t="shared" si="338"/>
        <v>0</v>
      </c>
      <c r="EY49" s="1749">
        <f t="shared" si="338"/>
        <v>1500</v>
      </c>
      <c r="EZ49" s="1749">
        <f t="shared" si="338"/>
        <v>8676</v>
      </c>
      <c r="FA49" s="1749">
        <f t="shared" si="338"/>
        <v>5785</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6</v>
      </c>
      <c r="GI49" s="1749">
        <f t="shared" si="343"/>
        <v>24</v>
      </c>
      <c r="GJ49" s="1749">
        <f t="shared" si="343"/>
        <v>14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6</v>
      </c>
      <c r="IB49" s="1749">
        <f t="shared" si="344"/>
        <v>24</v>
      </c>
      <c r="IC49" s="1749">
        <f t="shared" si="344"/>
        <v>14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6</v>
      </c>
      <c r="JU49" s="1749">
        <f t="shared" si="344"/>
        <v>24</v>
      </c>
      <c r="JV49" s="1749">
        <f t="shared" si="344"/>
        <v>14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6</v>
      </c>
      <c r="MM49" s="1749">
        <f t="shared" si="346"/>
        <v>24</v>
      </c>
      <c r="MN49" s="1749">
        <f t="shared" si="346"/>
        <v>14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57.954545454545453</v>
      </c>
      <c r="C50" s="3579"/>
      <c r="D50" s="119" t="s">
        <v>3675</v>
      </c>
      <c r="E50" s="1110">
        <f>SUM(E18:E48)</f>
        <v>44</v>
      </c>
      <c r="F50" s="1112">
        <f>(E18*F18+E19*F19+E20*F20+E21*F21+E22*F22+E23*F23+E24*F24+E25*F25+E26*F26+E27*F27+E28*F28+E29*F29+E30*F30+E31*F31+E32*F32+E33*F33+E34*F34+E35*F35+E36*F36+E37*F37+E38*F38+E39*F39+E40*F40+E41*F41+E42*F42+E43*F43+E44*F44+E45*F45+E46*F46+E47*F47+E48*F48)</f>
        <v>43834</v>
      </c>
      <c r="H50" s="3581"/>
      <c r="I50" s="1116" t="s">
        <v>3767</v>
      </c>
      <c r="J50" s="1117" t="str">
        <f>IF(P67=0,"",IF(SUM(P59:P62)/P67&gt;=0.2,"Pass","Fail"))</f>
        <v>Pass</v>
      </c>
      <c r="K50" s="448"/>
      <c r="L50" s="107" t="s">
        <v>757</v>
      </c>
      <c r="M50" s="94">
        <f>M49*12</f>
        <v>297120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7" t="s">
        <v>3812</v>
      </c>
      <c r="P53" s="3568"/>
      <c r="S53" s="3595" t="str">
        <f>B53</f>
        <v>UNIT SUMMARY</v>
      </c>
      <c r="T53" s="3595"/>
      <c r="U53" s="3595"/>
      <c r="V53" s="3595"/>
      <c r="AY53" s="359"/>
      <c r="BD53" s="359"/>
      <c r="LO53" s="361"/>
      <c r="MD53" s="357"/>
    </row>
    <row r="54" spans="1:381" ht="14.25" customHeight="1">
      <c r="A54" s="10"/>
      <c r="B54" s="10"/>
      <c r="K54" s="144" t="s">
        <v>6643</v>
      </c>
      <c r="O54" s="3565" t="s">
        <v>3204</v>
      </c>
      <c r="P54" s="3566"/>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4075</v>
      </c>
      <c r="B56" s="3659"/>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5" t="s">
        <v>3184</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3677</v>
      </c>
      <c r="I57" s="29"/>
      <c r="J57" s="62"/>
      <c r="K57" s="1127">
        <f>AC49</f>
        <v>0</v>
      </c>
      <c r="L57" s="1128">
        <f>AD49</f>
        <v>1</v>
      </c>
      <c r="M57" s="1128">
        <f>AE49</f>
        <v>4</v>
      </c>
      <c r="N57" s="1128">
        <f>AF49</f>
        <v>2</v>
      </c>
      <c r="O57" s="1129">
        <f>AG49</f>
        <v>0</v>
      </c>
      <c r="P57" s="745">
        <f t="shared" si="347"/>
        <v>7</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3</v>
      </c>
      <c r="M58" s="1128">
        <f>AJ49</f>
        <v>11</v>
      </c>
      <c r="N58" s="1128">
        <f>AK49</f>
        <v>7</v>
      </c>
      <c r="O58" s="1129">
        <f>AL49</f>
        <v>0</v>
      </c>
      <c r="P58" s="745">
        <f t="shared" si="347"/>
        <v>21</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2</v>
      </c>
      <c r="M59" s="1149">
        <f>AO49</f>
        <v>9</v>
      </c>
      <c r="N59" s="1149">
        <f>AP49</f>
        <v>5</v>
      </c>
      <c r="O59" s="1150">
        <f>AQ49</f>
        <v>0</v>
      </c>
      <c r="P59" s="466">
        <f t="shared" si="347"/>
        <v>16</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3678</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3679</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3680</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3762</v>
      </c>
      <c r="D63" s="1"/>
      <c r="E63" s="1"/>
      <c r="F63" s="1"/>
      <c r="G63" s="62"/>
      <c r="H63" s="68"/>
      <c r="I63" s="44"/>
      <c r="J63" s="62"/>
      <c r="K63" s="1092">
        <f>SUM(K56:K62)</f>
        <v>0</v>
      </c>
      <c r="L63" s="1092">
        <f>SUM(L56:L62)</f>
        <v>6</v>
      </c>
      <c r="M63" s="1092">
        <f>SUM(M56:M62)</f>
        <v>24</v>
      </c>
      <c r="N63" s="1092">
        <f>SUM(N56:N62)</f>
        <v>14</v>
      </c>
      <c r="O63" s="1092">
        <f>SUM(O56:O62)</f>
        <v>0</v>
      </c>
      <c r="P63" s="1092">
        <f t="shared" si="347"/>
        <v>44</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6</v>
      </c>
      <c r="M65" s="1099">
        <f>SUM(M63:M64)</f>
        <v>24</v>
      </c>
      <c r="N65" s="1099">
        <f>SUM(N63:N64)</f>
        <v>14</v>
      </c>
      <c r="O65" s="1099">
        <f>SUM(O63:O64)</f>
        <v>0</v>
      </c>
      <c r="P65" s="1099">
        <f t="shared" si="347"/>
        <v>44</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6</v>
      </c>
      <c r="M67" s="1091">
        <f>SUM(M65:M66)</f>
        <v>24</v>
      </c>
      <c r="N67" s="1091">
        <f>SUM(N65:N66)</f>
        <v>14</v>
      </c>
      <c r="O67" s="1091">
        <f>SUM(O65:O66)</f>
        <v>0</v>
      </c>
      <c r="P67" s="1091">
        <f t="shared" si="347"/>
        <v>44</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3771</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4068</v>
      </c>
      <c r="E73" s="3555"/>
      <c r="F73" s="3555"/>
      <c r="G73" s="6"/>
      <c r="H73" s="81" t="s">
        <v>3677</v>
      </c>
      <c r="I73" s="29"/>
      <c r="J73" s="1"/>
      <c r="K73" s="1436" t="str">
        <f t="shared" ref="K73:P73" si="350">IF(OR(K57=0,K67=0),"",K57/K67)</f>
        <v/>
      </c>
      <c r="L73" s="1437">
        <f t="shared" si="350"/>
        <v>0.16666666666666666</v>
      </c>
      <c r="M73" s="1437">
        <f t="shared" si="350"/>
        <v>0.16666666666666666</v>
      </c>
      <c r="N73" s="1437">
        <f t="shared" si="350"/>
        <v>0.14285714285714285</v>
      </c>
      <c r="O73" s="1437" t="str">
        <f t="shared" si="350"/>
        <v/>
      </c>
      <c r="P73" s="1438">
        <f t="shared" si="350"/>
        <v>0.15909090909090909</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6486</v>
      </c>
      <c r="I74" s="29"/>
      <c r="J74" s="1"/>
      <c r="K74" s="1509" t="str">
        <f>IF(OR(K57=0,P73="",K67=0),"",P73*K67)</f>
        <v/>
      </c>
      <c r="L74" s="1509">
        <f>IF(OR(L57=0,P73="",L67=0),"",P73*L67)</f>
        <v>0.95454545454545459</v>
      </c>
      <c r="M74" s="1509">
        <f>IF(OR(M57=0,P73="",M67=0),"",P73*M67)</f>
        <v>3.8181818181818183</v>
      </c>
      <c r="N74" s="1509">
        <f>IF(OR(N57=0,P73="",N67=0),"",P73*N67)</f>
        <v>2.2272727272727271</v>
      </c>
      <c r="O74" s="1509" t="str">
        <f>IF(OR(O57=0,P73="",O67=0),"",P73*O67)</f>
        <v/>
      </c>
      <c r="P74" s="1510">
        <f>IF(OR(P73="",P67=0),"",P73*P67)</f>
        <v>7</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6487</v>
      </c>
      <c r="I75" s="1409"/>
      <c r="J75" s="1"/>
      <c r="K75" s="1511" t="str">
        <f t="shared" ref="K75:P75" si="351">IF(OR(K74="",K57=0),"", K57-K74)</f>
        <v/>
      </c>
      <c r="L75" s="1511">
        <f t="shared" si="351"/>
        <v>4.5454545454545414E-2</v>
      </c>
      <c r="M75" s="1511">
        <f t="shared" si="351"/>
        <v>0.18181818181818166</v>
      </c>
      <c r="N75" s="1511">
        <f t="shared" si="351"/>
        <v>-0.22727272727272707</v>
      </c>
      <c r="O75" s="1511" t="str">
        <f t="shared" si="351"/>
        <v/>
      </c>
      <c r="P75" s="1511">
        <f t="shared" si="351"/>
        <v>0</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5"/>
      <c r="E76" s="3555"/>
      <c r="F76" s="3555"/>
      <c r="G76" s="6"/>
      <c r="H76" s="81" t="s">
        <v>1081</v>
      </c>
      <c r="I76" s="29"/>
      <c r="J76" s="1"/>
      <c r="K76" s="1436" t="str">
        <f t="shared" ref="K76:P76" si="352">IF(OR(K58=0,K67=0),"",K58/K67)</f>
        <v/>
      </c>
      <c r="L76" s="1437">
        <f t="shared" si="352"/>
        <v>0.5</v>
      </c>
      <c r="M76" s="1437">
        <f t="shared" si="352"/>
        <v>0.45833333333333331</v>
      </c>
      <c r="N76" s="1437">
        <f t="shared" si="352"/>
        <v>0.5</v>
      </c>
      <c r="O76" s="1437" t="str">
        <f t="shared" si="352"/>
        <v/>
      </c>
      <c r="P76" s="1438">
        <f t="shared" si="352"/>
        <v>0.47727272727272729</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6486</v>
      </c>
      <c r="I77" s="29"/>
      <c r="J77" s="1"/>
      <c r="K77" s="1509" t="str">
        <f>IF(OR(K58=0,P76="",K67=0),"",P76*K67)</f>
        <v/>
      </c>
      <c r="L77" s="1509">
        <f>IF(OR(L58=0,P76="",L67=0),"",P76*L67)</f>
        <v>2.8636363636363638</v>
      </c>
      <c r="M77" s="1509">
        <f>IF(OR(M58=0,P76="",M67=0),"",P76*M67)</f>
        <v>11.454545454545455</v>
      </c>
      <c r="N77" s="1509">
        <f>IF(OR(N58=0,P76="",N67=0),"",P76*N67)</f>
        <v>6.6818181818181817</v>
      </c>
      <c r="O77" s="1509" t="str">
        <f>IF(OR(O58=0,P76="",O67=0),"",P76*O67)</f>
        <v/>
      </c>
      <c r="P77" s="1510">
        <f>IF(OR(P76="",P67=0),"",P76*P67)</f>
        <v>21</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6487</v>
      </c>
      <c r="I78" s="1409"/>
      <c r="J78" s="1"/>
      <c r="K78" s="1511" t="str">
        <f t="shared" ref="K78:P78" si="353">IF(OR(K77="",K58=0),"", K58-K77)</f>
        <v/>
      </c>
      <c r="L78" s="1511">
        <f t="shared" si="353"/>
        <v>0.13636363636363624</v>
      </c>
      <c r="M78" s="1511">
        <f t="shared" si="353"/>
        <v>-0.45454545454545503</v>
      </c>
      <c r="N78" s="1511">
        <f t="shared" si="353"/>
        <v>0.31818181818181834</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0.33333333333333331</v>
      </c>
      <c r="M79" s="1437">
        <f t="shared" si="354"/>
        <v>0.375</v>
      </c>
      <c r="N79" s="1437">
        <f t="shared" si="354"/>
        <v>0.35714285714285715</v>
      </c>
      <c r="O79" s="1437" t="str">
        <f t="shared" si="354"/>
        <v/>
      </c>
      <c r="P79" s="1438">
        <f t="shared" si="354"/>
        <v>0.36363636363636365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2.1818181818181817</v>
      </c>
      <c r="M80" s="1509">
        <f>IF(OR(M59=0,P79="",M67=0),"",P79*M67)</f>
        <v>8.7272727272727266</v>
      </c>
      <c r="N80" s="1509">
        <f>IF(OR(N59=0,P79="",N67=0),"",P79*N67)</f>
        <v>5.0909090909090908</v>
      </c>
      <c r="O80" s="1509" t="str">
        <f>IF(OR(O59=0,P79="",O67=0),"",P79*O67)</f>
        <v/>
      </c>
      <c r="P80" s="1510">
        <f>IF(OR(P79="",P67=0),"",P79*P67)</f>
        <v>16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-0.18181818181818166</v>
      </c>
      <c r="M81" s="1511">
        <f t="shared" si="355"/>
        <v>0.27272727272727337</v>
      </c>
      <c r="N81" s="1511">
        <f t="shared" si="355"/>
        <v>-9.0909090909090828E-2</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6" t="str">
        <f>$O$53</f>
        <v>Income Averaging</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6</v>
      </c>
      <c r="M113" s="1125">
        <f>GI49</f>
        <v>24</v>
      </c>
      <c r="N113" s="1125">
        <f>GJ49</f>
        <v>14</v>
      </c>
      <c r="O113" s="1126">
        <f>GK49</f>
        <v>0</v>
      </c>
      <c r="P113" s="749">
        <f t="shared" ref="P113:P123" si="364">SUM(K113:O113)</f>
        <v>44</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6</v>
      </c>
      <c r="M115" s="1093">
        <f>SUM(M113:M114)+GS49</f>
        <v>24</v>
      </c>
      <c r="N115" s="1093">
        <f>SUM(N113:N114)+GT49</f>
        <v>14</v>
      </c>
      <c r="O115" s="1093">
        <f>SUM(O113:O114)+GU49</f>
        <v>0</v>
      </c>
      <c r="P115" s="1093">
        <f t="shared" si="364"/>
        <v>44</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6491</v>
      </c>
      <c r="D127" s="3557"/>
      <c r="E127" s="908" t="s">
        <v>36</v>
      </c>
      <c r="F127" s="767"/>
      <c r="G127" s="909"/>
      <c r="H127" s="1442"/>
      <c r="I127" s="910"/>
      <c r="J127" s="911"/>
      <c r="K127" s="1145">
        <f t="shared" ref="K127:P127" si="365">SUM(K128:K135)</f>
        <v>0</v>
      </c>
      <c r="L127" s="1146">
        <f t="shared" si="365"/>
        <v>6</v>
      </c>
      <c r="M127" s="1146">
        <f t="shared" si="365"/>
        <v>24</v>
      </c>
      <c r="N127" s="1146">
        <f t="shared" si="365"/>
        <v>14</v>
      </c>
      <c r="O127" s="1147">
        <f t="shared" si="365"/>
        <v>0</v>
      </c>
      <c r="P127" s="1096">
        <f t="shared" si="365"/>
        <v>44</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6291</v>
      </c>
      <c r="I128" s="33"/>
      <c r="J128" s="912"/>
      <c r="K128" s="1127">
        <f>JS49</f>
        <v>0</v>
      </c>
      <c r="L128" s="1128">
        <f>JT49</f>
        <v>6</v>
      </c>
      <c r="M128" s="1128">
        <f>JU49</f>
        <v>24</v>
      </c>
      <c r="N128" s="1128">
        <f>JV49</f>
        <v>14</v>
      </c>
      <c r="O128" s="1129">
        <f>JW49</f>
        <v>0</v>
      </c>
      <c r="P128" s="745">
        <f t="shared" ref="P128:P143" si="366">SUM(K128:O128)</f>
        <v>44</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6" t="str">
        <f>$O$53</f>
        <v>Income Averaging</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6492</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6</v>
      </c>
      <c r="M151" s="1161">
        <f t="shared" si="371"/>
        <v>24</v>
      </c>
      <c r="N151" s="1161">
        <f t="shared" si="371"/>
        <v>14</v>
      </c>
      <c r="O151" s="1162">
        <f t="shared" si="371"/>
        <v>0</v>
      </c>
      <c r="P151" s="1688">
        <f t="shared" si="369"/>
        <v>44</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3890</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750</v>
      </c>
      <c r="M158" s="1164">
        <f>EP49</f>
        <v>3856</v>
      </c>
      <c r="N158" s="1164">
        <f>EQ49</f>
        <v>2314</v>
      </c>
      <c r="O158" s="1165">
        <f>ER49</f>
        <v>0</v>
      </c>
      <c r="P158" s="1088">
        <f t="shared" si="372"/>
        <v>6920</v>
      </c>
      <c r="Q158" s="1291">
        <f t="shared" si="373"/>
        <v>988.57142857142856</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2250</v>
      </c>
      <c r="M159" s="1164">
        <f>EU49</f>
        <v>10604</v>
      </c>
      <c r="N159" s="1164">
        <f>EV49</f>
        <v>8099</v>
      </c>
      <c r="O159" s="1165">
        <f>EW49</f>
        <v>0</v>
      </c>
      <c r="P159" s="1088">
        <f t="shared" si="372"/>
        <v>20953</v>
      </c>
      <c r="Q159" s="1291">
        <f t="shared" si="373"/>
        <v>997.76190476190482</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1500</v>
      </c>
      <c r="M160" s="1224">
        <f>EZ49</f>
        <v>8676</v>
      </c>
      <c r="N160" s="1224">
        <f>FA49</f>
        <v>5785</v>
      </c>
      <c r="O160" s="1225">
        <f>FB49</f>
        <v>0</v>
      </c>
      <c r="P160" s="1226">
        <f t="shared" si="372"/>
        <v>15961</v>
      </c>
      <c r="Q160" s="1291">
        <f t="shared" si="373"/>
        <v>997.5625</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4500</v>
      </c>
      <c r="M164" s="1690">
        <f>SUM(M157:M163)</f>
        <v>23136</v>
      </c>
      <c r="N164" s="1690">
        <f>SUM(N157:N163)</f>
        <v>16198</v>
      </c>
      <c r="O164" s="1690">
        <f>SUM(O157:O163)</f>
        <v>0</v>
      </c>
      <c r="P164" s="1690">
        <f>SUM(K164:O164)</f>
        <v>43834</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4500</v>
      </c>
      <c r="M166" s="1689">
        <f>SUM(M164:M165)</f>
        <v>23136</v>
      </c>
      <c r="N166" s="1689">
        <f>SUM(N164:N165)</f>
        <v>16198</v>
      </c>
      <c r="O166" s="1689">
        <f>SUM(O164:O165)</f>
        <v>0</v>
      </c>
      <c r="P166" s="1689">
        <f>SUM(K166:O166)</f>
        <v>43834</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4500</v>
      </c>
      <c r="M168" s="1094">
        <f>SUM(M166:M167)</f>
        <v>23136</v>
      </c>
      <c r="N168" s="1094">
        <f>SUM(N166:N167)</f>
        <v>16198</v>
      </c>
      <c r="O168" s="1094">
        <f>SUM(O166:O167)</f>
        <v>0</v>
      </c>
      <c r="P168" s="1094">
        <f>SUM(K168:O168)</f>
        <v>43834</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750</v>
      </c>
      <c r="M171" s="1290">
        <f>IF(OR(M67="",M67=0),"",M168/M67)</f>
        <v>964</v>
      </c>
      <c r="N171" s="1290">
        <f>IF(OR(N67="",N67=0),"",N168/N67)</f>
        <v>1157</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4">
        <v>2200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46034</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5942.4000000000005</v>
      </c>
      <c r="I179" s="3553"/>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19729</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55000</v>
      </c>
      <c r="G221" s="3625"/>
      <c r="H221" s="1"/>
      <c r="I221" s="1" t="s">
        <v>1300</v>
      </c>
      <c r="K221" s="1"/>
      <c r="L221" s="3624"/>
      <c r="M221" s="3625"/>
      <c r="N221" s="1"/>
      <c r="O221" s="319">
        <f>+Q220/(P67*0.93)</f>
        <v>482.13587487781035</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35000</v>
      </c>
      <c r="G222" s="3600"/>
      <c r="H222" s="1"/>
      <c r="I222" s="1" t="s">
        <v>1301</v>
      </c>
      <c r="K222" s="1"/>
      <c r="L222" s="3627">
        <v>600</v>
      </c>
      <c r="M222" s="3628"/>
      <c r="N222" s="1"/>
      <c r="O222" s="319">
        <f>+Q220/(P67*0.93)/12</f>
        <v>40.17798957315086</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600</v>
      </c>
      <c r="M223" s="3632"/>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90000</v>
      </c>
      <c r="G227" s="3632"/>
      <c r="H227" s="1"/>
      <c r="I227" s="1" t="s">
        <v>1497</v>
      </c>
      <c r="K227" s="1"/>
      <c r="L227" s="3611">
        <v>1000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7000</v>
      </c>
      <c r="M228" s="3614"/>
      <c r="N228" s="3626" t="str">
        <f>IF(Q230="","",IF(Q228&lt;Q230, "WARNING! OE below required minimum.",""))</f>
        <v/>
      </c>
      <c r="O228" s="4" t="s">
        <v>2029</v>
      </c>
      <c r="P228" s="1"/>
      <c r="Q228" s="326">
        <f>F227+F236+F247+L223+L231+L241+L247+Q220</f>
        <v>213400.44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1000</v>
      </c>
      <c r="M229" s="3614"/>
      <c r="N229" s="3626"/>
      <c r="O229" s="42" t="s">
        <v>2486</v>
      </c>
      <c r="P229" s="319">
        <f>+Q228/P67</f>
        <v>4850.01</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2000</v>
      </c>
      <c r="G230" s="3625"/>
      <c r="H230" s="1"/>
      <c r="I230" s="3617" t="s">
        <v>46</v>
      </c>
      <c r="J230" s="3618"/>
      <c r="K230" s="3619"/>
      <c r="L230" s="3629"/>
      <c r="M230" s="3630"/>
      <c r="N230" s="3626"/>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165000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3000</v>
      </c>
      <c r="G231" s="3600"/>
      <c r="H231" s="1"/>
      <c r="I231" s="4"/>
      <c r="K231" s="8" t="s">
        <v>184</v>
      </c>
      <c r="L231" s="3633">
        <f>SUM(L227:L230)</f>
        <v>9000</v>
      </c>
      <c r="M231" s="3634"/>
      <c r="N231" s="3626"/>
      <c r="O231" s="3639" t="s">
        <v>6724</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3163</v>
      </c>
      <c r="G234" s="3600"/>
      <c r="H234" s="1"/>
      <c r="I234" s="4" t="s">
        <v>1297</v>
      </c>
      <c r="K234" s="248" t="s">
        <v>3883</v>
      </c>
      <c r="O234" s="1312" t="s">
        <v>3085</v>
      </c>
      <c r="P234" s="4"/>
      <c r="Q234" s="917">
        <f>Q243</f>
        <v>11000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12.310606060606061</v>
      </c>
      <c r="L235" s="3611">
        <v>6500</v>
      </c>
      <c r="M235" s="3612"/>
      <c r="N235" s="3626"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8163</v>
      </c>
      <c r="G236" s="3632"/>
      <c r="H236" s="1"/>
      <c r="I236" s="1" t="s">
        <v>1291</v>
      </c>
      <c r="K236" s="365">
        <f>L236/12/P67</f>
        <v>0</v>
      </c>
      <c r="L236" s="3613"/>
      <c r="M236" s="3614"/>
      <c r="N236" s="3643"/>
      <c r="O236" s="3644" t="s">
        <v>3229</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3.7878787878787876</v>
      </c>
      <c r="L237" s="3613">
        <v>2000</v>
      </c>
      <c r="M237" s="3614"/>
      <c r="N237" s="3643"/>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16.098484848484848</v>
      </c>
      <c r="L238" s="3613">
        <v>8500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2300</v>
      </c>
      <c r="G239" s="3648"/>
      <c r="H239" s="1"/>
      <c r="I239" s="72" t="s">
        <v>6681</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5000</v>
      </c>
      <c r="G240" s="3636"/>
      <c r="H240" s="1"/>
      <c r="I240" s="3620" t="s">
        <v>7115</v>
      </c>
      <c r="J240" s="3621"/>
      <c r="K240" s="365">
        <f>L240/12/P67</f>
        <v>3.4090909090909092</v>
      </c>
      <c r="L240" s="3629">
        <v>1800</v>
      </c>
      <c r="M240" s="3630"/>
      <c r="N240" s="3643"/>
      <c r="O240" s="387" t="s">
        <v>3051</v>
      </c>
      <c r="P240" s="673" t="str">
        <f>CONCATENATE(SUM(MK49:MO49)," units x $",'DCA Underwriting Assumptions'!$Q$29," =")</f>
        <v>44 units x $250 =</v>
      </c>
      <c r="Q240" s="501">
        <f>SUM(MK49:MO49)*'DCA Underwriting Assumptions'!$Q$29</f>
        <v>11000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7700</v>
      </c>
      <c r="G241" s="3636"/>
      <c r="H241" s="1"/>
      <c r="K241" s="8" t="s">
        <v>184</v>
      </c>
      <c r="L241" s="3633">
        <f>SUM(L235:L240)</f>
        <v>18800</v>
      </c>
      <c r="M241" s="3634"/>
      <c r="N241" s="3643"/>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4000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900</v>
      </c>
      <c r="G243" s="3600"/>
      <c r="H243" s="1"/>
      <c r="I243" s="4" t="s">
        <v>1298</v>
      </c>
      <c r="O243" s="769" t="s">
        <v>2467</v>
      </c>
      <c r="P243" s="770">
        <f>SUM(MF49:MJ49)+SUM(MK49:MO49)+SUM(MP49:MT49)+P125</f>
        <v>44</v>
      </c>
      <c r="Q243" s="771">
        <f>SUM(Q239:Q242)</f>
        <v>11000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c r="G244" s="3600"/>
      <c r="H244" s="1"/>
      <c r="I244" s="72" t="s">
        <v>3929</v>
      </c>
      <c r="K244" s="1"/>
      <c r="L244" s="3611">
        <v>22766.44</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1000</v>
      </c>
      <c r="G245" s="3600"/>
      <c r="H245" s="1"/>
      <c r="I245" s="1" t="s">
        <v>140</v>
      </c>
      <c r="K245" s="1"/>
      <c r="L245" s="3613">
        <v>23442</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20900</v>
      </c>
      <c r="G247" s="3642"/>
      <c r="H247" s="1"/>
      <c r="K247" s="8" t="s">
        <v>184</v>
      </c>
      <c r="L247" s="3633">
        <f>SUM(L243:L246)</f>
        <v>46208.44</v>
      </c>
      <c r="M247" s="3640"/>
      <c r="N247" s="1"/>
      <c r="O247" s="4" t="s">
        <v>2030</v>
      </c>
      <c r="P247" s="1"/>
      <c r="Q247" s="326">
        <f>Q228+Q234</f>
        <v>224400.44</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69"/>
      <c r="L251" s="3570"/>
      <c r="M251" s="1284" t="s">
        <v>3900</v>
      </c>
      <c r="N251" s="1222"/>
      <c r="O251" s="4" t="s">
        <v>3875</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8" t="s">
        <v>7049</v>
      </c>
      <c r="B256" s="3638"/>
      <c r="C256" s="3638"/>
      <c r="D256" s="3638"/>
      <c r="E256" s="3638"/>
      <c r="F256" s="3638"/>
      <c r="G256" s="3638"/>
      <c r="H256" s="3638"/>
      <c r="I256" s="3638"/>
      <c r="J256" s="3638"/>
      <c r="K256" s="3638"/>
      <c r="L256" s="3638"/>
      <c r="M256" s="3638"/>
      <c r="N256" s="3637"/>
      <c r="O256" s="3637"/>
      <c r="P256" s="3637"/>
      <c r="Q256" s="3637"/>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5" zoomScaleNormal="100" workbookViewId="0">
      <selection activeCell="B72" sqref="B7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West Pine Residences, Sylvester, Worth County</v>
      </c>
      <c r="B2" s="3672"/>
      <c r="C2" s="3672"/>
      <c r="D2" s="3672"/>
      <c r="E2" s="3672"/>
      <c r="F2" s="3672"/>
      <c r="G2" s="3672"/>
      <c r="H2" s="3672"/>
      <c r="I2" s="3672"/>
      <c r="J2" s="3672"/>
      <c r="K2" s="3673"/>
      <c r="L2" s="4"/>
      <c r="M2" s="4"/>
      <c r="N2" s="3674" t="str">
        <f>A2</f>
        <v>PART SIX - OPERATING PRO FORMA  -  2023-0 West Pine Residences, Sylvester, Worth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3402</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3403</v>
      </c>
      <c r="E6" s="3558"/>
      <c r="F6" s="3558"/>
      <c r="G6" s="59">
        <v>3500</v>
      </c>
      <c r="H6" s="75" t="s">
        <v>1768</v>
      </c>
      <c r="K6" s="80">
        <f>IF(($B$15+$B$16+$B$17+$B$18)=0,"",B31/($B$15+$B$16+$B$17+$B$18))</f>
        <v>-1.2418039519963722E-2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6.99987147683898E-2</v>
      </c>
      <c r="N8" s="3559"/>
      <c r="O8" s="3561"/>
      <c r="AA8" s="1721">
        <v>8</v>
      </c>
    </row>
    <row r="9" spans="1:27" ht="13.35" customHeight="1">
      <c r="A9" s="6" t="s">
        <v>2033</v>
      </c>
      <c r="B9" s="186">
        <v>7.0000000000000007E-2</v>
      </c>
      <c r="C9" s="1213" t="str">
        <f>IF(B9&lt;0.07, "Must be &gt;= 7%!","")</f>
        <v/>
      </c>
      <c r="D9" s="1" t="s">
        <v>2307</v>
      </c>
      <c r="G9" s="1228"/>
      <c r="H9" s="140" t="s">
        <v>1355</v>
      </c>
      <c r="K9" s="1230"/>
      <c r="N9" s="3559"/>
      <c r="O9" s="3561"/>
      <c r="AA9" s="1721">
        <v>9</v>
      </c>
    </row>
    <row r="10" spans="1:27">
      <c r="A10" s="6" t="s">
        <v>1336</v>
      </c>
      <c r="B10" s="58">
        <v>0.02</v>
      </c>
      <c r="D10" s="1" t="s">
        <v>1597</v>
      </c>
      <c r="G10" s="1229" t="s">
        <v>2649</v>
      </c>
      <c r="H10" s="140" t="s">
        <v>2174</v>
      </c>
      <c r="K10" s="1231">
        <v>7.0000000000000007E-2</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297120</v>
      </c>
      <c r="C15" s="15">
        <f t="shared" ref="C15:K15" si="1">$B$15*(1+$B$6)^(C14-1)</f>
        <v>303062.40000000002</v>
      </c>
      <c r="D15" s="15">
        <f t="shared" si="1"/>
        <v>309123.64799999999</v>
      </c>
      <c r="E15" s="15">
        <f t="shared" si="1"/>
        <v>315306.12095999997</v>
      </c>
      <c r="F15" s="15">
        <f t="shared" si="1"/>
        <v>321612.24337919999</v>
      </c>
      <c r="G15" s="15">
        <f t="shared" si="1"/>
        <v>328044.48824678402</v>
      </c>
      <c r="H15" s="15">
        <f t="shared" si="1"/>
        <v>334605.37801171967</v>
      </c>
      <c r="I15" s="15">
        <f t="shared" si="1"/>
        <v>341297.48557195399</v>
      </c>
      <c r="J15" s="15">
        <f t="shared" si="1"/>
        <v>348123.43528339313</v>
      </c>
      <c r="K15" s="16">
        <f t="shared" si="1"/>
        <v>355085.90398906101</v>
      </c>
      <c r="N15" s="3562"/>
      <c r="O15" s="3564"/>
      <c r="S15" s="3667" t="s">
        <v>3408</v>
      </c>
      <c r="Z15" s="1719" t="s">
        <v>6460</v>
      </c>
      <c r="AA15" s="1721">
        <v>15</v>
      </c>
    </row>
    <row r="16" spans="1:27" ht="13.35" customHeight="1">
      <c r="A16" s="17" t="s">
        <v>952</v>
      </c>
      <c r="B16" s="18">
        <f>MIN(B15*B10,'Part V-Revenues &amp; Expenses'!$H$179)</f>
        <v>5942.4000000000005</v>
      </c>
      <c r="C16" s="18">
        <f t="shared" ref="C16:K16" si="2">$B$16*(1+$B$6)^(C14-1)</f>
        <v>6061.2480000000005</v>
      </c>
      <c r="D16" s="18">
        <f t="shared" si="2"/>
        <v>6182.472960000001</v>
      </c>
      <c r="E16" s="18">
        <f t="shared" si="2"/>
        <v>6306.1224192</v>
      </c>
      <c r="F16" s="18">
        <f t="shared" si="2"/>
        <v>6432.2448675840005</v>
      </c>
      <c r="G16" s="18">
        <f t="shared" si="2"/>
        <v>6560.8897649356804</v>
      </c>
      <c r="H16" s="18">
        <f t="shared" si="2"/>
        <v>6692.1075602343944</v>
      </c>
      <c r="I16" s="18">
        <f t="shared" si="2"/>
        <v>6825.9497114390806</v>
      </c>
      <c r="J16" s="18">
        <f t="shared" si="2"/>
        <v>6962.4687056678631</v>
      </c>
      <c r="K16" s="19">
        <f t="shared" si="2"/>
        <v>7101.7180797812207</v>
      </c>
      <c r="N16" s="3559"/>
      <c r="O16" s="3561"/>
      <c r="S16" s="3668"/>
      <c r="Z16" s="1719" t="s">
        <v>6460</v>
      </c>
      <c r="AA16" s="1721">
        <v>16</v>
      </c>
    </row>
    <row r="17" spans="1:27" ht="13.35" customHeight="1">
      <c r="A17" s="17" t="s">
        <v>2216</v>
      </c>
      <c r="B17" s="18">
        <f t="shared" ref="B17:K17" si="3">-(B15+B16)*$B$9</f>
        <v>-21214.368000000002</v>
      </c>
      <c r="C17" s="18">
        <f t="shared" si="3"/>
        <v>-21638.655360000004</v>
      </c>
      <c r="D17" s="18">
        <f t="shared" si="3"/>
        <v>-22071.428467199999</v>
      </c>
      <c r="E17" s="18">
        <f t="shared" si="3"/>
        <v>-22512.857036544003</v>
      </c>
      <c r="F17" s="18">
        <f t="shared" si="3"/>
        <v>-22963.114177274885</v>
      </c>
      <c r="G17" s="18">
        <f t="shared" si="3"/>
        <v>-23422.376460820378</v>
      </c>
      <c r="H17" s="18">
        <f t="shared" si="3"/>
        <v>-23890.823990036784</v>
      </c>
      <c r="I17" s="18">
        <f t="shared" si="3"/>
        <v>-24368.640469837519</v>
      </c>
      <c r="J17" s="18">
        <f t="shared" si="3"/>
        <v>-24856.013279234274</v>
      </c>
      <c r="K17" s="19">
        <f t="shared" si="3"/>
        <v>-25353.13354481896</v>
      </c>
      <c r="N17" s="3559"/>
      <c r="O17" s="3561"/>
      <c r="Q17" s="3670" t="s">
        <v>3298</v>
      </c>
      <c r="R17" s="3670" t="s">
        <v>3407</v>
      </c>
      <c r="S17" s="366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281848.03200000001</v>
      </c>
      <c r="C20" s="18">
        <f t="shared" ref="C20:K20" si="4">SUM(C15:C19)</f>
        <v>287484.99264000007</v>
      </c>
      <c r="D20" s="18">
        <f t="shared" si="4"/>
        <v>293234.69249279995</v>
      </c>
      <c r="E20" s="18">
        <f t="shared" si="4"/>
        <v>299099.38634265598</v>
      </c>
      <c r="F20" s="18">
        <f t="shared" si="4"/>
        <v>305081.37406950915</v>
      </c>
      <c r="G20" s="18">
        <f t="shared" si="4"/>
        <v>311183.00155089929</v>
      </c>
      <c r="H20" s="18">
        <f t="shared" si="4"/>
        <v>317406.66158191726</v>
      </c>
      <c r="I20" s="18">
        <f t="shared" si="4"/>
        <v>323754.79481355555</v>
      </c>
      <c r="J20" s="18">
        <f t="shared" si="4"/>
        <v>330229.89070982672</v>
      </c>
      <c r="K20" s="19">
        <f t="shared" si="4"/>
        <v>336834.48852402327</v>
      </c>
      <c r="N20" s="3559"/>
      <c r="O20" s="3561"/>
      <c r="Z20" s="1719" t="s">
        <v>6460</v>
      </c>
      <c r="AA20" s="1721">
        <v>20</v>
      </c>
    </row>
    <row r="21" spans="1:27" ht="13.35" customHeight="1">
      <c r="A21" s="17" t="s">
        <v>572</v>
      </c>
      <c r="B21" s="18">
        <f>-('Part V-Revenues &amp; Expenses'!$Q$228-'Part V-Revenues &amp; Expenses'!$Q$220)</f>
        <v>-193671.44</v>
      </c>
      <c r="C21" s="18">
        <f t="shared" ref="C21:K21" si="5">$B$21*(1+$B$7)^(C14-1)</f>
        <v>-199481.58319999999</v>
      </c>
      <c r="D21" s="18">
        <f t="shared" si="5"/>
        <v>-205466.030696</v>
      </c>
      <c r="E21" s="18">
        <f t="shared" si="5"/>
        <v>-211630.01161688002</v>
      </c>
      <c r="F21" s="18">
        <f t="shared" si="5"/>
        <v>-217978.91196538639</v>
      </c>
      <c r="G21" s="18">
        <f t="shared" si="5"/>
        <v>-224518.27932434797</v>
      </c>
      <c r="H21" s="18">
        <f t="shared" si="5"/>
        <v>-231253.82770407843</v>
      </c>
      <c r="I21" s="18">
        <f t="shared" si="5"/>
        <v>-238191.4425352008</v>
      </c>
      <c r="J21" s="18">
        <f t="shared" si="5"/>
        <v>-245337.18581125679</v>
      </c>
      <c r="K21" s="19">
        <f t="shared" si="5"/>
        <v>-252697.3013855945</v>
      </c>
      <c r="N21" s="3559"/>
      <c r="O21" s="3561"/>
      <c r="Q21" s="47">
        <v>1</v>
      </c>
      <c r="R21" s="869">
        <f>-B32</f>
        <v>7451</v>
      </c>
      <c r="S21" s="869">
        <f>B33+R21</f>
        <v>26466.181427435629</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-19729</v>
      </c>
      <c r="C22" s="18">
        <f>IF(AND('Part VI-Pro Forma'!$G$9="Yes",'Part VI-Pro Forma'!$G$10="Yes"),"Choose One!",IF('Part VI-Pro Forma'!$G$9="Yes",ROUND((-$K$9*(1+'Part VI-Pro Forma'!$B$7)^('Part VI-Pro Forma'!C14-1)),),IF('Part VI-Pro Forma'!$G$10="Yes",ROUND((-(SUM(C15:C18)*'Part VI-Pro Forma'!$K$10)),),"Choose mgt fee")))</f>
        <v>-20124</v>
      </c>
      <c r="D22" s="18">
        <f>IF(AND('Part VI-Pro Forma'!$G$9="Yes",'Part VI-Pro Forma'!$G$10="Yes"),"Choose One!",IF('Part VI-Pro Forma'!$G$9="Yes",ROUND((-$K$9*(1+'Part VI-Pro Forma'!$B$7)^('Part VI-Pro Forma'!D14-1)),),IF('Part VI-Pro Forma'!$G$10="Yes",ROUND((-(SUM(D15:D18)*'Part VI-Pro Forma'!$K$10)),),"Choose mgt fee")))</f>
        <v>-20526</v>
      </c>
      <c r="E22" s="18">
        <f>IF(AND('Part VI-Pro Forma'!$G$9="Yes",'Part VI-Pro Forma'!$G$10="Yes"),"Choose One!",IF('Part VI-Pro Forma'!$G$9="Yes",ROUND((-$K$9*(1+'Part VI-Pro Forma'!$B$7)^('Part VI-Pro Forma'!E14-1)),),IF('Part VI-Pro Forma'!$G$10="Yes",ROUND((-(SUM(E15:E18)*'Part VI-Pro Forma'!$K$10)),),"Choose mgt fee")))</f>
        <v>-20937</v>
      </c>
      <c r="F22" s="18">
        <f>IF(AND('Part VI-Pro Forma'!$G$9="Yes",'Part VI-Pro Forma'!$G$10="Yes"),"Choose One!",IF('Part VI-Pro Forma'!$G$9="Yes",ROUND((-$K$9*(1+'Part VI-Pro Forma'!$B$7)^('Part VI-Pro Forma'!F14-1)),),IF('Part VI-Pro Forma'!$G$10="Yes",ROUND((-(SUM(F15:F18)*'Part VI-Pro Forma'!$K$10)),),"Choose mgt fee")))</f>
        <v>-21356</v>
      </c>
      <c r="G22" s="18">
        <f>IF(AND('Part VI-Pro Forma'!$G$9="Yes",'Part VI-Pro Forma'!$G$10="Yes"),"Choose One!",IF('Part VI-Pro Forma'!$G$9="Yes",ROUND((-$K$9*(1+'Part VI-Pro Forma'!$B$7)^('Part VI-Pro Forma'!G14-1)),),IF('Part VI-Pro Forma'!$G$10="Yes",ROUND((-(SUM(G15:G18)*'Part VI-Pro Forma'!$K$10)),),"Choose mgt fee")))</f>
        <v>-21783</v>
      </c>
      <c r="H22" s="18">
        <f>IF(AND('Part VI-Pro Forma'!$G$9="Yes",'Part VI-Pro Forma'!$G$10="Yes"),"Choose One!",IF('Part VI-Pro Forma'!$G$9="Yes",ROUND((-$K$9*(1+'Part VI-Pro Forma'!$B$7)^('Part VI-Pro Forma'!H14-1)),),IF('Part VI-Pro Forma'!$G$10="Yes",ROUND((-(SUM(H15:H18)*'Part VI-Pro Forma'!$K$10)),),"Choose mgt fee")))</f>
        <v>-22218</v>
      </c>
      <c r="I22" s="18">
        <f>IF(AND('Part VI-Pro Forma'!$G$9="Yes",'Part VI-Pro Forma'!$G$10="Yes"),"Choose One!",IF('Part VI-Pro Forma'!$G$9="Yes",ROUND((-$K$9*(1+'Part VI-Pro Forma'!$B$7)^('Part VI-Pro Forma'!I14-1)),),IF('Part VI-Pro Forma'!$G$10="Yes",ROUND((-(SUM(I15:I18)*'Part VI-Pro Forma'!$K$10)),),"Choose mgt fee")))</f>
        <v>-22663</v>
      </c>
      <c r="J22" s="18">
        <f>IF(AND('Part VI-Pro Forma'!$G$9="Yes",'Part VI-Pro Forma'!$G$10="Yes"),"Choose One!",IF('Part VI-Pro Forma'!$G$9="Yes",ROUND((-$K$9*(1+'Part VI-Pro Forma'!$B$7)^('Part VI-Pro Forma'!J14-1)),),IF('Part VI-Pro Forma'!$G$10="Yes",ROUND((-(SUM(J15:J18)*'Part VI-Pro Forma'!$K$10)),),"Choose mgt fee")))</f>
        <v>-23116</v>
      </c>
      <c r="K22" s="19">
        <f>IF(AND('Part VI-Pro Forma'!$G$9="Yes",'Part VI-Pro Forma'!$G$10="Yes"),"Choose One!",IF('Part VI-Pro Forma'!$G$9="Yes",ROUND((-$K$9*(1+'Part VI-Pro Forma'!$B$7)^('Part VI-Pro Forma'!K14-1)),),IF('Part VI-Pro Forma'!$G$10="Yes",ROUND((-(SUM(K15:K18)*'Part VI-Pro Forma'!$K$10)),),"Choose mgt fee")))</f>
        <v>-23578</v>
      </c>
      <c r="N22" s="3559"/>
      <c r="O22" s="3561"/>
      <c r="Q22" s="47">
        <v>2</v>
      </c>
      <c r="R22" s="869">
        <f>-SUM(B32:C32)</f>
        <v>7451</v>
      </c>
      <c r="S22" s="869">
        <f>SUM(B33:C33)+R22</f>
        <v>52034.18029487133</v>
      </c>
      <c r="Z22" s="1719" t="s">
        <v>6460</v>
      </c>
      <c r="AA22" s="1721">
        <v>22</v>
      </c>
    </row>
    <row r="23" spans="1:27" ht="13.35" customHeight="1">
      <c r="A23" s="17" t="s">
        <v>1128</v>
      </c>
      <c r="B23" s="18">
        <f>-('Part V-Revenues &amp; Expenses'!$Q$234)</f>
        <v>-11000</v>
      </c>
      <c r="C23" s="18">
        <f t="shared" ref="C23:K23" si="6">$B$23*(1+$B$8)^(C14-1)</f>
        <v>-11330</v>
      </c>
      <c r="D23" s="18">
        <f t="shared" si="6"/>
        <v>-11669.9</v>
      </c>
      <c r="E23" s="18">
        <f t="shared" si="6"/>
        <v>-12019.996999999999</v>
      </c>
      <c r="F23" s="18">
        <f t="shared" si="6"/>
        <v>-12380.596909999998</v>
      </c>
      <c r="G23" s="18">
        <f t="shared" si="6"/>
        <v>-12752.014817299998</v>
      </c>
      <c r="H23" s="18">
        <f t="shared" si="6"/>
        <v>-13134.575261819</v>
      </c>
      <c r="I23" s="18">
        <f t="shared" si="6"/>
        <v>-13528.61251967357</v>
      </c>
      <c r="J23" s="18">
        <f t="shared" si="6"/>
        <v>-13934.470895263776</v>
      </c>
      <c r="K23" s="19">
        <f t="shared" si="6"/>
        <v>-14352.50502212169</v>
      </c>
      <c r="N23" s="3559"/>
      <c r="O23" s="3561"/>
      <c r="Q23" s="47">
        <v>3</v>
      </c>
      <c r="R23" s="869">
        <f>-SUM(B32:D32)</f>
        <v>7451</v>
      </c>
      <c r="S23" s="869">
        <f>SUM(B33:D33)+R23</f>
        <v>76625.531519106909</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7451</v>
      </c>
      <c r="S24" s="869">
        <f>SUM(B33:E33)+R24</f>
        <v>100156.4986723185</v>
      </c>
      <c r="Z24" s="1719" t="s">
        <v>6460</v>
      </c>
      <c r="AA24" s="1721">
        <v>24</v>
      </c>
    </row>
    <row r="25" spans="1:27" ht="13.35" customHeight="1">
      <c r="A25" s="17" t="s">
        <v>1129</v>
      </c>
      <c r="B25" s="18">
        <f>SUM(B20:B24)</f>
        <v>57447.592000000004</v>
      </c>
      <c r="C25" s="18">
        <f t="shared" ref="C25:J25" si="7">SUM(C20:C24)</f>
        <v>56549.409440000076</v>
      </c>
      <c r="D25" s="18">
        <f t="shared" si="7"/>
        <v>55572.761796799947</v>
      </c>
      <c r="E25" s="18">
        <f t="shared" si="7"/>
        <v>54512.377725775965</v>
      </c>
      <c r="F25" s="18">
        <f t="shared" si="7"/>
        <v>53365.865194122765</v>
      </c>
      <c r="G25" s="18">
        <f t="shared" si="7"/>
        <v>52129.707409251328</v>
      </c>
      <c r="H25" s="18">
        <f t="shared" si="7"/>
        <v>50800.258616019826</v>
      </c>
      <c r="I25" s="18">
        <f t="shared" si="7"/>
        <v>49371.739758681186</v>
      </c>
      <c r="J25" s="18">
        <f t="shared" si="7"/>
        <v>47842.234003306163</v>
      </c>
      <c r="K25" s="1215">
        <f>SUM(K20:K24)</f>
        <v>46206.682116307078</v>
      </c>
      <c r="N25" s="3559"/>
      <c r="O25" s="3561"/>
      <c r="Q25" s="92">
        <v>5</v>
      </c>
      <c r="R25" s="869">
        <f>-SUM(B32:F32)</f>
        <v>7451</v>
      </c>
      <c r="S25" s="869">
        <f>SUM(B33:F33)+R25</f>
        <v>122540.9532938769</v>
      </c>
      <c r="Z25" s="1719" t="s">
        <v>6460</v>
      </c>
      <c r="AA25" s="1721">
        <v>25</v>
      </c>
    </row>
    <row r="26" spans="1:27" ht="13.35" customHeight="1">
      <c r="A26" s="341" t="s">
        <v>1486</v>
      </c>
      <c r="B26" s="342">
        <f>IF('Part II-Sources of Funds'!$P$40="", 0,-'Part II-Sources of Funds'!$P$40)</f>
        <v>-27481.410572564375</v>
      </c>
      <c r="C26" s="342">
        <f>IF('Part II-Sources of Funds'!$P$40="", 0,-'Part II-Sources of Funds'!$P$40)</f>
        <v>-27481.410572564375</v>
      </c>
      <c r="D26" s="342">
        <f>IF('Part II-Sources of Funds'!$P$40="", 0,-'Part II-Sources of Funds'!$P$40)</f>
        <v>-27481.410572564375</v>
      </c>
      <c r="E26" s="342">
        <f>IF('Part II-Sources of Funds'!$P$40="", 0,-'Part II-Sources of Funds'!$P$40)</f>
        <v>-27481.410572564375</v>
      </c>
      <c r="F26" s="342">
        <f>IF('Part II-Sources of Funds'!$P$40="", 0,-'Part II-Sources of Funds'!$P$40)</f>
        <v>-27481.410572564375</v>
      </c>
      <c r="G26" s="342">
        <f>IF('Part II-Sources of Funds'!$P$40="", 0,-'Part II-Sources of Funds'!$P$40)</f>
        <v>-27481.410572564375</v>
      </c>
      <c r="H26" s="342">
        <f>IF('Part II-Sources of Funds'!$P$40="", 0,-'Part II-Sources of Funds'!$P$40)</f>
        <v>-27481.410572564375</v>
      </c>
      <c r="I26" s="342">
        <f>IF('Part II-Sources of Funds'!$P$40="", 0,-'Part II-Sources of Funds'!$P$40)</f>
        <v>-27481.410572564375</v>
      </c>
      <c r="J26" s="342">
        <f>IF('Part II-Sources of Funds'!$P$40="", 0,-'Part II-Sources of Funds'!$P$40)</f>
        <v>-27481.410572564375</v>
      </c>
      <c r="K26" s="342">
        <f>IF('Part II-Sources of Funds'!$P$40="", 0,-'Part II-Sources of Funds'!$P$40)</f>
        <v>-27481.410572564375</v>
      </c>
      <c r="N26" s="3559"/>
      <c r="O26" s="3561"/>
      <c r="Q26" s="92">
        <v>6</v>
      </c>
      <c r="R26" s="869">
        <f>-SUM(B32:G32)</f>
        <v>7451</v>
      </c>
      <c r="S26" s="869">
        <f>SUM(B33:G33)+R26</f>
        <v>143689.25013056386</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7451</v>
      </c>
      <c r="S27" s="869">
        <f>SUM(B33:H33)+R27</f>
        <v>163508.09817401931</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7451</v>
      </c>
      <c r="S28" s="869">
        <f>SUM(B33:I33)+R28</f>
        <v>181898.42736013612</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7451</v>
      </c>
      <c r="S29" s="869">
        <f>SUM(B33:J33)+R29</f>
        <v>198759.25079087791</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7451</v>
      </c>
      <c r="S30" s="869">
        <f>SUM(B33:K33)+R30</f>
        <v>213984.52233462062</v>
      </c>
      <c r="Z30" s="1719" t="s">
        <v>6460</v>
      </c>
      <c r="AA30" s="1721">
        <v>30</v>
      </c>
    </row>
    <row r="31" spans="1:27" ht="13.35" customHeight="1">
      <c r="A31" s="341" t="s">
        <v>1095</v>
      </c>
      <c r="B31" s="907">
        <f>-$G$6</f>
        <v>-3500</v>
      </c>
      <c r="C31" s="907">
        <f t="shared" ref="C31:K31" si="8">+B31</f>
        <v>-3500</v>
      </c>
      <c r="D31" s="907">
        <f t="shared" si="8"/>
        <v>-3500</v>
      </c>
      <c r="E31" s="907">
        <f>+D31</f>
        <v>-3500</v>
      </c>
      <c r="F31" s="907">
        <f t="shared" si="8"/>
        <v>-3500</v>
      </c>
      <c r="G31" s="907">
        <f t="shared" si="8"/>
        <v>-3500</v>
      </c>
      <c r="H31" s="907">
        <f t="shared" si="8"/>
        <v>-3500</v>
      </c>
      <c r="I31" s="907">
        <f t="shared" si="8"/>
        <v>-3500</v>
      </c>
      <c r="J31" s="907">
        <f t="shared" si="8"/>
        <v>-3500</v>
      </c>
      <c r="K31" s="907">
        <f t="shared" si="8"/>
        <v>-3500</v>
      </c>
      <c r="N31" s="3559"/>
      <c r="O31" s="3561"/>
      <c r="Q31" s="92">
        <v>11</v>
      </c>
      <c r="R31" s="869">
        <f>-SUM(B32:K32)-B64</f>
        <v>7451</v>
      </c>
      <c r="S31" s="869">
        <f>SUM(B33:K33)+B65+R31</f>
        <v>224982.71966958983</v>
      </c>
      <c r="Z31" s="1719" t="s">
        <v>6460</v>
      </c>
      <c r="AA31" s="1721">
        <v>31</v>
      </c>
    </row>
    <row r="32" spans="1:27" ht="13.35" customHeight="1">
      <c r="A32" s="341" t="s">
        <v>3361</v>
      </c>
      <c r="B32" s="179">
        <f>-MIN(SUM(B25:B31),'Part II-Sources of Funds'!$I$45)</f>
        <v>-7451</v>
      </c>
      <c r="C32" s="179">
        <f t="shared" ref="C32:K32" si="9">-MIN(SUM(C25:C31),B44)</f>
        <v>0</v>
      </c>
      <c r="D32" s="179">
        <f t="shared" si="9"/>
        <v>0</v>
      </c>
      <c r="E32" s="179">
        <f t="shared" si="9"/>
        <v>0</v>
      </c>
      <c r="F32" s="179">
        <f t="shared" si="9"/>
        <v>0</v>
      </c>
      <c r="G32" s="179">
        <f t="shared" si="9"/>
        <v>0</v>
      </c>
      <c r="H32" s="179">
        <f t="shared" si="9"/>
        <v>0</v>
      </c>
      <c r="I32" s="179">
        <f t="shared" si="9"/>
        <v>0</v>
      </c>
      <c r="J32" s="179">
        <f t="shared" si="9"/>
        <v>0</v>
      </c>
      <c r="K32" s="179">
        <f t="shared" si="9"/>
        <v>0</v>
      </c>
      <c r="N32" s="3559"/>
      <c r="O32" s="3561"/>
      <c r="Q32" s="92">
        <v>12</v>
      </c>
      <c r="R32" s="869">
        <f>-SUM(B32:K32) - SUM(B64:C64)</f>
        <v>7451</v>
      </c>
      <c r="S32" s="869">
        <f>SUM(B33:K33) + SUM(B65:C65)+R32</f>
        <v>234119.50155245062</v>
      </c>
      <c r="Z32" s="1719" t="s">
        <v>6460</v>
      </c>
      <c r="AA32" s="1721">
        <v>32</v>
      </c>
    </row>
    <row r="33" spans="1:27" ht="13.35" customHeight="1">
      <c r="A33" s="17" t="s">
        <v>1096</v>
      </c>
      <c r="B33" s="18">
        <f t="shared" ref="B33:K33" si="10">SUM(B25:B32)</f>
        <v>19015.181427435629</v>
      </c>
      <c r="C33" s="18">
        <f t="shared" si="10"/>
        <v>25567.998867435701</v>
      </c>
      <c r="D33" s="18">
        <f t="shared" si="10"/>
        <v>24591.351224235572</v>
      </c>
      <c r="E33" s="18">
        <f t="shared" si="10"/>
        <v>23530.96715321159</v>
      </c>
      <c r="F33" s="18">
        <f t="shared" si="10"/>
        <v>22384.45462155839</v>
      </c>
      <c r="G33" s="18">
        <f t="shared" si="10"/>
        <v>21148.296836686954</v>
      </c>
      <c r="H33" s="18">
        <f t="shared" si="10"/>
        <v>19818.848043455451</v>
      </c>
      <c r="I33" s="18">
        <f t="shared" si="10"/>
        <v>18390.329186116811</v>
      </c>
      <c r="J33" s="18">
        <f t="shared" si="10"/>
        <v>16860.823430741788</v>
      </c>
      <c r="K33" s="19">
        <f t="shared" si="10"/>
        <v>15225.271543742703</v>
      </c>
      <c r="N33" s="3559"/>
      <c r="O33" s="3561"/>
      <c r="Q33" s="92">
        <v>13</v>
      </c>
      <c r="R33" s="869">
        <f>-SUM(B32:K32) - SUM(B64:D64)</f>
        <v>7451</v>
      </c>
      <c r="S33" s="869">
        <f>SUM(B33:K33) + SUM(B65:D65)+R33</f>
        <v>241274.74128398098</v>
      </c>
      <c r="Z33" s="1719" t="s">
        <v>6460</v>
      </c>
      <c r="AA33" s="1721">
        <v>33</v>
      </c>
    </row>
    <row r="34" spans="1:27" ht="13.35" customHeight="1">
      <c r="A34" s="17" t="str">
        <f>IF('Part II-Sources of Funds'!$E$40 = "Neither", "", "DCR Mortgage A")</f>
        <v>DCR Mortgage A</v>
      </c>
      <c r="B34" s="20">
        <f t="shared" ref="B34:K34" si="11">IF(B26=0,"",-B25/B26)</f>
        <v>2.0904164234332239</v>
      </c>
      <c r="C34" s="20">
        <f t="shared" si="11"/>
        <v>2.0577331462183119</v>
      </c>
      <c r="D34" s="20">
        <f t="shared" si="11"/>
        <v>2.0221946631909833</v>
      </c>
      <c r="E34" s="20">
        <f t="shared" si="11"/>
        <v>1.9836091594293024</v>
      </c>
      <c r="F34" s="20">
        <f t="shared" si="11"/>
        <v>1.9418895930836868</v>
      </c>
      <c r="G34" s="20">
        <f t="shared" si="11"/>
        <v>1.8969079942822944</v>
      </c>
      <c r="H34" s="20">
        <f t="shared" si="11"/>
        <v>1.8485317004337269</v>
      </c>
      <c r="I34" s="20">
        <f t="shared" si="11"/>
        <v>1.7965504219048591</v>
      </c>
      <c r="J34" s="20">
        <f t="shared" si="11"/>
        <v>1.7408944084940345</v>
      </c>
      <c r="K34" s="21">
        <f t="shared" si="11"/>
        <v>1.6813795636253395</v>
      </c>
      <c r="N34" s="3559"/>
      <c r="O34" s="3561"/>
      <c r="Q34" s="92">
        <v>14</v>
      </c>
      <c r="R34" s="869">
        <f>-SUM(B32:K32) - SUM(B64:E64)</f>
        <v>7451</v>
      </c>
      <c r="S34" s="869">
        <f>SUM(B33:K33) + SUM(B65:E65)+R34</f>
        <v>246324.63407926884</v>
      </c>
      <c r="Z34" s="1719" t="s">
        <v>6460</v>
      </c>
      <c r="AA34" s="1721">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59"/>
      <c r="O35" s="3561"/>
      <c r="Q35" s="92">
        <v>15</v>
      </c>
      <c r="R35" s="869">
        <f>-SUM(B32:K32) - SUM(B64:F64)</f>
        <v>7451</v>
      </c>
      <c r="S35" s="869">
        <f>SUM(B33:K33) + SUM(B65:F65)+R35</f>
        <v>249139.52923944738</v>
      </c>
      <c r="Z35" s="1719" t="s">
        <v>6460</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9"/>
      <c r="O36" s="3561"/>
      <c r="Q36" s="47">
        <v>16</v>
      </c>
      <c r="R36" s="869">
        <f>-SUM(B32:K32) - SUM(B64:G64)</f>
        <v>7451</v>
      </c>
      <c r="S36" s="869">
        <f>SUM(B33:K33) + SUM(B65:G65)+R36</f>
        <v>249583.75673886813</v>
      </c>
      <c r="Z36" s="1719" t="s">
        <v>6460</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9"/>
      <c r="O37" s="3561"/>
      <c r="Q37" s="47">
        <v>17</v>
      </c>
      <c r="R37" s="869">
        <f>-SUM(B32:K32) - SUM(B64:H64)</f>
        <v>7451</v>
      </c>
      <c r="S37" s="869">
        <f>SUM(B33:K33) + SUM(B65:H65)+R37</f>
        <v>247517.44804918155</v>
      </c>
      <c r="Z37" s="1719" t="s">
        <v>6460</v>
      </c>
      <c r="AA37" s="1721">
        <v>37</v>
      </c>
    </row>
    <row r="38" spans="1:27" ht="13.35" customHeight="1">
      <c r="A38" s="341" t="s">
        <v>3213</v>
      </c>
      <c r="B38" s="20">
        <f t="shared" ref="B38:K38" si="15">IF(AND(B26=0,B27=0,B28=0,B29=0),"",-B25/(B26+B27+B28+B29))</f>
        <v>2.0904164234332239</v>
      </c>
      <c r="C38" s="20">
        <f t="shared" si="15"/>
        <v>2.0577331462183119</v>
      </c>
      <c r="D38" s="20">
        <f t="shared" si="15"/>
        <v>2.0221946631909833</v>
      </c>
      <c r="E38" s="20">
        <f t="shared" si="15"/>
        <v>1.9836091594293024</v>
      </c>
      <c r="F38" s="20">
        <f t="shared" si="15"/>
        <v>1.9418895930836868</v>
      </c>
      <c r="G38" s="20">
        <f t="shared" si="15"/>
        <v>1.8969079942822944</v>
      </c>
      <c r="H38" s="20">
        <f t="shared" si="15"/>
        <v>1.8485317004337269</v>
      </c>
      <c r="I38" s="20">
        <f t="shared" si="15"/>
        <v>1.7965504219048591</v>
      </c>
      <c r="J38" s="20">
        <f t="shared" si="15"/>
        <v>1.7408944084940345</v>
      </c>
      <c r="K38" s="21">
        <f t="shared" si="15"/>
        <v>1.6813795636253395</v>
      </c>
      <c r="N38" s="3559"/>
      <c r="O38" s="3561"/>
      <c r="Q38" s="47">
        <v>18</v>
      </c>
      <c r="R38" s="869">
        <f>-SUM(B32:K32) - SUM(B64:I64)</f>
        <v>7451</v>
      </c>
      <c r="S38" s="869">
        <f>SUM(B33:K33) + SUM(B65:I65)+R38</f>
        <v>242794.35101621679</v>
      </c>
      <c r="Z38" s="1719" t="s">
        <v>6460</v>
      </c>
      <c r="AA38" s="1721">
        <v>38</v>
      </c>
    </row>
    <row r="39" spans="1:27" ht="13.35" customHeight="1">
      <c r="A39" s="17" t="s">
        <v>718</v>
      </c>
      <c r="B39" s="220">
        <f t="shared" ref="B39:K39" si="16">IF(OR(B22="Choose mgt fee",B22="Choose One!"),"",(B15+B16+B17+B18+B19) / -(B21+B22+B23))</f>
        <v>1.2560048099727434</v>
      </c>
      <c r="C39" s="220">
        <f t="shared" si="16"/>
        <v>1.2448709231224271</v>
      </c>
      <c r="D39" s="220">
        <f t="shared" si="16"/>
        <v>1.2338311467640335</v>
      </c>
      <c r="E39" s="220">
        <f t="shared" si="16"/>
        <v>1.2228751969862959</v>
      </c>
      <c r="F39" s="220">
        <f t="shared" si="16"/>
        <v>1.2120086498942817</v>
      </c>
      <c r="G39" s="220">
        <f t="shared" si="16"/>
        <v>1.2012315943789824</v>
      </c>
      <c r="H39" s="220">
        <f t="shared" si="16"/>
        <v>1.1905440306417467</v>
      </c>
      <c r="I39" s="220">
        <f t="shared" si="16"/>
        <v>1.1799372769167804</v>
      </c>
      <c r="J39" s="220">
        <f t="shared" si="16"/>
        <v>1.1694204150467795</v>
      </c>
      <c r="K39" s="221">
        <f t="shared" si="16"/>
        <v>1.1589891988913288</v>
      </c>
      <c r="N39" s="3559"/>
      <c r="O39" s="3561"/>
      <c r="Q39" s="92">
        <v>19</v>
      </c>
      <c r="R39" s="869">
        <f>-SUM(B32:K32) - SUM(B64:J64)</f>
        <v>7451</v>
      </c>
      <c r="S39" s="869">
        <f>SUM(B33:K33) + SUM(B65:J65)+R39</f>
        <v>235263.63859980798</v>
      </c>
      <c r="Z39" s="1719" t="s">
        <v>6460</v>
      </c>
      <c r="AA39" s="1721">
        <v>39</v>
      </c>
    </row>
    <row r="40" spans="1:27" ht="13.35" customHeight="1">
      <c r="A40" s="341" t="s">
        <v>2405</v>
      </c>
      <c r="B40" s="177">
        <f>IF('Part II-Sources of Funds'!$I$40="","",-FV('Part II-Sources of Funds'!$K$40/12,12,B26/12,'Part II-Sources of Funds'!$I$40))</f>
        <v>490662.99461548286</v>
      </c>
      <c r="C40" s="177">
        <f>IF('Part II-Sources of Funds'!$I$40="","",-FV('Part II-Sources of Funds'!$K$40/12,12,C26/12,B40))</f>
        <v>480978.46355608926</v>
      </c>
      <c r="D40" s="177">
        <f>IF('Part II-Sources of Funds'!$I$40="","",-FV('Part II-Sources of Funds'!$K$40/12,12,D26/12,C40))</f>
        <v>470933.47182931093</v>
      </c>
      <c r="E40" s="177">
        <f>IF('Part II-Sources of Funds'!$I$40="","",-FV('Part II-Sources of Funds'!$K$40/12,12,E26/12,D40))</f>
        <v>460514.6029989844</v>
      </c>
      <c r="F40" s="177">
        <f>IF('Part II-Sources of Funds'!$I$40="","",-FV('Part II-Sources of Funds'!$K$40/12,12,F26/12,E40))</f>
        <v>449707.94126583781</v>
      </c>
      <c r="G40" s="177">
        <f>IF('Part II-Sources of Funds'!$I$40="","",-FV('Part II-Sources of Funds'!$K$40/12,12,G26/12,F40))</f>
        <v>438499.05288107105</v>
      </c>
      <c r="H40" s="177">
        <f>IF('Part II-Sources of Funds'!$I$40="","",-FV('Part II-Sources of Funds'!$K$40/12,12,H26/12,G40))</f>
        <v>426872.96686814504</v>
      </c>
      <c r="I40" s="177">
        <f>IF('Part II-Sources of Funds'!$I$40="","",-FV('Part II-Sources of Funds'!$K$40/12,12,I26/12,H40))</f>
        <v>414814.15502703068</v>
      </c>
      <c r="J40" s="177">
        <f>IF('Part II-Sources of Funds'!$I$40="","",-FV('Part II-Sources of Funds'!$K$40/12,12,J26/12,I40))</f>
        <v>402306.51119421149</v>
      </c>
      <c r="K40" s="177">
        <f>IF('Part II-Sources of Funds'!$I$40="","",-FV('Part II-Sources of Funds'!$K$40/12,12,K26/12,J40))</f>
        <v>389333.32973073795</v>
      </c>
      <c r="N40" s="3559"/>
      <c r="O40" s="3561"/>
      <c r="Q40" s="92">
        <v>20</v>
      </c>
      <c r="R40" s="869">
        <f>-SUM(B32:K32) - SUM(B64:K64)</f>
        <v>7451</v>
      </c>
      <c r="S40" s="869">
        <f>SUM(B33:K33) + SUM(B65:K65)+R40</f>
        <v>224766.7112807869</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6" t="s">
        <v>2409</v>
      </c>
      <c r="O46" s="3196"/>
      <c r="AA46" s="1721">
        <v>46</v>
      </c>
    </row>
    <row r="47" spans="1:27" ht="13.35" customHeight="1">
      <c r="A47" s="14" t="s">
        <v>2215</v>
      </c>
      <c r="B47" s="15">
        <f t="shared" ref="B47:K47" si="18">$B$15*(1+$B$6)^(B46-1)</f>
        <v>362187.62206884223</v>
      </c>
      <c r="C47" s="15">
        <f t="shared" si="18"/>
        <v>369431.37451021903</v>
      </c>
      <c r="D47" s="15">
        <f t="shared" si="18"/>
        <v>376820.00200042344</v>
      </c>
      <c r="E47" s="15">
        <f t="shared" si="18"/>
        <v>384356.40204043192</v>
      </c>
      <c r="F47" s="15">
        <f t="shared" si="18"/>
        <v>392043.53008124058</v>
      </c>
      <c r="G47" s="15">
        <f t="shared" si="18"/>
        <v>399884.40068286529</v>
      </c>
      <c r="H47" s="15">
        <f t="shared" si="18"/>
        <v>407882.08869652264</v>
      </c>
      <c r="I47" s="15">
        <f t="shared" si="18"/>
        <v>416039.73047045316</v>
      </c>
      <c r="J47" s="15">
        <f t="shared" si="18"/>
        <v>424360.52507986216</v>
      </c>
      <c r="K47" s="16">
        <f t="shared" si="18"/>
        <v>432847.73558145936</v>
      </c>
      <c r="N47" s="3562"/>
      <c r="O47" s="3564"/>
      <c r="Z47" s="1719" t="s">
        <v>6461</v>
      </c>
      <c r="AA47" s="1721">
        <v>47</v>
      </c>
    </row>
    <row r="48" spans="1:27" ht="13.35" customHeight="1">
      <c r="A48" s="17" t="s">
        <v>952</v>
      </c>
      <c r="B48" s="18">
        <f t="shared" ref="B48:K48" si="19">$B$16*(1+$B$6)^(B46-1)</f>
        <v>7243.7524413768451</v>
      </c>
      <c r="C48" s="18">
        <f t="shared" si="19"/>
        <v>7388.6274902043806</v>
      </c>
      <c r="D48" s="18">
        <f t="shared" si="19"/>
        <v>7536.4000400084697</v>
      </c>
      <c r="E48" s="18">
        <f t="shared" si="19"/>
        <v>7687.1280408086386</v>
      </c>
      <c r="F48" s="18">
        <f t="shared" si="19"/>
        <v>7840.8706016248125</v>
      </c>
      <c r="G48" s="18">
        <f t="shared" si="19"/>
        <v>7997.6880136573063</v>
      </c>
      <c r="H48" s="18">
        <f t="shared" si="19"/>
        <v>8157.6417739304534</v>
      </c>
      <c r="I48" s="18">
        <f t="shared" si="19"/>
        <v>8320.7946094090639</v>
      </c>
      <c r="J48" s="18">
        <f t="shared" si="19"/>
        <v>8487.2105015972429</v>
      </c>
      <c r="K48" s="19">
        <f t="shared" si="19"/>
        <v>8656.9547116291888</v>
      </c>
      <c r="N48" s="3559"/>
      <c r="O48" s="3561"/>
      <c r="Z48" s="1719" t="s">
        <v>6461</v>
      </c>
      <c r="AA48" s="1721">
        <v>48</v>
      </c>
    </row>
    <row r="49" spans="1:27" ht="13.35" customHeight="1">
      <c r="A49" s="17" t="s">
        <v>2216</v>
      </c>
      <c r="B49" s="18">
        <f t="shared" ref="B49:K49" si="20">-(B47+B48)*$B$9</f>
        <v>-25860.196215715339</v>
      </c>
      <c r="C49" s="18">
        <f t="shared" si="20"/>
        <v>-26377.40014002964</v>
      </c>
      <c r="D49" s="18">
        <f t="shared" si="20"/>
        <v>-26904.948142830235</v>
      </c>
      <c r="E49" s="18">
        <f t="shared" si="20"/>
        <v>-27443.047105686845</v>
      </c>
      <c r="F49" s="18">
        <f t="shared" si="20"/>
        <v>-27991.908047800582</v>
      </c>
      <c r="G49" s="18">
        <f t="shared" si="20"/>
        <v>-28551.746208756584</v>
      </c>
      <c r="H49" s="18">
        <f t="shared" si="20"/>
        <v>-29122.781132931719</v>
      </c>
      <c r="I49" s="18">
        <f t="shared" si="20"/>
        <v>-29705.236755590358</v>
      </c>
      <c r="J49" s="18">
        <f t="shared" si="20"/>
        <v>-30299.341490702162</v>
      </c>
      <c r="K49" s="19">
        <f t="shared" si="20"/>
        <v>-30905.328320516201</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1">SUM(B47:B51)</f>
        <v>343571.17829450377</v>
      </c>
      <c r="C52" s="18">
        <f t="shared" si="21"/>
        <v>350442.60186039377</v>
      </c>
      <c r="D52" s="18">
        <f t="shared" si="21"/>
        <v>357451.45389760169</v>
      </c>
      <c r="E52" s="18">
        <f t="shared" si="21"/>
        <v>364600.48297555372</v>
      </c>
      <c r="F52" s="18">
        <f t="shared" si="21"/>
        <v>371892.49263506482</v>
      </c>
      <c r="G52" s="18">
        <f t="shared" si="21"/>
        <v>379330.342487766</v>
      </c>
      <c r="H52" s="18">
        <f t="shared" si="21"/>
        <v>386916.94933752139</v>
      </c>
      <c r="I52" s="18">
        <f t="shared" si="21"/>
        <v>394655.28832427185</v>
      </c>
      <c r="J52" s="18">
        <f t="shared" si="21"/>
        <v>402548.39409075724</v>
      </c>
      <c r="K52" s="19">
        <f t="shared" si="21"/>
        <v>410599.36197257234</v>
      </c>
      <c r="N52" s="3559"/>
      <c r="O52" s="3561"/>
      <c r="Z52" s="1719" t="s">
        <v>6461</v>
      </c>
      <c r="AA52" s="1721">
        <v>52</v>
      </c>
    </row>
    <row r="53" spans="1:27" ht="13.35" customHeight="1">
      <c r="A53" s="17" t="s">
        <v>572</v>
      </c>
      <c r="B53" s="18">
        <f t="shared" ref="B53:K53" si="22">$B$21*(1+$B$7)^(B46-1)</f>
        <v>-260278.22042716233</v>
      </c>
      <c r="C53" s="18">
        <f t="shared" si="22"/>
        <v>-268086.56703997718</v>
      </c>
      <c r="D53" s="18">
        <f t="shared" si="22"/>
        <v>-276129.16405117646</v>
      </c>
      <c r="E53" s="18">
        <f t="shared" si="22"/>
        <v>-284413.03897271177</v>
      </c>
      <c r="F53" s="18">
        <f t="shared" si="22"/>
        <v>-292945.43014189316</v>
      </c>
      <c r="G53" s="18">
        <f t="shared" si="22"/>
        <v>-301733.79304614995</v>
      </c>
      <c r="H53" s="18">
        <f t="shared" si="22"/>
        <v>-310785.80683753442</v>
      </c>
      <c r="I53" s="18">
        <f t="shared" si="22"/>
        <v>-320109.38104266045</v>
      </c>
      <c r="J53" s="18">
        <f t="shared" si="22"/>
        <v>-329712.66247394023</v>
      </c>
      <c r="K53" s="19">
        <f t="shared" si="22"/>
        <v>-339604.04234815843</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-24050</v>
      </c>
      <c r="C54" s="18">
        <f>IF(AND('Part VI-Pro Forma'!$G$9="Yes",'Part VI-Pro Forma'!$G$10="Yes"),"Choose One!",IF('Part VI-Pro Forma'!$G$9="Yes",ROUND((-$K$9*(1+'Part VI-Pro Forma'!$B$7)^('Part VI-Pro Forma'!C46-1)),),IF('Part VI-Pro Forma'!$G$10="Yes",ROUND((-(SUM(C47:C50)*'Part VI-Pro Forma'!$K$10)),),"Choose mgt fee")))</f>
        <v>-24531</v>
      </c>
      <c r="D54" s="18">
        <f>IF(AND('Part VI-Pro Forma'!$G$9="Yes",'Part VI-Pro Forma'!$G$10="Yes"),"Choose One!",IF('Part VI-Pro Forma'!$G$9="Yes",ROUND((-$K$9*(1+'Part VI-Pro Forma'!$B$7)^('Part VI-Pro Forma'!D46-1)),),IF('Part VI-Pro Forma'!$G$10="Yes",ROUND((-(SUM(D47:D50)*'Part VI-Pro Forma'!$K$10)),),"Choose mgt fee")))</f>
        <v>-25022</v>
      </c>
      <c r="E54" s="18">
        <f>IF(AND('Part VI-Pro Forma'!$G$9="Yes",'Part VI-Pro Forma'!$G$10="Yes"),"Choose One!",IF('Part VI-Pro Forma'!$G$9="Yes",ROUND((-$K$9*(1+'Part VI-Pro Forma'!$B$7)^('Part VI-Pro Forma'!E46-1)),),IF('Part VI-Pro Forma'!$G$10="Yes",ROUND((-(SUM(E47:E50)*'Part VI-Pro Forma'!$K$10)),),"Choose mgt fee")))</f>
        <v>-25522</v>
      </c>
      <c r="F54" s="18">
        <f>IF(AND('Part VI-Pro Forma'!$G$9="Yes",'Part VI-Pro Forma'!$G$10="Yes"),"Choose One!",IF('Part VI-Pro Forma'!$G$9="Yes",ROUND((-$K$9*(1+'Part VI-Pro Forma'!$B$7)^('Part VI-Pro Forma'!F46-1)),),IF('Part VI-Pro Forma'!$G$10="Yes",ROUND((-(SUM(F47:F50)*'Part VI-Pro Forma'!$K$10)),),"Choose mgt fee")))</f>
        <v>-26032</v>
      </c>
      <c r="G54" s="18">
        <f>IF(AND('Part VI-Pro Forma'!$G$9="Yes",'Part VI-Pro Forma'!$G$10="Yes"),"Choose One!",IF('Part VI-Pro Forma'!$G$9="Yes",ROUND((-$K$9*(1+'Part VI-Pro Forma'!$B$7)^('Part VI-Pro Forma'!G46-1)),),IF('Part VI-Pro Forma'!$G$10="Yes",ROUND((-(SUM(G47:G50)*'Part VI-Pro Forma'!$K$10)),),"Choose mgt fee")))</f>
        <v>-26553</v>
      </c>
      <c r="H54" s="18">
        <f>IF(AND('Part VI-Pro Forma'!$G$9="Yes",'Part VI-Pro Forma'!$G$10="Yes"),"Choose One!",IF('Part VI-Pro Forma'!$G$9="Yes",ROUND((-$K$9*(1+'Part VI-Pro Forma'!$B$7)^('Part VI-Pro Forma'!H46-1)),),IF('Part VI-Pro Forma'!$G$10="Yes",ROUND((-(SUM(H47:H50)*'Part VI-Pro Forma'!$K$10)),),"Choose mgt fee")))</f>
        <v>-27084</v>
      </c>
      <c r="I54" s="18">
        <f>IF(AND('Part VI-Pro Forma'!$G$9="Yes",'Part VI-Pro Forma'!$G$10="Yes"),"Choose One!",IF('Part VI-Pro Forma'!$G$9="Yes",ROUND((-$K$9*(1+'Part VI-Pro Forma'!$B$7)^('Part VI-Pro Forma'!I46-1)),),IF('Part VI-Pro Forma'!$G$10="Yes",ROUND((-(SUM(I47:I50)*'Part VI-Pro Forma'!$K$10)),),"Choose mgt fee")))</f>
        <v>-27626</v>
      </c>
      <c r="J54" s="18">
        <f>IF(AND('Part VI-Pro Forma'!$G$9="Yes",'Part VI-Pro Forma'!$G$10="Yes"),"Choose One!",IF('Part VI-Pro Forma'!$G$9="Yes",ROUND((-$K$9*(1+'Part VI-Pro Forma'!$B$7)^('Part VI-Pro Forma'!J46-1)),),IF('Part VI-Pro Forma'!$G$10="Yes",ROUND((-(SUM(J47:J50)*'Part VI-Pro Forma'!$K$10)),),"Choose mgt fee")))</f>
        <v>-28178</v>
      </c>
      <c r="K54" s="19">
        <f>IF(AND('Part VI-Pro Forma'!$G$9="Yes",'Part VI-Pro Forma'!$G$10="Yes"),"Choose One!",IF('Part VI-Pro Forma'!$G$9="Yes",ROUND((-$K$9*(1+'Part VI-Pro Forma'!$B$7)^('Part VI-Pro Forma'!K46-1)),),IF('Part VI-Pro Forma'!$G$10="Yes",ROUND((-(SUM(K47:K50)*'Part VI-Pro Forma'!$K$10)),),"Choose mgt fee")))</f>
        <v>-28742</v>
      </c>
      <c r="N54" s="3559"/>
      <c r="O54" s="3561"/>
      <c r="Z54" s="1719" t="s">
        <v>6461</v>
      </c>
      <c r="AA54" s="1721">
        <v>54</v>
      </c>
    </row>
    <row r="55" spans="1:27" ht="13.35" customHeight="1">
      <c r="A55" s="17" t="s">
        <v>1128</v>
      </c>
      <c r="B55" s="18">
        <f t="shared" ref="B55:K55" si="23">$B$23*(1+$B$8)^(B46-1)</f>
        <v>-14783.08017278534</v>
      </c>
      <c r="C55" s="18">
        <f t="shared" si="23"/>
        <v>-15226.5725779689</v>
      </c>
      <c r="D55" s="18">
        <f t="shared" si="23"/>
        <v>-15683.369755307966</v>
      </c>
      <c r="E55" s="18">
        <f t="shared" si="23"/>
        <v>-16153.870847967202</v>
      </c>
      <c r="F55" s="18">
        <f t="shared" si="23"/>
        <v>-16638.486973406219</v>
      </c>
      <c r="G55" s="18">
        <f t="shared" si="23"/>
        <v>-17137.641582608408</v>
      </c>
      <c r="H55" s="18">
        <f t="shared" si="23"/>
        <v>-17651.770830086658</v>
      </c>
      <c r="I55" s="18">
        <f t="shared" si="23"/>
        <v>-18181.323954989257</v>
      </c>
      <c r="J55" s="18">
        <f t="shared" si="23"/>
        <v>-18726.763673638936</v>
      </c>
      <c r="K55" s="19">
        <f t="shared" si="23"/>
        <v>-19288.566583848104</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4">SUM(B52:B56)</f>
        <v>44459.877694556097</v>
      </c>
      <c r="C57" s="18">
        <f t="shared" si="24"/>
        <v>42598.462242447691</v>
      </c>
      <c r="D57" s="18">
        <f t="shared" si="24"/>
        <v>40616.920091117267</v>
      </c>
      <c r="E57" s="18">
        <f t="shared" si="24"/>
        <v>38511.573154874743</v>
      </c>
      <c r="F57" s="18">
        <f t="shared" si="24"/>
        <v>36276.575519765436</v>
      </c>
      <c r="G57" s="18">
        <f t="shared" si="24"/>
        <v>33905.907859007639</v>
      </c>
      <c r="H57" s="18">
        <f t="shared" si="24"/>
        <v>31395.37166990032</v>
      </c>
      <c r="I57" s="18">
        <f t="shared" si="24"/>
        <v>28738.583326622149</v>
      </c>
      <c r="J57" s="18">
        <f t="shared" si="24"/>
        <v>25930.967943178071</v>
      </c>
      <c r="K57" s="1215">
        <f t="shared" si="24"/>
        <v>22964.753040565807</v>
      </c>
      <c r="N57" s="3559"/>
      <c r="O57" s="3561"/>
      <c r="Z57" s="1719" t="s">
        <v>6461</v>
      </c>
      <c r="AA57" s="1721">
        <v>57</v>
      </c>
    </row>
    <row r="58" spans="1:27" ht="13.35" customHeight="1">
      <c r="A58" s="17" t="str">
        <f>$A26</f>
        <v>Mortgage A</v>
      </c>
      <c r="B58" s="342">
        <f>12*PMT(0.0664/12,360,K40)</f>
        <v>-29961.680359586895</v>
      </c>
      <c r="C58" s="342">
        <f t="shared" ref="C58:K58" si="25">+B58</f>
        <v>-29961.680359586895</v>
      </c>
      <c r="D58" s="342">
        <f t="shared" si="25"/>
        <v>-29961.680359586895</v>
      </c>
      <c r="E58" s="342">
        <f t="shared" si="25"/>
        <v>-29961.680359586895</v>
      </c>
      <c r="F58" s="342">
        <f t="shared" si="25"/>
        <v>-29961.680359586895</v>
      </c>
      <c r="G58" s="342">
        <f t="shared" si="25"/>
        <v>-29961.680359586895</v>
      </c>
      <c r="H58" s="342">
        <f t="shared" si="25"/>
        <v>-29961.680359586895</v>
      </c>
      <c r="I58" s="342">
        <f t="shared" si="25"/>
        <v>-29961.680359586895</v>
      </c>
      <c r="J58" s="342">
        <f t="shared" si="25"/>
        <v>-29961.680359586895</v>
      </c>
      <c r="K58" s="342">
        <f t="shared" si="25"/>
        <v>-29961.680359586895</v>
      </c>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f>
        <v>-3500</v>
      </c>
      <c r="C63" s="178">
        <f t="shared" ref="C63:K63" si="26">+B63</f>
        <v>-3500</v>
      </c>
      <c r="D63" s="178">
        <f t="shared" si="26"/>
        <v>-3500</v>
      </c>
      <c r="E63" s="178">
        <f t="shared" si="26"/>
        <v>-3500</v>
      </c>
      <c r="F63" s="178">
        <f t="shared" si="26"/>
        <v>-3500</v>
      </c>
      <c r="G63" s="178">
        <f t="shared" si="26"/>
        <v>-3500</v>
      </c>
      <c r="H63" s="178">
        <f t="shared" si="26"/>
        <v>-3500</v>
      </c>
      <c r="I63" s="178">
        <f t="shared" si="26"/>
        <v>-3500</v>
      </c>
      <c r="J63" s="178">
        <f t="shared" si="26"/>
        <v>-3500</v>
      </c>
      <c r="K63" s="178">
        <f t="shared" si="26"/>
        <v>-3500</v>
      </c>
      <c r="N63" s="3559"/>
      <c r="O63" s="3561"/>
      <c r="Z63" s="1719" t="s">
        <v>6461</v>
      </c>
      <c r="AA63" s="1721">
        <v>63</v>
      </c>
    </row>
    <row r="64" spans="1:27" ht="13.35" customHeight="1">
      <c r="A64" s="341" t="s">
        <v>3361</v>
      </c>
      <c r="B64" s="179">
        <f t="shared" ref="B64" si="27">-MIN(SUM(B57:B63),K44)</f>
        <v>0</v>
      </c>
      <c r="C64" s="179">
        <f t="shared" ref="C64:G64" si="28">-MIN(SUM(C57:C63),B76)</f>
        <v>0</v>
      </c>
      <c r="D64" s="179">
        <f t="shared" si="28"/>
        <v>0</v>
      </c>
      <c r="E64" s="179">
        <f t="shared" si="28"/>
        <v>0</v>
      </c>
      <c r="F64" s="179">
        <f t="shared" si="28"/>
        <v>0</v>
      </c>
      <c r="G64" s="179">
        <f t="shared" si="28"/>
        <v>0</v>
      </c>
      <c r="H64" s="179"/>
      <c r="I64" s="179"/>
      <c r="J64" s="179"/>
      <c r="K64" s="179"/>
      <c r="N64" s="3559"/>
      <c r="O64" s="3561"/>
      <c r="Z64" s="1719" t="s">
        <v>6461</v>
      </c>
      <c r="AA64" s="1721">
        <v>64</v>
      </c>
    </row>
    <row r="65" spans="1:27" ht="13.35" customHeight="1">
      <c r="A65" s="17" t="s">
        <v>1096</v>
      </c>
      <c r="B65" s="18">
        <f t="shared" ref="B65:K65" si="29">SUM(B57:B64)</f>
        <v>10998.197334969202</v>
      </c>
      <c r="C65" s="18">
        <f t="shared" si="29"/>
        <v>9136.781882860796</v>
      </c>
      <c r="D65" s="18">
        <f t="shared" si="29"/>
        <v>7155.2397315303715</v>
      </c>
      <c r="E65" s="18">
        <f t="shared" si="29"/>
        <v>5049.8927952878475</v>
      </c>
      <c r="F65" s="18">
        <f t="shared" si="29"/>
        <v>2814.8951601785411</v>
      </c>
      <c r="G65" s="18">
        <f t="shared" si="29"/>
        <v>444.2274994207437</v>
      </c>
      <c r="H65" s="18">
        <f t="shared" si="29"/>
        <v>-2066.3086896865752</v>
      </c>
      <c r="I65" s="18">
        <f t="shared" si="29"/>
        <v>-4723.0970329647462</v>
      </c>
      <c r="J65" s="18">
        <f t="shared" si="29"/>
        <v>-7530.7124164088236</v>
      </c>
      <c r="K65" s="497">
        <f t="shared" si="29"/>
        <v>-10496.927319021088</v>
      </c>
      <c r="N65" s="3559"/>
      <c r="O65" s="3561"/>
      <c r="Z65" s="1719" t="s">
        <v>6461</v>
      </c>
      <c r="AA65" s="1721">
        <v>65</v>
      </c>
    </row>
    <row r="66" spans="1:27" ht="13.35" customHeight="1">
      <c r="A66" s="17" t="str">
        <f>$A34</f>
        <v>DCR Mortgage A</v>
      </c>
      <c r="B66" s="20">
        <f t="shared" ref="B66:K66" si="30">IF(B58=0,"",-B57/B58)</f>
        <v>1.4838913292234688</v>
      </c>
      <c r="C66" s="20">
        <f t="shared" si="30"/>
        <v>1.4217647919342207</v>
      </c>
      <c r="D66" s="20">
        <f t="shared" si="30"/>
        <v>1.3556289101162176</v>
      </c>
      <c r="E66" s="20">
        <f t="shared" si="30"/>
        <v>1.2853609241095894</v>
      </c>
      <c r="F66" s="20">
        <f t="shared" si="30"/>
        <v>1.2107657208938201</v>
      </c>
      <c r="G66" s="20">
        <f t="shared" si="30"/>
        <v>1.1316423996279201</v>
      </c>
      <c r="H66" s="20">
        <f t="shared" si="30"/>
        <v>1.0478508312319901</v>
      </c>
      <c r="I66" s="20">
        <f t="shared" si="30"/>
        <v>0.95917795603298361</v>
      </c>
      <c r="J66" s="20">
        <f t="shared" si="30"/>
        <v>0.86547108279529095</v>
      </c>
      <c r="K66" s="21">
        <f t="shared" si="30"/>
        <v>0.76647079753047731</v>
      </c>
      <c r="N66" s="3559"/>
      <c r="O66" s="3561"/>
      <c r="Z66" s="1719" t="s">
        <v>6461</v>
      </c>
      <c r="AA66" s="1721">
        <v>66</v>
      </c>
    </row>
    <row r="67" spans="1:27" ht="13.35" customHeight="1">
      <c r="A67" s="17" t="str">
        <f>$A35</f>
        <v>DCR Mortgage B</v>
      </c>
      <c r="B67" s="20" t="str">
        <f t="shared" ref="B67:K67" si="31">IF(B59=0,"",-(B57+B58)/B59)</f>
        <v/>
      </c>
      <c r="C67" s="20" t="str">
        <f t="shared" si="31"/>
        <v/>
      </c>
      <c r="D67" s="20" t="str">
        <f t="shared" si="31"/>
        <v/>
      </c>
      <c r="E67" s="20" t="str">
        <f t="shared" si="31"/>
        <v/>
      </c>
      <c r="F67" s="20" t="str">
        <f t="shared" si="31"/>
        <v/>
      </c>
      <c r="G67" s="20" t="str">
        <f t="shared" si="31"/>
        <v/>
      </c>
      <c r="H67" s="20" t="str">
        <f t="shared" si="31"/>
        <v/>
      </c>
      <c r="I67" s="20" t="str">
        <f t="shared" si="31"/>
        <v/>
      </c>
      <c r="J67" s="20" t="str">
        <f t="shared" si="31"/>
        <v/>
      </c>
      <c r="K67" s="21" t="str">
        <f t="shared" si="31"/>
        <v/>
      </c>
      <c r="N67" s="3559"/>
      <c r="O67" s="3561"/>
      <c r="Z67" s="1719" t="s">
        <v>6461</v>
      </c>
      <c r="AA67" s="1721">
        <v>67</v>
      </c>
    </row>
    <row r="68" spans="1:27" ht="13.35" customHeight="1">
      <c r="A68" s="17" t="str">
        <f>$A36</f>
        <v>DCR Mortgage C</v>
      </c>
      <c r="B68" s="20" t="str">
        <f t="shared" ref="B68:K68" si="32">IF(B60=0,"",-(B57+B58+B59)/B60)</f>
        <v/>
      </c>
      <c r="C68" s="20" t="str">
        <f t="shared" si="32"/>
        <v/>
      </c>
      <c r="D68" s="20" t="str">
        <f t="shared" si="32"/>
        <v/>
      </c>
      <c r="E68" s="20" t="str">
        <f t="shared" si="32"/>
        <v/>
      </c>
      <c r="F68" s="20" t="str">
        <f t="shared" si="32"/>
        <v/>
      </c>
      <c r="G68" s="20" t="str">
        <f t="shared" si="32"/>
        <v/>
      </c>
      <c r="H68" s="20" t="str">
        <f t="shared" si="32"/>
        <v/>
      </c>
      <c r="I68" s="20" t="str">
        <f t="shared" si="32"/>
        <v/>
      </c>
      <c r="J68" s="20" t="str">
        <f t="shared" si="32"/>
        <v/>
      </c>
      <c r="K68" s="21" t="str">
        <f t="shared" si="32"/>
        <v/>
      </c>
      <c r="N68" s="3559"/>
      <c r="O68" s="3561"/>
      <c r="Z68" s="1719" t="s">
        <v>6461</v>
      </c>
      <c r="AA68" s="1721">
        <v>68</v>
      </c>
    </row>
    <row r="69" spans="1:27" ht="13.35" customHeight="1">
      <c r="A69" s="17" t="str">
        <f>$A37</f>
        <v>DCR Other Source</v>
      </c>
      <c r="B69" s="20" t="str">
        <f t="shared" ref="B69:K69" si="33">IF(B61=0,"",-(B57+B58+B59+B60)/B61)</f>
        <v/>
      </c>
      <c r="C69" s="20" t="str">
        <f t="shared" si="33"/>
        <v/>
      </c>
      <c r="D69" s="20" t="str">
        <f t="shared" si="33"/>
        <v/>
      </c>
      <c r="E69" s="20" t="str">
        <f t="shared" si="33"/>
        <v/>
      </c>
      <c r="F69" s="20" t="str">
        <f t="shared" si="33"/>
        <v/>
      </c>
      <c r="G69" s="20" t="str">
        <f t="shared" si="33"/>
        <v/>
      </c>
      <c r="H69" s="20" t="str">
        <f t="shared" si="33"/>
        <v/>
      </c>
      <c r="I69" s="20" t="str">
        <f t="shared" si="33"/>
        <v/>
      </c>
      <c r="J69" s="20" t="str">
        <f t="shared" si="33"/>
        <v/>
      </c>
      <c r="K69" s="21" t="str">
        <f t="shared" si="33"/>
        <v/>
      </c>
      <c r="N69" s="3559"/>
      <c r="O69" s="3561"/>
      <c r="Z69" s="1719" t="s">
        <v>6461</v>
      </c>
      <c r="AA69" s="1721">
        <v>69</v>
      </c>
    </row>
    <row r="70" spans="1:27" ht="13.35" customHeight="1">
      <c r="A70" s="341" t="s">
        <v>3213</v>
      </c>
      <c r="B70" s="20">
        <f t="shared" ref="B70:K70" si="34">IF(AND(B58=0,B59=0,B60=0,B61=0),"",-B57/(B58+B59+B60+B61))</f>
        <v>1.4838913292234688</v>
      </c>
      <c r="C70" s="20">
        <f t="shared" si="34"/>
        <v>1.4217647919342207</v>
      </c>
      <c r="D70" s="20">
        <f t="shared" si="34"/>
        <v>1.3556289101162176</v>
      </c>
      <c r="E70" s="20">
        <f t="shared" si="34"/>
        <v>1.2853609241095894</v>
      </c>
      <c r="F70" s="20">
        <f t="shared" si="34"/>
        <v>1.2107657208938201</v>
      </c>
      <c r="G70" s="20">
        <f t="shared" si="34"/>
        <v>1.1316423996279201</v>
      </c>
      <c r="H70" s="20">
        <f t="shared" si="34"/>
        <v>1.0478508312319901</v>
      </c>
      <c r="I70" s="20">
        <f t="shared" si="34"/>
        <v>0.95917795603298361</v>
      </c>
      <c r="J70" s="20">
        <f t="shared" si="34"/>
        <v>0.86547108279529095</v>
      </c>
      <c r="K70" s="21">
        <f t="shared" si="34"/>
        <v>0.76647079753047731</v>
      </c>
      <c r="N70" s="3559"/>
      <c r="O70" s="3561"/>
      <c r="Z70" s="1719" t="s">
        <v>6461</v>
      </c>
      <c r="AA70" s="1721">
        <v>70</v>
      </c>
    </row>
    <row r="71" spans="1:27" ht="13.35" customHeight="1">
      <c r="A71" s="17" t="s">
        <v>718</v>
      </c>
      <c r="B71" s="220">
        <f t="shared" ref="B71:K71" si="35">IF(OR(B54="Choose mgt fee",B54="Choose One!"),"",(B47+B48+B49+B50+B51) / -(B53+B54+B55))</f>
        <v>1.1486399129868377</v>
      </c>
      <c r="C71" s="220">
        <f t="shared" si="35"/>
        <v>1.1383767197755172</v>
      </c>
      <c r="D71" s="220">
        <f t="shared" si="35"/>
        <v>1.1281960006162877</v>
      </c>
      <c r="E71" s="220">
        <f t="shared" si="35"/>
        <v>1.1181014502334741</v>
      </c>
      <c r="F71" s="220">
        <f t="shared" si="35"/>
        <v>1.1080895561556539</v>
      </c>
      <c r="G71" s="220">
        <f t="shared" si="35"/>
        <v>1.0981572363155134</v>
      </c>
      <c r="H71" s="220">
        <f t="shared" si="35"/>
        <v>1.0883079217747285</v>
      </c>
      <c r="I71" s="220">
        <f t="shared" si="35"/>
        <v>1.0785385934397467</v>
      </c>
      <c r="J71" s="220">
        <f t="shared" si="35"/>
        <v>1.0688522785799532</v>
      </c>
      <c r="K71" s="221">
        <f t="shared" si="35"/>
        <v>1.0592432990022158</v>
      </c>
      <c r="N71" s="3559"/>
      <c r="O71" s="3561"/>
      <c r="Z71" s="1719" t="s">
        <v>6461</v>
      </c>
      <c r="AA71" s="1721">
        <v>71</v>
      </c>
    </row>
    <row r="72" spans="1:27" ht="13.35" customHeight="1">
      <c r="A72" s="341" t="s">
        <v>2405</v>
      </c>
      <c r="B72" s="177">
        <f>IF('Part II-Sources of Funds'!$I$40="","",-FV(0.0664/12,12,B58/12,K40))</f>
        <v>385095.9670718686</v>
      </c>
      <c r="C72" s="177">
        <f>IF('Part II-Sources of Funds'!$I$40="","",-FV(0.0664/12,12,C58/12,B72))</f>
        <v>380568.52086401498</v>
      </c>
      <c r="D72" s="177">
        <f>IF('Part II-Sources of Funds'!$I$40="","",-FV(0.0664/12,12,D58/12,C72))</f>
        <v>375731.13241860922</v>
      </c>
      <c r="E72" s="177">
        <f>IF('Part II-Sources of Funds'!$I$40="","",-FV(0.0664/12,12,E58/12,D72))</f>
        <v>370562.58355078322</v>
      </c>
      <c r="F72" s="177">
        <f>IF('Part II-Sources of Funds'!$I$40="","",-FV(0.0664/12,12,F58/12,E72))</f>
        <v>365040.20351027267</v>
      </c>
      <c r="G72" s="177">
        <f>IF('Part II-Sources of Funds'!$I$40="","",-FV(0.0664/12,12,G58/12,F72))</f>
        <v>359139.76954094903</v>
      </c>
      <c r="H72" s="177">
        <f>IF('Part II-Sources of Funds'!$I$40="","",-FV(0.0664/12,12,H58/12,G72))</f>
        <v>352835.40063280531</v>
      </c>
      <c r="I72" s="177">
        <f>IF('Part II-Sources of Funds'!$I$40="","",-FV(0.0664/12,12,I58/12,H72))</f>
        <v>346099.44400036032</v>
      </c>
      <c r="J72" s="177">
        <f>IF('Part II-Sources of Funds'!$I$40="","",-FV(0.0664/12,12,J58/12,I72))</f>
        <v>338902.3537895435</v>
      </c>
      <c r="K72" s="177">
        <f>IF('Part II-Sources of Funds'!$I$40="","",-FV(0.0664/12,12,K58/12,J72))</f>
        <v>331212.56148103299</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6">B78+1</f>
        <v>22</v>
      </c>
      <c r="D78" s="12">
        <f t="shared" si="36"/>
        <v>23</v>
      </c>
      <c r="E78" s="12">
        <f t="shared" si="36"/>
        <v>24</v>
      </c>
      <c r="F78" s="12">
        <f t="shared" si="36"/>
        <v>25</v>
      </c>
      <c r="G78" s="12">
        <f t="shared" si="36"/>
        <v>26</v>
      </c>
      <c r="H78" s="12">
        <f t="shared" si="36"/>
        <v>27</v>
      </c>
      <c r="I78" s="12">
        <f t="shared" si="36"/>
        <v>28</v>
      </c>
      <c r="J78" s="12">
        <f t="shared" si="36"/>
        <v>29</v>
      </c>
      <c r="K78" s="12">
        <f t="shared" si="36"/>
        <v>30</v>
      </c>
      <c r="N78" s="3196" t="s">
        <v>2410</v>
      </c>
      <c r="O78" s="3196"/>
      <c r="AA78" s="1721">
        <v>78</v>
      </c>
    </row>
    <row r="79" spans="1:27" ht="13.35" customHeight="1">
      <c r="A79" s="14" t="s">
        <v>2215</v>
      </c>
      <c r="B79" s="15">
        <f t="shared" ref="B79:K79" si="37">$B$15*(1+$B$6)^(B78-1)</f>
        <v>441504.69029308861</v>
      </c>
      <c r="C79" s="15">
        <f t="shared" si="37"/>
        <v>450334.78409895033</v>
      </c>
      <c r="D79" s="15">
        <f t="shared" si="37"/>
        <v>459341.4797809294</v>
      </c>
      <c r="E79" s="15">
        <f t="shared" si="37"/>
        <v>468528.30937654787</v>
      </c>
      <c r="F79" s="15">
        <f t="shared" si="37"/>
        <v>477898.87556407886</v>
      </c>
      <c r="G79" s="15">
        <f t="shared" si="37"/>
        <v>487456.85307536041</v>
      </c>
      <c r="H79" s="15">
        <f t="shared" si="37"/>
        <v>497205.99013686768</v>
      </c>
      <c r="I79" s="15">
        <f t="shared" si="37"/>
        <v>507150.10993960494</v>
      </c>
      <c r="J79" s="15">
        <f t="shared" si="37"/>
        <v>517293.11213839718</v>
      </c>
      <c r="K79" s="16">
        <f t="shared" si="37"/>
        <v>527638.974381165</v>
      </c>
      <c r="N79" s="3562"/>
      <c r="O79" s="3564"/>
      <c r="Z79" s="1719" t="s">
        <v>6462</v>
      </c>
      <c r="AA79" s="1721">
        <v>79</v>
      </c>
    </row>
    <row r="80" spans="1:27" ht="13.35" customHeight="1">
      <c r="A80" s="17" t="s">
        <v>952</v>
      </c>
      <c r="B80" s="18">
        <f t="shared" ref="B80:K80" si="38">$B$16*(1+$B$6)^(B78-1)</f>
        <v>8830.0938058617721</v>
      </c>
      <c r="C80" s="18">
        <f t="shared" si="38"/>
        <v>9006.6956819790084</v>
      </c>
      <c r="D80" s="18">
        <f t="shared" si="38"/>
        <v>9186.8295956185884</v>
      </c>
      <c r="E80" s="18">
        <f t="shared" si="38"/>
        <v>9370.5661875309579</v>
      </c>
      <c r="F80" s="18">
        <f t="shared" si="38"/>
        <v>9557.9775112815787</v>
      </c>
      <c r="G80" s="18">
        <f t="shared" si="38"/>
        <v>9749.1370615072101</v>
      </c>
      <c r="H80" s="18">
        <f t="shared" si="38"/>
        <v>9944.1198027373557</v>
      </c>
      <c r="I80" s="18">
        <f t="shared" si="38"/>
        <v>10143.002198792101</v>
      </c>
      <c r="J80" s="18">
        <f t="shared" si="38"/>
        <v>10345.862242767944</v>
      </c>
      <c r="K80" s="19">
        <f t="shared" si="38"/>
        <v>10552.779487623302</v>
      </c>
      <c r="N80" s="3559"/>
      <c r="O80" s="3561"/>
      <c r="Z80" s="1719" t="s">
        <v>6462</v>
      </c>
      <c r="AA80" s="1721">
        <v>80</v>
      </c>
    </row>
    <row r="81" spans="1:27" ht="13.35" customHeight="1">
      <c r="A81" s="17" t="s">
        <v>2216</v>
      </c>
      <c r="B81" s="18">
        <f t="shared" ref="B81:K81" si="39">-(B79+B80)*$B$9</f>
        <v>-31523.43488692653</v>
      </c>
      <c r="C81" s="18">
        <f t="shared" si="39"/>
        <v>-32153.903584665055</v>
      </c>
      <c r="D81" s="18">
        <f t="shared" si="39"/>
        <v>-32796.981656358359</v>
      </c>
      <c r="E81" s="18">
        <f t="shared" si="39"/>
        <v>-33452.921289485523</v>
      </c>
      <c r="F81" s="18">
        <f t="shared" si="39"/>
        <v>-34121.979715275229</v>
      </c>
      <c r="G81" s="18">
        <f t="shared" si="39"/>
        <v>-34804.419309580735</v>
      </c>
      <c r="H81" s="18">
        <f t="shared" si="39"/>
        <v>-35500.507695772358</v>
      </c>
      <c r="I81" s="18">
        <f t="shared" si="39"/>
        <v>-36210.5178496878</v>
      </c>
      <c r="J81" s="18">
        <f t="shared" si="39"/>
        <v>-36934.728206681561</v>
      </c>
      <c r="K81" s="19">
        <f t="shared" si="39"/>
        <v>-37673.422770815181</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40">SUM(B79:B83)</f>
        <v>418811.34921202384</v>
      </c>
      <c r="C84" s="18">
        <f t="shared" si="40"/>
        <v>427187.5761962643</v>
      </c>
      <c r="D84" s="18">
        <f t="shared" si="40"/>
        <v>435731.32772018964</v>
      </c>
      <c r="E84" s="18">
        <f t="shared" si="40"/>
        <v>444445.95427459327</v>
      </c>
      <c r="F84" s="18">
        <f t="shared" si="40"/>
        <v>453334.87336008518</v>
      </c>
      <c r="G84" s="18">
        <f t="shared" si="40"/>
        <v>462401.57082728687</v>
      </c>
      <c r="H84" s="18">
        <f t="shared" si="40"/>
        <v>471649.60224383272</v>
      </c>
      <c r="I84" s="18">
        <f t="shared" si="40"/>
        <v>481082.59428870928</v>
      </c>
      <c r="J84" s="18">
        <f t="shared" si="40"/>
        <v>490704.24617448356</v>
      </c>
      <c r="K84" s="19">
        <f t="shared" si="40"/>
        <v>500518.33109797304</v>
      </c>
      <c r="N84" s="3559"/>
      <c r="O84" s="3561"/>
      <c r="Z84" s="1719" t="s">
        <v>6462</v>
      </c>
      <c r="AA84" s="1721">
        <v>84</v>
      </c>
    </row>
    <row r="85" spans="1:27" ht="13.35" customHeight="1">
      <c r="A85" s="17" t="s">
        <v>572</v>
      </c>
      <c r="B85" s="18">
        <f t="shared" ref="B85:K85" si="41">$B$21*(1+$B$7)^(B78-1)</f>
        <v>-349792.1636186032</v>
      </c>
      <c r="C85" s="18">
        <f t="shared" si="41"/>
        <v>-360285.92852716125</v>
      </c>
      <c r="D85" s="18">
        <f t="shared" si="41"/>
        <v>-371094.50638297613</v>
      </c>
      <c r="E85" s="18">
        <f t="shared" si="41"/>
        <v>-382227.34157446545</v>
      </c>
      <c r="F85" s="18">
        <f t="shared" si="41"/>
        <v>-393694.16182169935</v>
      </c>
      <c r="G85" s="18">
        <f t="shared" si="41"/>
        <v>-405504.98667635029</v>
      </c>
      <c r="H85" s="18">
        <f t="shared" si="41"/>
        <v>-417670.13627664087</v>
      </c>
      <c r="I85" s="18">
        <f t="shared" si="41"/>
        <v>-430200.24036494002</v>
      </c>
      <c r="J85" s="18">
        <f t="shared" si="41"/>
        <v>-443106.24757588824</v>
      </c>
      <c r="K85" s="19">
        <f t="shared" si="41"/>
        <v>-456399.43500316486</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-29317</v>
      </c>
      <c r="C86" s="18">
        <f>IF(AND('Part VI-Pro Forma'!$G$9="Yes",'Part VI-Pro Forma'!$G$10="Yes"),"Choose One!",IF('Part VI-Pro Forma'!$G$9="Yes",ROUND((-$K$9*(1+'Part VI-Pro Forma'!$B$7)^('Part VI-Pro Forma'!C78-1)),),IF('Part VI-Pro Forma'!$G$10="Yes",ROUND((-(SUM(C79:C82)*'Part VI-Pro Forma'!$K$10)),),"Choose mgt fee")))</f>
        <v>-29903</v>
      </c>
      <c r="D86" s="18">
        <f>IF(AND('Part VI-Pro Forma'!$G$9="Yes",'Part VI-Pro Forma'!$G$10="Yes"),"Choose One!",IF('Part VI-Pro Forma'!$G$9="Yes",ROUND((-$K$9*(1+'Part VI-Pro Forma'!$B$7)^('Part VI-Pro Forma'!D78-1)),),IF('Part VI-Pro Forma'!$G$10="Yes",ROUND((-(SUM(D79:D82)*'Part VI-Pro Forma'!$K$10)),),"Choose mgt fee")))</f>
        <v>-30501</v>
      </c>
      <c r="E86" s="18">
        <f>IF(AND('Part VI-Pro Forma'!$G$9="Yes",'Part VI-Pro Forma'!$G$10="Yes"),"Choose One!",IF('Part VI-Pro Forma'!$G$9="Yes",ROUND((-$K$9*(1+'Part VI-Pro Forma'!$B$7)^('Part VI-Pro Forma'!E78-1)),),IF('Part VI-Pro Forma'!$G$10="Yes",ROUND((-(SUM(E79:E82)*'Part VI-Pro Forma'!$K$10)),),"Choose mgt fee")))</f>
        <v>-31111</v>
      </c>
      <c r="F86" s="18">
        <f>IF(AND('Part VI-Pro Forma'!$G$9="Yes",'Part VI-Pro Forma'!$G$10="Yes"),"Choose One!",IF('Part VI-Pro Forma'!$G$9="Yes",ROUND((-$K$9*(1+'Part VI-Pro Forma'!$B$7)^('Part VI-Pro Forma'!F78-1)),),IF('Part VI-Pro Forma'!$G$10="Yes",ROUND((-(SUM(F79:F82)*'Part VI-Pro Forma'!$K$10)),),"Choose mgt fee")))</f>
        <v>-31733</v>
      </c>
      <c r="G86" s="18">
        <f>IF(AND('Part VI-Pro Forma'!$G$9="Yes",'Part VI-Pro Forma'!$G$10="Yes"),"Choose One!",IF('Part VI-Pro Forma'!$G$9="Yes",ROUND((-$K$9*(1+'Part VI-Pro Forma'!$B$7)^('Part VI-Pro Forma'!G78-1)),),IF('Part VI-Pro Forma'!$G$10="Yes",ROUND((-(SUM(G79:G82)*'Part VI-Pro Forma'!$K$10)),),"Choose mgt fee")))</f>
        <v>-32368</v>
      </c>
      <c r="H86" s="18">
        <f>IF(AND('Part VI-Pro Forma'!$G$9="Yes",'Part VI-Pro Forma'!$G$10="Yes"),"Choose One!",IF('Part VI-Pro Forma'!$G$9="Yes",ROUND((-$K$9*(1+'Part VI-Pro Forma'!$B$7)^('Part VI-Pro Forma'!H78-1)),),IF('Part VI-Pro Forma'!$G$10="Yes",ROUND((-(SUM(H79:H82)*'Part VI-Pro Forma'!$K$10)),),"Choose mgt fee")))</f>
        <v>-33015</v>
      </c>
      <c r="I86" s="18">
        <f>IF(AND('Part VI-Pro Forma'!$G$9="Yes",'Part VI-Pro Forma'!$G$10="Yes"),"Choose One!",IF('Part VI-Pro Forma'!$G$9="Yes",ROUND((-$K$9*(1+'Part VI-Pro Forma'!$B$7)^('Part VI-Pro Forma'!I78-1)),),IF('Part VI-Pro Forma'!$G$10="Yes",ROUND((-(SUM(I79:I82)*'Part VI-Pro Forma'!$K$10)),),"Choose mgt fee")))</f>
        <v>-33676</v>
      </c>
      <c r="J86" s="18">
        <f>IF(AND('Part VI-Pro Forma'!$G$9="Yes",'Part VI-Pro Forma'!$G$10="Yes"),"Choose One!",IF('Part VI-Pro Forma'!$G$9="Yes",ROUND((-$K$9*(1+'Part VI-Pro Forma'!$B$7)^('Part VI-Pro Forma'!J78-1)),),IF('Part VI-Pro Forma'!$G$10="Yes",ROUND((-(SUM(J79:J82)*'Part VI-Pro Forma'!$K$10)),),"Choose mgt fee")))</f>
        <v>-34349</v>
      </c>
      <c r="K86" s="19">
        <f>IF(AND('Part VI-Pro Forma'!$G$9="Yes",'Part VI-Pro Forma'!$G$10="Yes"),"Choose One!",IF('Part VI-Pro Forma'!$G$9="Yes",ROUND((-$K$9*(1+'Part VI-Pro Forma'!$B$7)^('Part VI-Pro Forma'!K78-1)),),IF('Part VI-Pro Forma'!$G$10="Yes",ROUND((-(SUM(K79:K82)*'Part VI-Pro Forma'!$K$10)),),"Choose mgt fee")))</f>
        <v>-35036</v>
      </c>
      <c r="N86" s="3559"/>
      <c r="O86" s="3561"/>
      <c r="Z86" s="1719" t="s">
        <v>6462</v>
      </c>
      <c r="AA86" s="1721">
        <v>86</v>
      </c>
    </row>
    <row r="87" spans="1:27" ht="13.35" customHeight="1">
      <c r="A87" s="17" t="s">
        <v>1128</v>
      </c>
      <c r="B87" s="18">
        <f t="shared" ref="B87:K87" si="42">$B$23*(1+$B$8)^(B78-1)</f>
        <v>-19867.223581363545</v>
      </c>
      <c r="C87" s="18">
        <f t="shared" si="42"/>
        <v>-20463.240288804449</v>
      </c>
      <c r="D87" s="18">
        <f t="shared" si="42"/>
        <v>-21077.137497468586</v>
      </c>
      <c r="E87" s="18">
        <f t="shared" si="42"/>
        <v>-21709.451622392644</v>
      </c>
      <c r="F87" s="18">
        <f t="shared" si="42"/>
        <v>-22360.735171064422</v>
      </c>
      <c r="G87" s="18">
        <f t="shared" si="42"/>
        <v>-23031.557226196353</v>
      </c>
      <c r="H87" s="18">
        <f t="shared" si="42"/>
        <v>-23722.503942982246</v>
      </c>
      <c r="I87" s="18">
        <f t="shared" si="42"/>
        <v>-24434.179061271712</v>
      </c>
      <c r="J87" s="18">
        <f t="shared" si="42"/>
        <v>-25167.204433109862</v>
      </c>
      <c r="K87" s="19">
        <f t="shared" si="42"/>
        <v>-25922.220566103155</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43">SUM(B84:B88)</f>
        <v>19834.962012057094</v>
      </c>
      <c r="C89" s="18">
        <f t="shared" si="43"/>
        <v>16535.407380298606</v>
      </c>
      <c r="D89" s="18">
        <f t="shared" si="43"/>
        <v>13058.683839744921</v>
      </c>
      <c r="E89" s="18">
        <f t="shared" si="43"/>
        <v>9398.161077735178</v>
      </c>
      <c r="F89" s="18">
        <f t="shared" si="43"/>
        <v>5546.9763673214111</v>
      </c>
      <c r="G89" s="18">
        <f t="shared" si="43"/>
        <v>1497.0269247402175</v>
      </c>
      <c r="H89" s="18">
        <f t="shared" si="43"/>
        <v>-2758.0379757903975</v>
      </c>
      <c r="I89" s="18">
        <f t="shared" si="43"/>
        <v>-7227.825137502452</v>
      </c>
      <c r="J89" s="18">
        <f t="shared" si="43"/>
        <v>-11918.205834514538</v>
      </c>
      <c r="K89" s="1215">
        <f t="shared" si="43"/>
        <v>-16839.324471294975</v>
      </c>
      <c r="N89" s="3559"/>
      <c r="O89" s="3561"/>
      <c r="Z89" s="1719" t="s">
        <v>6462</v>
      </c>
      <c r="AA89" s="1721">
        <v>89</v>
      </c>
    </row>
    <row r="90" spans="1:27" ht="13.35" customHeight="1">
      <c r="A90" s="17" t="str">
        <f>$A58</f>
        <v>Mortgage A</v>
      </c>
      <c r="B90" s="342">
        <f>+K58</f>
        <v>-29961.680359586895</v>
      </c>
      <c r="C90" s="342">
        <f t="shared" ref="C90:K90" si="44">+B90</f>
        <v>-29961.680359586895</v>
      </c>
      <c r="D90" s="342">
        <f t="shared" si="44"/>
        <v>-29961.680359586895</v>
      </c>
      <c r="E90" s="342">
        <f t="shared" si="44"/>
        <v>-29961.680359586895</v>
      </c>
      <c r="F90" s="342">
        <f t="shared" si="44"/>
        <v>-29961.680359586895</v>
      </c>
      <c r="G90" s="342">
        <f t="shared" si="44"/>
        <v>-29961.680359586895</v>
      </c>
      <c r="H90" s="342">
        <f t="shared" si="44"/>
        <v>-29961.680359586895</v>
      </c>
      <c r="I90" s="342">
        <f t="shared" si="44"/>
        <v>-29961.680359586895</v>
      </c>
      <c r="J90" s="342">
        <f t="shared" si="44"/>
        <v>-29961.680359586895</v>
      </c>
      <c r="K90" s="342">
        <f t="shared" si="44"/>
        <v>-29961.680359586895</v>
      </c>
      <c r="N90" s="3559"/>
      <c r="O90" s="3561"/>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-3500</v>
      </c>
      <c r="C95" s="179">
        <f t="shared" ref="C95:K95" si="45">+B95</f>
        <v>-3500</v>
      </c>
      <c r="D95" s="179">
        <f t="shared" si="45"/>
        <v>-3500</v>
      </c>
      <c r="E95" s="179">
        <f t="shared" si="45"/>
        <v>-3500</v>
      </c>
      <c r="F95" s="179">
        <f t="shared" si="45"/>
        <v>-3500</v>
      </c>
      <c r="G95" s="179">
        <f t="shared" si="45"/>
        <v>-3500</v>
      </c>
      <c r="H95" s="179">
        <f t="shared" si="45"/>
        <v>-3500</v>
      </c>
      <c r="I95" s="179">
        <f t="shared" si="45"/>
        <v>-3500</v>
      </c>
      <c r="J95" s="179">
        <f t="shared" si="45"/>
        <v>-3500</v>
      </c>
      <c r="K95" s="179">
        <f t="shared" si="45"/>
        <v>-3500</v>
      </c>
      <c r="N95" s="3559"/>
      <c r="O95" s="3561"/>
      <c r="Z95" s="1719" t="s">
        <v>6462</v>
      </c>
      <c r="AA95" s="1721">
        <v>95</v>
      </c>
    </row>
    <row r="96" spans="1:27" ht="13.35" customHeight="1">
      <c r="A96" s="17" t="s">
        <v>1096</v>
      </c>
      <c r="B96" s="18">
        <f t="shared" ref="B96:K96" si="46">SUM(B89:B95)</f>
        <v>-13626.718347529801</v>
      </c>
      <c r="C96" s="18">
        <f t="shared" si="46"/>
        <v>-16926.272979288289</v>
      </c>
      <c r="D96" s="18">
        <f t="shared" si="46"/>
        <v>-20402.996519841974</v>
      </c>
      <c r="E96" s="18">
        <f t="shared" si="46"/>
        <v>-24063.519281851717</v>
      </c>
      <c r="F96" s="18">
        <f t="shared" si="46"/>
        <v>-27914.703992265484</v>
      </c>
      <c r="G96" s="18">
        <f t="shared" si="46"/>
        <v>-31964.653434846678</v>
      </c>
      <c r="H96" s="18">
        <f t="shared" si="46"/>
        <v>-36219.718335377293</v>
      </c>
      <c r="I96" s="18">
        <f t="shared" si="46"/>
        <v>-40689.505497089347</v>
      </c>
      <c r="J96" s="18">
        <f t="shared" si="46"/>
        <v>-45379.886194101433</v>
      </c>
      <c r="K96" s="19">
        <f t="shared" si="46"/>
        <v>-50301.004830881866</v>
      </c>
      <c r="N96" s="3559"/>
      <c r="O96" s="3561"/>
      <c r="Z96" s="1719" t="s">
        <v>6462</v>
      </c>
      <c r="AA96" s="1721">
        <v>96</v>
      </c>
    </row>
    <row r="97" spans="1:27" ht="13.35" customHeight="1">
      <c r="A97" s="17" t="str">
        <f>$A66</f>
        <v>DCR Mortgage A</v>
      </c>
      <c r="B97" s="20">
        <f t="shared" ref="B97:K97" si="47">IF(B90=0,"",-B89/B90)</f>
        <v>0.66201100118573508</v>
      </c>
      <c r="C97" s="20">
        <f t="shared" si="47"/>
        <v>0.55188518073245318</v>
      </c>
      <c r="D97" s="20">
        <f t="shared" si="47"/>
        <v>0.43584617695070327</v>
      </c>
      <c r="E97" s="20">
        <f t="shared" si="47"/>
        <v>0.31367269675607601</v>
      </c>
      <c r="F97" s="20">
        <f t="shared" si="47"/>
        <v>0.18513569001301139</v>
      </c>
      <c r="G97" s="20">
        <f t="shared" si="47"/>
        <v>4.9964718492873546E-2</v>
      </c>
      <c r="H97" s="20">
        <f t="shared" si="47"/>
        <v>-9.2052179406816981E-2</v>
      </c>
      <c r="I97" s="20">
        <f t="shared" si="47"/>
        <v>-0.2412356400160898</v>
      </c>
      <c r="J97" s="20">
        <f t="shared" si="47"/>
        <v>-0.39778162277540774</v>
      </c>
      <c r="K97" s="21">
        <f t="shared" si="47"/>
        <v>-0.56202870697493656</v>
      </c>
      <c r="N97" s="3559"/>
      <c r="O97" s="3561"/>
      <c r="Z97" s="1719" t="s">
        <v>6462</v>
      </c>
      <c r="AA97" s="1721">
        <v>97</v>
      </c>
    </row>
    <row r="98" spans="1:27" ht="13.35" customHeight="1">
      <c r="A98" s="17" t="str">
        <f>$A67</f>
        <v>DCR Mortgage B</v>
      </c>
      <c r="B98" s="20" t="str">
        <f t="shared" ref="B98:K98" si="48">IF(B91=0,"",-(B89+B90)/B91)</f>
        <v/>
      </c>
      <c r="C98" s="20" t="str">
        <f t="shared" si="48"/>
        <v/>
      </c>
      <c r="D98" s="20" t="str">
        <f t="shared" si="48"/>
        <v/>
      </c>
      <c r="E98" s="20" t="str">
        <f t="shared" si="48"/>
        <v/>
      </c>
      <c r="F98" s="20" t="str">
        <f t="shared" si="48"/>
        <v/>
      </c>
      <c r="G98" s="20" t="str">
        <f t="shared" si="48"/>
        <v/>
      </c>
      <c r="H98" s="20" t="str">
        <f t="shared" si="48"/>
        <v/>
      </c>
      <c r="I98" s="20" t="str">
        <f t="shared" si="48"/>
        <v/>
      </c>
      <c r="J98" s="20" t="str">
        <f t="shared" si="48"/>
        <v/>
      </c>
      <c r="K98" s="21" t="str">
        <f t="shared" si="48"/>
        <v/>
      </c>
      <c r="N98" s="3559"/>
      <c r="O98" s="3561"/>
      <c r="Z98" s="1719" t="s">
        <v>6462</v>
      </c>
      <c r="AA98" s="1721">
        <v>98</v>
      </c>
    </row>
    <row r="99" spans="1:27" ht="13.35" customHeight="1">
      <c r="A99" s="17" t="str">
        <f>$A68</f>
        <v>DCR Mortgage C</v>
      </c>
      <c r="B99" s="20" t="str">
        <f t="shared" ref="B99:K99" si="49">IF(B92=0,"",-(B89+B90+B91)/B92)</f>
        <v/>
      </c>
      <c r="C99" s="20" t="str">
        <f t="shared" si="49"/>
        <v/>
      </c>
      <c r="D99" s="20" t="str">
        <f t="shared" si="49"/>
        <v/>
      </c>
      <c r="E99" s="20" t="str">
        <f t="shared" si="49"/>
        <v/>
      </c>
      <c r="F99" s="20" t="str">
        <f t="shared" si="49"/>
        <v/>
      </c>
      <c r="G99" s="20" t="str">
        <f t="shared" si="49"/>
        <v/>
      </c>
      <c r="H99" s="20" t="str">
        <f t="shared" si="49"/>
        <v/>
      </c>
      <c r="I99" s="20" t="str">
        <f t="shared" si="49"/>
        <v/>
      </c>
      <c r="J99" s="20" t="str">
        <f t="shared" si="49"/>
        <v/>
      </c>
      <c r="K99" s="21" t="str">
        <f t="shared" si="49"/>
        <v/>
      </c>
      <c r="N99" s="3559"/>
      <c r="O99" s="3561"/>
      <c r="Z99" s="1719" t="s">
        <v>6462</v>
      </c>
      <c r="AA99" s="1721">
        <v>99</v>
      </c>
    </row>
    <row r="100" spans="1:27" ht="13.35" customHeight="1">
      <c r="A100" s="17" t="str">
        <f>$A69</f>
        <v>DCR Other Source</v>
      </c>
      <c r="B100" s="20" t="str">
        <f t="shared" ref="B100:K100" si="50">IF(B93=0,"",-(B89+B90+B91+B92)/B93)</f>
        <v/>
      </c>
      <c r="C100" s="20" t="str">
        <f t="shared" si="50"/>
        <v/>
      </c>
      <c r="D100" s="20" t="str">
        <f t="shared" si="50"/>
        <v/>
      </c>
      <c r="E100" s="20" t="str">
        <f t="shared" si="50"/>
        <v/>
      </c>
      <c r="F100" s="20" t="str">
        <f t="shared" si="50"/>
        <v/>
      </c>
      <c r="G100" s="20" t="str">
        <f t="shared" si="50"/>
        <v/>
      </c>
      <c r="H100" s="20" t="str">
        <f t="shared" si="50"/>
        <v/>
      </c>
      <c r="I100" s="20" t="str">
        <f t="shared" si="50"/>
        <v/>
      </c>
      <c r="J100" s="20" t="str">
        <f t="shared" si="50"/>
        <v/>
      </c>
      <c r="K100" s="21" t="str">
        <f t="shared" si="50"/>
        <v/>
      </c>
      <c r="N100" s="3559"/>
      <c r="O100" s="3561"/>
      <c r="Z100" s="1719" t="s">
        <v>6462</v>
      </c>
      <c r="AA100" s="1721">
        <v>100</v>
      </c>
    </row>
    <row r="101" spans="1:27" ht="13.35" customHeight="1">
      <c r="A101" s="341" t="s">
        <v>3213</v>
      </c>
      <c r="B101" s="20">
        <f t="shared" ref="B101:K101" si="51">IF(AND(B90=0,B91=0,B92=0,B93=0),"",-B89/(B90+B91+B92+B93))</f>
        <v>0.66201100118573508</v>
      </c>
      <c r="C101" s="20">
        <f t="shared" si="51"/>
        <v>0.55188518073245318</v>
      </c>
      <c r="D101" s="20">
        <f t="shared" si="51"/>
        <v>0.43584617695070327</v>
      </c>
      <c r="E101" s="20">
        <f t="shared" si="51"/>
        <v>0.31367269675607601</v>
      </c>
      <c r="F101" s="20">
        <f t="shared" si="51"/>
        <v>0.18513569001301139</v>
      </c>
      <c r="G101" s="20">
        <f t="shared" si="51"/>
        <v>4.9964718492873546E-2</v>
      </c>
      <c r="H101" s="20">
        <f t="shared" si="51"/>
        <v>-9.2052179406816981E-2</v>
      </c>
      <c r="I101" s="20">
        <f t="shared" si="51"/>
        <v>-0.2412356400160898</v>
      </c>
      <c r="J101" s="20">
        <f t="shared" si="51"/>
        <v>-0.39778162277540774</v>
      </c>
      <c r="K101" s="21">
        <f t="shared" si="51"/>
        <v>-0.56202870697493656</v>
      </c>
      <c r="N101" s="3559"/>
      <c r="O101" s="3561"/>
      <c r="Z101" s="1719" t="s">
        <v>6462</v>
      </c>
      <c r="AA101" s="1721">
        <v>101</v>
      </c>
    </row>
    <row r="102" spans="1:27" ht="13.35" customHeight="1">
      <c r="A102" s="17" t="s">
        <v>718</v>
      </c>
      <c r="B102" s="220">
        <f>IF(OR(B86="Choose mgt fee",B86="Choose One!"),"",(B79+B80+B81+B82+B83) / -(B85+B86+B87))</f>
        <v>1.049714626349844</v>
      </c>
      <c r="C102" s="220">
        <f t="shared" ref="C102:K102" si="52">IF(OR(C86="Choose mgt fee",C86="Choose One!"),"",(C79+C80+C81+C82+C83) / -(C85+C86+C87))</f>
        <v>1.0402662122252395</v>
      </c>
      <c r="D102" s="220">
        <f t="shared" si="52"/>
        <v>1.0308955027698425</v>
      </c>
      <c r="E102" s="220">
        <f t="shared" si="52"/>
        <v>1.0216025945303038</v>
      </c>
      <c r="F102" s="220">
        <f t="shared" si="52"/>
        <v>1.0123875084712506</v>
      </c>
      <c r="G102" s="220">
        <f t="shared" si="52"/>
        <v>1.0032480194533659</v>
      </c>
      <c r="H102" s="220">
        <f t="shared" si="52"/>
        <v>0.99418635421951984</v>
      </c>
      <c r="I102" s="220">
        <f t="shared" si="52"/>
        <v>0.98519829835702566</v>
      </c>
      <c r="J102" s="220">
        <f t="shared" si="52"/>
        <v>0.97628795572725202</v>
      </c>
      <c r="K102" s="221">
        <f t="shared" si="52"/>
        <v>0.96745128966388627</v>
      </c>
      <c r="N102" s="3559"/>
      <c r="O102" s="3561"/>
      <c r="Z102" s="1719" t="s">
        <v>6462</v>
      </c>
      <c r="AA102" s="1721">
        <v>102</v>
      </c>
    </row>
    <row r="103" spans="1:27" ht="13.35" customHeight="1">
      <c r="A103" s="341" t="s">
        <v>2405</v>
      </c>
      <c r="B103" s="177">
        <f>IF('Part II-Sources of Funds'!$I$40="","",-FV(0.0664/12,12,B90/12,K72))</f>
        <v>322996.33742159931</v>
      </c>
      <c r="C103" s="177">
        <f>IF('Part II-Sources of Funds'!$I$40="","",-FV(0.0664/12,12,C90/12,B103))</f>
        <v>314217.6428760906</v>
      </c>
      <c r="D103" s="177">
        <f>IF('Part II-Sources of Funds'!$I$40="","",-FV(0.0664/12,12,D90/12,C103))</f>
        <v>304837.97195111623</v>
      </c>
      <c r="E103" s="177">
        <f>IF('Part II-Sources of Funds'!$I$40="","",-FV(0.0664/12,12,E90/12,D103))</f>
        <v>294816.18269706133</v>
      </c>
      <c r="F103" s="177">
        <f>IF('Part II-Sources of Funds'!$I$40="","",-FV(0.0664/12,12,F90/12,E103))</f>
        <v>284108.31664759608</v>
      </c>
      <c r="G103" s="177">
        <f>IF('Part II-Sources of Funds'!$I$40="","",-FV(0.0664/12,12,G90/12,F103))</f>
        <v>272667.4060051277</v>
      </c>
      <c r="H103" s="177">
        <f>IF('Part II-Sources of Funds'!$I$40="","",-FV(0.0664/12,12,H90/12,G103))</f>
        <v>260443.2676264559</v>
      </c>
      <c r="I103" s="177">
        <f>IF('Part II-Sources of Funds'!$I$40="","",-FV(0.0664/12,12,I90/12,H103))</f>
        <v>247382.28290499162</v>
      </c>
      <c r="J103" s="177">
        <f>IF('Part II-Sources of Funds'!$I$40="","",-FV(0.0664/12,12,J90/12,I103))</f>
        <v>233427.16258404034</v>
      </c>
      <c r="K103" s="177">
        <f>IF('Part II-Sources of Funds'!$I$40="","",-FV(0.0664/12,12,K90/12,J103))</f>
        <v>218516.69546955204</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538191.75386878836</v>
      </c>
      <c r="C109" s="15">
        <f>$B$15*(1+$B$6)^(C108-1)</f>
        <v>548955.588946164</v>
      </c>
      <c r="D109" s="15">
        <f>$B$15*(1+$B$6)^(D108-1)</f>
        <v>559934.70072508743</v>
      </c>
      <c r="E109" s="15">
        <f>$B$15*(1+$B$6)^(E108-1)</f>
        <v>571133.39473958919</v>
      </c>
      <c r="F109" s="497">
        <f>$B$15*(1+$B$6)^(F108-1)</f>
        <v>582556.06263438088</v>
      </c>
      <c r="G109" s="13"/>
      <c r="H109" s="13"/>
      <c r="I109" s="13"/>
      <c r="J109" s="13"/>
      <c r="K109" s="13"/>
      <c r="N109" s="3562"/>
      <c r="O109" s="3564"/>
      <c r="Z109" s="1719" t="s">
        <v>6463</v>
      </c>
      <c r="AA109" s="1721">
        <v>109</v>
      </c>
    </row>
    <row r="110" spans="1:27" ht="13.35" customHeight="1">
      <c r="A110" s="17" t="s">
        <v>952</v>
      </c>
      <c r="B110" s="18">
        <f>$B$16*(1+$B$6)^(B108-1)</f>
        <v>10763.835077375768</v>
      </c>
      <c r="C110" s="18">
        <f>$B$16*(1+$B$6)^(C108-1)</f>
        <v>10979.111778923281</v>
      </c>
      <c r="D110" s="18">
        <f>$B$16*(1+$B$6)^(D108-1)</f>
        <v>11198.694014501749</v>
      </c>
      <c r="E110" s="18">
        <f>$B$16*(1+$B$6)^(E108-1)</f>
        <v>11422.667894791784</v>
      </c>
      <c r="F110" s="19">
        <f>$B$16*(1+$B$6)^(F108-1)</f>
        <v>11651.121252687621</v>
      </c>
      <c r="G110" s="13"/>
      <c r="H110" s="13"/>
      <c r="I110" s="13"/>
      <c r="J110" s="13"/>
      <c r="K110" s="13"/>
      <c r="N110" s="3559"/>
      <c r="O110" s="3561"/>
      <c r="Z110" s="1719" t="s">
        <v>6463</v>
      </c>
      <c r="AA110" s="1721">
        <v>110</v>
      </c>
    </row>
    <row r="111" spans="1:27" ht="13.35" customHeight="1">
      <c r="A111" s="17" t="s">
        <v>2216</v>
      </c>
      <c r="B111" s="18">
        <f>-(B109+B110)*$B$9</f>
        <v>-38426.891226231492</v>
      </c>
      <c r="C111" s="18">
        <f>-(C109+C110)*$B$9</f>
        <v>-39195.429050756116</v>
      </c>
      <c r="D111" s="18">
        <f>-(D109+D110)*$B$9</f>
        <v>-39979.337631771246</v>
      </c>
      <c r="E111" s="18">
        <f>-(E109+E110)*$B$9</f>
        <v>-40778.924384406673</v>
      </c>
      <c r="F111" s="19">
        <f>-(F109+F110)*$B$9</f>
        <v>-41594.502872094803</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510528.69771993265</v>
      </c>
      <c r="C114" s="18">
        <f>SUM(C109:C113)</f>
        <v>520739.27167433122</v>
      </c>
      <c r="D114" s="18">
        <f>SUM(D109:D113)</f>
        <v>531154.05710781796</v>
      </c>
      <c r="E114" s="18">
        <f>SUM(E109:E113)</f>
        <v>541777.13824997435</v>
      </c>
      <c r="F114" s="19">
        <f>SUM(F109:F113)</f>
        <v>552612.68101497367</v>
      </c>
      <c r="G114" s="13"/>
      <c r="H114" s="13"/>
      <c r="I114" s="13"/>
      <c r="J114" s="13"/>
      <c r="K114" s="13"/>
      <c r="N114" s="3559"/>
      <c r="O114" s="3561"/>
      <c r="Z114" s="1719" t="s">
        <v>6463</v>
      </c>
      <c r="AA114" s="1721">
        <v>114</v>
      </c>
    </row>
    <row r="115" spans="1:27" ht="13.35" customHeight="1">
      <c r="A115" s="17" t="s">
        <v>572</v>
      </c>
      <c r="B115" s="18">
        <f>$B$21*(1+$B$7)^(B108-1)</f>
        <v>-470091.41805325978</v>
      </c>
      <c r="C115" s="18">
        <f>$B$21*(1+$B$7)^(C108-1)</f>
        <v>-484194.16059485765</v>
      </c>
      <c r="D115" s="18">
        <f>$B$21*(1+$B$7)^(D108-1)</f>
        <v>-498719.9854127033</v>
      </c>
      <c r="E115" s="18">
        <f>$B$21*(1+$B$7)^(E108-1)</f>
        <v>-513681.58497508441</v>
      </c>
      <c r="F115" s="19">
        <f>$B$21*(1+$B$7)^(F108-1)</f>
        <v>-529092.03252433683</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-35737</v>
      </c>
      <c r="C116" s="18">
        <f>IF(AND('Part VI-Pro Forma'!$G$9="Yes",'Part VI-Pro Forma'!$G$10="Yes"),"Choose One!",IF('Part VI-Pro Forma'!$G$9="Yes",ROUND((-$K$9*(1+'Part VI-Pro Forma'!$B$7)^('Part VI-Pro Forma'!C108-1)),),IF('Part VI-Pro Forma'!$G$10="Yes",ROUND((-(SUM(C109:C112)*'Part VI-Pro Forma'!$K$10)),),"Choose mgt fee")))</f>
        <v>-36452</v>
      </c>
      <c r="D116" s="18">
        <f>IF(AND('Part VI-Pro Forma'!$G$9="Yes",'Part VI-Pro Forma'!$G$10="Yes"),"Choose One!",IF('Part VI-Pro Forma'!$G$9="Yes",ROUND((-$K$9*(1+'Part VI-Pro Forma'!$B$7)^('Part VI-Pro Forma'!D108-1)),),IF('Part VI-Pro Forma'!$G$10="Yes",ROUND((-(SUM(D109:D112)*'Part VI-Pro Forma'!$K$10)),),"Choose mgt fee")))</f>
        <v>-37181</v>
      </c>
      <c r="E116" s="18">
        <f>IF(AND('Part VI-Pro Forma'!$G$9="Yes",'Part VI-Pro Forma'!$G$10="Yes"),"Choose One!",IF('Part VI-Pro Forma'!$G$9="Yes",ROUND((-$K$9*(1+'Part VI-Pro Forma'!$B$7)^('Part VI-Pro Forma'!E108-1)),),IF('Part VI-Pro Forma'!$G$10="Yes",ROUND((-(SUM(E109:E112)*'Part VI-Pro Forma'!$K$10)),),"Choose mgt fee")))</f>
        <v>-37924</v>
      </c>
      <c r="F116" s="19">
        <f>IF(AND('Part VI-Pro Forma'!$G$9="Yes",'Part VI-Pro Forma'!$G$10="Yes"),"Choose One!",IF('Part VI-Pro Forma'!$G$9="Yes",ROUND((-$K$9*(1+'Part VI-Pro Forma'!$B$7)^('Part VI-Pro Forma'!F108-1)),),IF('Part VI-Pro Forma'!$G$10="Yes",ROUND((-(SUM(F109:F112)*'Part VI-Pro Forma'!$K$10)),),"Choose mgt fee")))</f>
        <v>-38683</v>
      </c>
      <c r="G116" s="13"/>
      <c r="H116" s="13"/>
      <c r="I116" s="13"/>
      <c r="J116" s="13"/>
      <c r="K116" s="13"/>
      <c r="N116" s="3559"/>
      <c r="O116" s="3561"/>
      <c r="Z116" s="1719" t="s">
        <v>6463</v>
      </c>
      <c r="AA116" s="1721">
        <v>116</v>
      </c>
    </row>
    <row r="117" spans="1:27" ht="13.35" customHeight="1">
      <c r="A117" s="17" t="s">
        <v>1128</v>
      </c>
      <c r="B117" s="18">
        <f>$B$23*(1+$B$8)^(B108-1)</f>
        <v>-26699.887183086252</v>
      </c>
      <c r="C117" s="18">
        <f>$B$23*(1+$B$8)^(C108-1)</f>
        <v>-27500.883798578841</v>
      </c>
      <c r="D117" s="18">
        <f>$B$23*(1+$B$8)^(D108-1)</f>
        <v>-28325.910312536202</v>
      </c>
      <c r="E117" s="18">
        <f>$B$23*(1+$B$8)^(E108-1)</f>
        <v>-29175.68762191229</v>
      </c>
      <c r="F117" s="19">
        <f>$B$23*(1+$B$8)^(F108-1)</f>
        <v>-30050.958250569653</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-21999.607516413384</v>
      </c>
      <c r="C119" s="18">
        <f>SUM(C114:C118)</f>
        <v>-27407.772719105269</v>
      </c>
      <c r="D119" s="18">
        <f>SUM(D114:D118)</f>
        <v>-33072.838617421541</v>
      </c>
      <c r="E119" s="18">
        <f>SUM(E114:E118)</f>
        <v>-39004.134347022351</v>
      </c>
      <c r="F119" s="1215">
        <f>SUM(F114:F118)</f>
        <v>-45213.30975993281</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-27481.410572564375</v>
      </c>
      <c r="C120" s="342">
        <f>IF('Part II-Sources of Funds'!$P$40="", 0,-'Part II-Sources of Funds'!$P$40)</f>
        <v>-27481.410572564375</v>
      </c>
      <c r="D120" s="342">
        <f>IF('Part II-Sources of Funds'!$P$40="", 0,-'Part II-Sources of Funds'!$P$40)</f>
        <v>-27481.410572564375</v>
      </c>
      <c r="E120" s="342">
        <f>IF('Part II-Sources of Funds'!$P$40="", 0,-'Part II-Sources of Funds'!$P$40)</f>
        <v>-27481.410572564375</v>
      </c>
      <c r="F120" s="342">
        <f>IF('Part II-Sources of Funds'!$P$40="", 0,-'Part II-Sources of Funds'!$P$40)</f>
        <v>-27481.410572564375</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-3500</v>
      </c>
      <c r="C125" s="179">
        <f>+B125</f>
        <v>-3500</v>
      </c>
      <c r="D125" s="179">
        <f>+C125</f>
        <v>-3500</v>
      </c>
      <c r="E125" s="179">
        <f>+D125</f>
        <v>-3500</v>
      </c>
      <c r="F125" s="179">
        <f>+E125</f>
        <v>-3500</v>
      </c>
      <c r="G125" s="13"/>
      <c r="H125" s="13"/>
      <c r="I125" s="13"/>
      <c r="J125" s="13"/>
      <c r="K125" s="13"/>
      <c r="N125" s="3559"/>
      <c r="O125" s="3561"/>
      <c r="Z125" s="1719" t="s">
        <v>6463</v>
      </c>
      <c r="AA125" s="1721">
        <v>125</v>
      </c>
    </row>
    <row r="126" spans="1:27" ht="13.35" customHeight="1">
      <c r="A126" s="17" t="s">
        <v>1096</v>
      </c>
      <c r="B126" s="18">
        <f>SUM(B119:B125)</f>
        <v>-52981.018088977755</v>
      </c>
      <c r="C126" s="18">
        <f>SUM(C119:C125)</f>
        <v>-58389.183291669644</v>
      </c>
      <c r="D126" s="18">
        <f>SUM(D119:D125)</f>
        <v>-64054.249189985916</v>
      </c>
      <c r="E126" s="18">
        <f>SUM(E119:E125)</f>
        <v>-69985.544919586726</v>
      </c>
      <c r="F126" s="19">
        <f>SUM(F119:F125)</f>
        <v>-76194.720332497178</v>
      </c>
      <c r="G126" s="13"/>
      <c r="H126" s="13"/>
      <c r="I126" s="13"/>
      <c r="J126" s="13"/>
      <c r="K126" s="13"/>
      <c r="N126" s="3559"/>
      <c r="O126" s="3561"/>
      <c r="Z126" s="1719" t="s">
        <v>6463</v>
      </c>
      <c r="AA126" s="1721">
        <v>126</v>
      </c>
    </row>
    <row r="127" spans="1:27" ht="13.35" customHeight="1">
      <c r="A127" s="17" t="str">
        <f>$A97</f>
        <v>DCR Mortgage A</v>
      </c>
      <c r="B127" s="20">
        <f>IF(B120=0,"",-B119/B120)</f>
        <v>-0.80052686736452816</v>
      </c>
      <c r="C127" s="20">
        <f>IF(C120=0,"",-C119/C120)</f>
        <v>-0.99732044855322599</v>
      </c>
      <c r="D127" s="20">
        <f>IF(D120=0,"",-D119/D120)</f>
        <v>-1.2034621923824855</v>
      </c>
      <c r="E127" s="20">
        <f>IF(E120=0,"",-E119/E120)</f>
        <v>-1.4192915696242137</v>
      </c>
      <c r="F127" s="21">
        <f>IF(F120=0,"",-F119/F120)</f>
        <v>-1.6452324978205737</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-0.80052686736452816</v>
      </c>
      <c r="C131" s="20">
        <f>IF(AND(C120=0,C121=0,C122=0,C123=0),"",-C119/(C120+C121+C122+C123))</f>
        <v>-0.99732044855322599</v>
      </c>
      <c r="D131" s="20">
        <f>IF(AND(D120=0,D121=0,D122=0,D123=0),"",-D119/(D120+D121+D122+D123))</f>
        <v>-1.2034621923824855</v>
      </c>
      <c r="E131" s="20">
        <f>IF(AND(E120=0,E121=0,E122=0,E123=0),"",-E119/(E120+E121+E122+E123))</f>
        <v>-1.4192915696242137</v>
      </c>
      <c r="F131" s="21">
        <f>IF(AND(F120=0,F121=0,F122=0,F123=0),"",-F119/(F120+F121+F122+F123))</f>
        <v>-1.6452324978205737</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0.95868837900240889</v>
      </c>
      <c r="C132" s="220">
        <f>IF(OR(C116="Choose mgt fee",C116="Choose One!"),"",(C109+C110+C111+C112+C113) / -(C115+C116+C117))</f>
        <v>0.94999923287111043</v>
      </c>
      <c r="D132" s="220">
        <f>IF(OR(D116="Choose mgt fee",D116="Choose One!"),"",(D109+D110+D111+D112+D113) / -(D115+D116+D117))</f>
        <v>0.9413837963627899</v>
      </c>
      <c r="E132" s="220">
        <f>IF(OR(E116="Choose mgt fee",E116="Choose One!"),"",(E109+E110+E111+E112+E113) / -(E115+E116+E117))</f>
        <v>0.93284195584920782</v>
      </c>
      <c r="F132" s="498">
        <f>IF(OR(F116="Choose mgt fee",F116="Choose One!"),"",(F109+F110+F111+F112+F113) / -(F115+F116+F117))</f>
        <v>0.92437045150658814</v>
      </c>
      <c r="G132" s="13"/>
      <c r="H132" s="13"/>
      <c r="I132" s="13"/>
      <c r="J132" s="13"/>
      <c r="K132" s="13"/>
      <c r="N132" s="3559"/>
      <c r="O132" s="3561"/>
      <c r="Z132" s="1719" t="s">
        <v>6463</v>
      </c>
      <c r="AA132" s="1721">
        <v>132</v>
      </c>
    </row>
    <row r="133" spans="1:27" ht="13.35" customHeight="1">
      <c r="A133" s="341" t="s">
        <v>2405</v>
      </c>
      <c r="B133" s="177">
        <f>IF('Part II-Sources of Funds'!$I$40="","",-FV(0.0664/12,12,B120/12,K103))</f>
        <v>205142.64233190028</v>
      </c>
      <c r="C133" s="177">
        <f>IF('Part II-Sources of Funds'!$I$40="","",-FV(0.0664/12,12,C120/12,B133))</f>
        <v>190853.02139635093</v>
      </c>
      <c r="D133" s="177">
        <f>IF('Part II-Sources of Funds'!$I$40="","",-FV(0.0664/12,12,D120/12,C133))</f>
        <v>175585.15425240874</v>
      </c>
      <c r="E133" s="177">
        <f>IF('Part II-Sources of Funds'!$I$40="","",-FV(0.0664/12,12,E120/12,D133))</f>
        <v>159272.07161876449</v>
      </c>
      <c r="F133" s="177">
        <f>IF('Part II-Sources of Funds'!$I$40="","",-FV(0.0664/12,12,F120/12,E133))</f>
        <v>141842.21959665723</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7109</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5" zoomScaleNormal="100" workbookViewId="0">
      <selection activeCell="E92" sqref="E92"/>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West Pine Residences, Sylvester, Worth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6770</v>
      </c>
      <c r="Q3" s="3685" t="s">
        <v>6530</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6771</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1"/>
      <c r="Q31" s="3702"/>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703" t="s">
        <v>7050</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6774</v>
      </c>
      <c r="C39" s="3719"/>
      <c r="D39" s="3719"/>
      <c r="E39" s="3719"/>
      <c r="F39" s="3719"/>
      <c r="G39" s="3719"/>
      <c r="H39" s="3719"/>
      <c r="I39" s="3719"/>
      <c r="J39" s="3719"/>
      <c r="K39" s="3719"/>
      <c r="L39" s="3719"/>
      <c r="M39" s="3719"/>
      <c r="N39" s="3719"/>
      <c r="O39" s="3719"/>
      <c r="P39" s="3720" t="s">
        <v>2649</v>
      </c>
      <c r="Q39" s="3721"/>
    </row>
    <row r="40" spans="1:17" ht="20.25" customHeight="1">
      <c r="B40" s="2045" t="s">
        <v>3239</v>
      </c>
      <c r="D40" s="2045"/>
      <c r="E40" s="2045"/>
      <c r="F40" s="2045"/>
      <c r="G40" s="2045"/>
      <c r="H40" s="2043"/>
      <c r="I40" s="2031"/>
      <c r="J40" s="2031"/>
    </row>
    <row r="41" spans="1:17" ht="20.25" customHeight="1">
      <c r="A41" s="3722" t="s">
        <v>7051</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6775</v>
      </c>
      <c r="C47" s="2042"/>
      <c r="D47" s="2036"/>
      <c r="E47" s="2036"/>
      <c r="F47" s="2036"/>
      <c r="G47" s="2036"/>
      <c r="H47" s="2036"/>
      <c r="I47" s="2036"/>
      <c r="J47" s="2036"/>
      <c r="L47" s="2051"/>
      <c r="M47" s="2052"/>
      <c r="O47" s="2032"/>
      <c r="P47" s="3720" t="s">
        <v>2649</v>
      </c>
      <c r="Q47" s="3721"/>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03" t="s">
        <v>7055</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7052</v>
      </c>
      <c r="J53" s="3714"/>
      <c r="K53" s="3714"/>
      <c r="L53" s="3714"/>
      <c r="M53" s="3714"/>
      <c r="N53" s="3714"/>
      <c r="O53" s="3714"/>
      <c r="P53" s="3714"/>
      <c r="Q53" s="3715"/>
    </row>
    <row r="54" spans="1:17" ht="20.25" customHeight="1">
      <c r="A54" s="2053"/>
      <c r="B54" s="2030" t="s">
        <v>6776</v>
      </c>
      <c r="D54" s="2056"/>
      <c r="E54" s="2056"/>
      <c r="F54" s="2056"/>
      <c r="I54" s="3716">
        <v>0.95899999999999996</v>
      </c>
      <c r="J54" s="3717"/>
      <c r="K54" s="3718"/>
      <c r="L54" s="2044"/>
      <c r="M54" s="2057"/>
      <c r="N54" s="2057"/>
      <c r="O54" s="2057"/>
      <c r="P54" s="2057"/>
      <c r="Q54" s="2026"/>
    </row>
    <row r="55" spans="1:17" ht="20.25" customHeight="1">
      <c r="A55" s="2053"/>
      <c r="B55" s="2030" t="s">
        <v>6777</v>
      </c>
      <c r="D55" s="2056"/>
      <c r="E55" s="2056"/>
      <c r="F55" s="2056"/>
      <c r="H55" s="2044" t="s">
        <v>6778</v>
      </c>
      <c r="I55" s="3716">
        <v>5.0999999999999997E-2</v>
      </c>
      <c r="J55" s="3717"/>
      <c r="K55" s="3718"/>
      <c r="L55" s="2058"/>
      <c r="M55" s="2059" t="s">
        <v>6779</v>
      </c>
      <c r="N55" s="3716"/>
      <c r="O55" s="3718"/>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03" t="s">
        <v>7110</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4"/>
      <c r="Q62" s="3735"/>
    </row>
    <row r="63" spans="1:17" ht="20.25" customHeight="1">
      <c r="A63" s="2053"/>
      <c r="B63" s="2030" t="s">
        <v>6780</v>
      </c>
      <c r="I63" s="2062"/>
      <c r="J63" s="3736"/>
      <c r="K63" s="3736"/>
      <c r="L63" s="3736"/>
      <c r="M63" s="3736"/>
      <c r="N63" s="3736"/>
      <c r="O63" s="3736"/>
      <c r="P63" s="3736"/>
      <c r="Q63" s="3737"/>
    </row>
    <row r="64" spans="1:17" ht="20.25" customHeight="1">
      <c r="A64" s="2053"/>
      <c r="B64" s="2030" t="s">
        <v>3947</v>
      </c>
      <c r="O64" s="2044"/>
      <c r="P64" s="2065"/>
      <c r="Q64" s="2066"/>
    </row>
    <row r="65" spans="1:17" ht="33" customHeight="1">
      <c r="B65" s="2042"/>
      <c r="C65" s="3711" t="s">
        <v>6781</v>
      </c>
      <c r="D65" s="3711"/>
      <c r="E65" s="3711"/>
      <c r="F65" s="3711"/>
      <c r="G65" s="3711"/>
      <c r="H65" s="3711"/>
      <c r="I65" s="3711"/>
      <c r="J65" s="3711"/>
      <c r="K65" s="3711"/>
      <c r="L65" s="3711"/>
      <c r="M65" s="3711"/>
      <c r="N65" s="3711"/>
      <c r="O65" s="3711"/>
      <c r="P65" s="2065"/>
      <c r="Q65" s="2066"/>
    </row>
    <row r="66" spans="1:17" ht="33" customHeight="1">
      <c r="A66" s="2053"/>
      <c r="B66" s="2042"/>
      <c r="C66" s="3711" t="s">
        <v>6782</v>
      </c>
      <c r="D66" s="3711"/>
      <c r="E66" s="3711"/>
      <c r="F66" s="3711"/>
      <c r="G66" s="3711"/>
      <c r="H66" s="3711"/>
      <c r="I66" s="3711"/>
      <c r="J66" s="3711"/>
      <c r="K66" s="3711"/>
      <c r="L66" s="3711"/>
      <c r="M66" s="3711"/>
      <c r="N66" s="3711"/>
      <c r="O66" s="3711"/>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2" t="s">
        <v>7053</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6783</v>
      </c>
      <c r="C74" s="3711"/>
      <c r="D74" s="3711"/>
      <c r="E74" s="3711"/>
      <c r="F74" s="3711"/>
      <c r="G74" s="3711"/>
      <c r="H74" s="3711"/>
      <c r="I74" s="3711"/>
      <c r="J74" s="3711"/>
      <c r="K74" s="3712"/>
      <c r="L74" s="3730" t="s">
        <v>7107</v>
      </c>
      <c r="M74" s="3731"/>
      <c r="N74" s="3731"/>
      <c r="O74" s="3731"/>
      <c r="P74" s="3732"/>
      <c r="Q74" s="3733"/>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39" t="s">
        <v>6790</v>
      </c>
      <c r="C82" s="3739"/>
      <c r="D82" s="3739"/>
      <c r="E82" s="3739"/>
      <c r="F82" s="3739"/>
      <c r="G82" s="3739"/>
      <c r="H82" s="3739"/>
      <c r="I82" s="3739"/>
      <c r="J82" s="3739"/>
      <c r="K82" s="3739"/>
      <c r="L82" s="3739"/>
      <c r="M82" s="3739"/>
      <c r="N82" s="3739"/>
      <c r="O82" s="3739"/>
      <c r="P82" s="3739"/>
      <c r="Q82" s="3739"/>
    </row>
    <row r="83" spans="1:23" ht="20.25" customHeight="1">
      <c r="B83" s="3736"/>
      <c r="C83" s="3736"/>
      <c r="D83" s="3736"/>
      <c r="E83" s="3736"/>
      <c r="F83" s="3736"/>
      <c r="G83" s="3736"/>
      <c r="H83" s="3736"/>
      <c r="I83" s="3736"/>
      <c r="J83" s="3736"/>
      <c r="K83" s="3736"/>
      <c r="L83" s="3736"/>
      <c r="M83" s="3736"/>
      <c r="N83" s="3736"/>
      <c r="O83" s="3736"/>
      <c r="P83" s="3736"/>
      <c r="Q83" s="3737"/>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3" t="s">
        <v>7108</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7054</v>
      </c>
      <c r="M91" s="3741"/>
      <c r="N91" s="3742"/>
      <c r="O91" s="3706" t="s">
        <v>1646</v>
      </c>
      <c r="P91" s="3743"/>
      <c r="Q91" s="3744"/>
    </row>
    <row r="92" spans="1:23" ht="20.25" customHeight="1">
      <c r="A92" s="2053"/>
      <c r="B92" s="2030" t="s">
        <v>636</v>
      </c>
      <c r="G92" s="3736" t="s">
        <v>7117</v>
      </c>
      <c r="H92" s="3736"/>
      <c r="I92" s="3736"/>
      <c r="J92" s="3736"/>
      <c r="K92" s="3736"/>
      <c r="L92" s="3736"/>
      <c r="M92" s="3736"/>
      <c r="N92" s="3736"/>
      <c r="O92" s="3736"/>
      <c r="P92" s="3736"/>
      <c r="Q92" s="3737"/>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03" t="s">
        <v>7083</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3" t="s">
        <v>7084</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3" t="s">
        <v>7111</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4"/>
      <c r="Q113" s="3735"/>
    </row>
    <row r="114" spans="1:21" ht="20.25" customHeight="1">
      <c r="A114" s="2053"/>
      <c r="B114" s="2030" t="s">
        <v>6791</v>
      </c>
      <c r="H114" s="2030" t="s">
        <v>6792</v>
      </c>
      <c r="J114" s="3749" t="s">
        <v>1710</v>
      </c>
      <c r="K114" s="3750"/>
      <c r="L114" s="3750"/>
      <c r="M114" s="3750"/>
      <c r="N114" s="3750"/>
      <c r="O114" s="3750"/>
      <c r="P114" s="3750"/>
      <c r="Q114" s="3751"/>
    </row>
    <row r="115" spans="1:21" ht="20.25" customHeight="1">
      <c r="A115" s="2053"/>
      <c r="B115" s="2053"/>
      <c r="H115" s="2030" t="s">
        <v>6793</v>
      </c>
      <c r="J115" s="3746" t="s">
        <v>7085</v>
      </c>
      <c r="K115" s="3747"/>
      <c r="L115" s="3747"/>
      <c r="M115" s="3747"/>
      <c r="N115" s="3747"/>
      <c r="O115" s="3747"/>
      <c r="P115" s="3747"/>
      <c r="Q115" s="3748"/>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3" t="s">
        <v>7086</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6795</v>
      </c>
      <c r="H123" s="2030" t="s">
        <v>6796</v>
      </c>
      <c r="J123" s="3749" t="s">
        <v>7085</v>
      </c>
      <c r="K123" s="3750"/>
      <c r="L123" s="3750"/>
      <c r="M123" s="3750"/>
      <c r="N123" s="3750"/>
      <c r="O123" s="3750"/>
      <c r="P123" s="3750"/>
      <c r="Q123" s="3751"/>
      <c r="R123" s="2084"/>
    </row>
    <row r="124" spans="1:21" ht="20.25" customHeight="1">
      <c r="A124" s="2083"/>
      <c r="B124" s="2053"/>
      <c r="H124" s="2030" t="s">
        <v>6797</v>
      </c>
      <c r="J124" s="3746" t="s">
        <v>7085</v>
      </c>
      <c r="K124" s="3747"/>
      <c r="L124" s="3747"/>
      <c r="M124" s="3747"/>
      <c r="N124" s="3747"/>
      <c r="O124" s="3747"/>
      <c r="P124" s="3747"/>
      <c r="Q124" s="3748"/>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3" t="s">
        <v>7087</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6798</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2" t="s">
        <v>7058</v>
      </c>
      <c r="N134" s="3753"/>
      <c r="O134" s="3753"/>
      <c r="P134" s="3753"/>
      <c r="Q134" s="3754"/>
    </row>
    <row r="135" spans="1:17" ht="20.25" customHeight="1">
      <c r="A135" s="2053"/>
      <c r="B135" s="2043"/>
      <c r="C135" s="2043" t="s">
        <v>6717</v>
      </c>
      <c r="E135" s="2043"/>
      <c r="F135" s="2043"/>
      <c r="G135" s="2043"/>
      <c r="H135" s="2043"/>
      <c r="J135" s="2044"/>
      <c r="K135" s="2033"/>
      <c r="L135" s="2033"/>
      <c r="M135" s="3755" t="s">
        <v>7061</v>
      </c>
      <c r="N135" s="3756"/>
      <c r="O135" s="3756"/>
      <c r="P135" s="3756"/>
      <c r="Q135" s="3757"/>
    </row>
    <row r="136" spans="1:17" ht="20.25" customHeight="1">
      <c r="A136" s="2053"/>
      <c r="B136" s="2043"/>
      <c r="C136" s="3758" t="s">
        <v>6192</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3785</v>
      </c>
      <c r="E137" s="2043"/>
      <c r="F137" s="2043"/>
      <c r="G137" s="2043"/>
      <c r="H137" s="2043"/>
      <c r="J137" s="2044"/>
      <c r="K137" s="2033"/>
      <c r="L137" s="2033"/>
      <c r="M137" s="3746" t="s">
        <v>7059</v>
      </c>
      <c r="N137" s="3747"/>
      <c r="O137" s="3747"/>
      <c r="P137" s="3747"/>
      <c r="Q137" s="3748"/>
    </row>
    <row r="138" spans="1:17" ht="20.25" customHeight="1">
      <c r="A138" s="2053" t="s">
        <v>1843</v>
      </c>
      <c r="B138" s="3711" t="s">
        <v>6800</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6801</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3899</v>
      </c>
      <c r="D140" s="3768"/>
      <c r="E140" s="3768"/>
      <c r="F140" s="3768"/>
      <c r="G140" s="3768"/>
      <c r="H140" s="3769"/>
      <c r="I140" s="2033"/>
      <c r="J140" s="3779" t="s">
        <v>6802</v>
      </c>
      <c r="K140" s="3780"/>
      <c r="L140" s="3780"/>
      <c r="M140" s="3780"/>
      <c r="N140" s="3780"/>
      <c r="O140" s="3780"/>
      <c r="P140" s="3780"/>
      <c r="Q140" s="3781"/>
    </row>
    <row r="141" spans="1:17" ht="15.75" customHeight="1">
      <c r="A141" s="2026"/>
      <c r="B141" s="2078" t="s">
        <v>1615</v>
      </c>
      <c r="C141" s="3770" t="s">
        <v>3850</v>
      </c>
      <c r="D141" s="3771"/>
      <c r="E141" s="3771"/>
      <c r="F141" s="3771"/>
      <c r="G141" s="3771"/>
      <c r="H141" s="3772"/>
      <c r="I141" s="2033"/>
      <c r="J141" s="3776" t="s">
        <v>6802</v>
      </c>
      <c r="K141" s="3777"/>
      <c r="L141" s="3777"/>
      <c r="M141" s="3777"/>
      <c r="N141" s="3777"/>
      <c r="O141" s="3777"/>
      <c r="P141" s="3777"/>
      <c r="Q141" s="3778"/>
    </row>
    <row r="142" spans="1:17" ht="15.75" customHeight="1">
      <c r="A142" s="2026"/>
      <c r="B142" s="2078" t="s">
        <v>1616</v>
      </c>
      <c r="C142" s="3770" t="s">
        <v>3849</v>
      </c>
      <c r="D142" s="3771"/>
      <c r="E142" s="3771"/>
      <c r="F142" s="3771"/>
      <c r="G142" s="3771"/>
      <c r="H142" s="3772"/>
      <c r="I142" s="2033"/>
      <c r="J142" s="3776" t="s">
        <v>6802</v>
      </c>
      <c r="K142" s="3777"/>
      <c r="L142" s="3777"/>
      <c r="M142" s="3777"/>
      <c r="N142" s="3777"/>
      <c r="O142" s="3777"/>
      <c r="P142" s="3777"/>
      <c r="Q142" s="3778"/>
    </row>
    <row r="143" spans="1:17" ht="15.75" customHeight="1">
      <c r="A143" s="2026"/>
      <c r="B143" s="2078" t="s">
        <v>2182</v>
      </c>
      <c r="C143" s="3762" t="s">
        <v>1540</v>
      </c>
      <c r="D143" s="3763"/>
      <c r="E143" s="3763"/>
      <c r="F143" s="3763"/>
      <c r="G143" s="3763"/>
      <c r="H143" s="3764"/>
      <c r="I143" s="2033"/>
      <c r="J143" s="3773" t="s">
        <v>6802</v>
      </c>
      <c r="K143" s="3774"/>
      <c r="L143" s="3774"/>
      <c r="M143" s="3774"/>
      <c r="N143" s="3774"/>
      <c r="O143" s="3774"/>
      <c r="P143" s="3774"/>
      <c r="Q143" s="377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3" t="s">
        <v>7060</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6803</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1806</v>
      </c>
      <c r="G153" s="2033"/>
      <c r="H153" s="3793"/>
      <c r="I153" s="3794"/>
      <c r="J153" s="3794"/>
      <c r="K153" s="3794"/>
      <c r="L153" s="3794"/>
      <c r="M153" s="3794"/>
      <c r="N153" s="3794"/>
      <c r="O153" s="3794"/>
      <c r="P153" s="3794"/>
      <c r="Q153" s="3795"/>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3" t="s">
        <v>7062</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3" t="s">
        <v>7063</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6197</v>
      </c>
      <c r="G168" s="2033"/>
      <c r="J168" s="2033"/>
      <c r="K168" s="2033"/>
      <c r="L168" s="2033"/>
      <c r="M168" s="2033"/>
      <c r="N168" s="2033"/>
      <c r="O168" s="2044"/>
      <c r="P168" s="2033"/>
      <c r="Q168" s="2033"/>
    </row>
    <row r="169" spans="1:17" ht="33" customHeight="1">
      <c r="B169" s="3786" t="s">
        <v>6804</v>
      </c>
      <c r="C169" s="3786"/>
      <c r="D169" s="3786"/>
      <c r="E169" s="3786"/>
      <c r="F169" s="3786"/>
      <c r="G169" s="3786"/>
      <c r="H169" s="3786"/>
      <c r="I169" s="3786"/>
      <c r="J169" s="3786"/>
      <c r="K169" s="3786"/>
      <c r="L169" s="3786"/>
      <c r="M169" s="3786"/>
      <c r="N169" s="3786"/>
      <c r="O169" s="3796"/>
      <c r="P169" s="3782" t="s">
        <v>7064</v>
      </c>
      <c r="Q169" s="3783"/>
    </row>
    <row r="170" spans="1:17" ht="20.25" customHeight="1">
      <c r="A170" s="2053" t="s">
        <v>1843</v>
      </c>
      <c r="B170" s="2029" t="s">
        <v>297</v>
      </c>
      <c r="G170" s="2033"/>
      <c r="H170" s="3784" t="s">
        <v>3253</v>
      </c>
      <c r="I170" s="3784"/>
      <c r="J170" s="3784"/>
      <c r="K170" s="3784"/>
      <c r="L170" s="3784"/>
      <c r="M170" s="3784"/>
      <c r="N170" s="3784"/>
      <c r="O170" s="3784"/>
      <c r="P170" s="3785"/>
      <c r="Q170" s="378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6" t="s">
        <v>6198</v>
      </c>
      <c r="C172" s="3786"/>
      <c r="D172" s="3786"/>
      <c r="E172" s="3786"/>
      <c r="F172" s="3786"/>
      <c r="G172" s="3786"/>
      <c r="H172" s="3786"/>
      <c r="I172" s="3786"/>
      <c r="J172" s="3786"/>
      <c r="K172" s="3786"/>
      <c r="L172" s="3786"/>
      <c r="M172" s="3786"/>
      <c r="N172" s="2439" t="s">
        <v>6199</v>
      </c>
      <c r="O172" s="2078" t="s">
        <v>698</v>
      </c>
      <c r="P172" s="3787" t="s">
        <v>7064</v>
      </c>
      <c r="Q172" s="3788"/>
    </row>
    <row r="173" spans="1:17" ht="20.25" customHeight="1">
      <c r="B173" s="2060" t="s">
        <v>3239</v>
      </c>
      <c r="M173" s="2031"/>
      <c r="N173" s="2031"/>
      <c r="O173" s="2088"/>
      <c r="P173" s="2026"/>
    </row>
    <row r="174" spans="1:17" ht="20.25" customHeight="1">
      <c r="A174" s="3703" t="s">
        <v>7112</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4"/>
      <c r="Q179" s="3803"/>
    </row>
    <row r="180" spans="1:17" ht="20.25" customHeight="1">
      <c r="A180" s="2033"/>
      <c r="B180" s="2030" t="s">
        <v>6803</v>
      </c>
      <c r="C180" s="2033"/>
      <c r="D180" s="2033"/>
      <c r="E180" s="2033"/>
      <c r="F180" s="2033"/>
      <c r="G180" s="2033"/>
      <c r="H180" s="2033"/>
      <c r="I180" s="2033"/>
      <c r="J180" s="2033"/>
      <c r="K180" s="2033"/>
      <c r="L180" s="2033"/>
      <c r="M180" s="2033"/>
      <c r="N180" s="2031"/>
      <c r="O180" s="2033"/>
      <c r="P180" s="3765" t="s">
        <v>2652</v>
      </c>
      <c r="Q180" s="3798"/>
    </row>
    <row r="181" spans="1:17" ht="33.75" customHeight="1">
      <c r="A181" s="2033"/>
      <c r="B181" s="3711" t="s">
        <v>6805</v>
      </c>
      <c r="C181" s="3711"/>
      <c r="D181" s="3711"/>
      <c r="E181" s="3711"/>
      <c r="F181" s="3711"/>
      <c r="G181" s="3711"/>
      <c r="H181" s="3711"/>
      <c r="I181" s="3711"/>
      <c r="J181" s="3711"/>
      <c r="K181" s="3711"/>
      <c r="L181" s="3711"/>
      <c r="M181" s="3711"/>
      <c r="N181" s="3711"/>
      <c r="O181" s="3711"/>
      <c r="P181" s="3801" t="s">
        <v>7064</v>
      </c>
      <c r="Q181" s="3804"/>
    </row>
    <row r="182" spans="1:17" ht="12" customHeight="1">
      <c r="A182" s="2033"/>
      <c r="C182" s="2033"/>
      <c r="D182" s="2033"/>
      <c r="E182" s="2033"/>
      <c r="F182" s="2033"/>
      <c r="G182" s="2033"/>
      <c r="H182" s="2033"/>
      <c r="I182" s="2033"/>
      <c r="J182" s="2033"/>
      <c r="K182" s="2033"/>
      <c r="L182" s="3797" t="s">
        <v>6806</v>
      </c>
      <c r="M182" s="3797"/>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1" t="s">
        <v>6810</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6811</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1">
        <v>1</v>
      </c>
      <c r="Q186" s="3802"/>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3" t="s">
        <v>7065</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6803</v>
      </c>
      <c r="P194" s="3765" t="s">
        <v>2652</v>
      </c>
      <c r="Q194" s="3798"/>
    </row>
    <row r="195" spans="1:17" ht="36" customHeight="1">
      <c r="B195" s="3711" t="s">
        <v>6812</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6911</v>
      </c>
      <c r="D197" s="3786"/>
      <c r="E197" s="3786"/>
      <c r="F197" s="3713" t="s">
        <v>6304</v>
      </c>
      <c r="G197" s="3714"/>
      <c r="H197" s="3714"/>
      <c r="I197" s="3714"/>
      <c r="J197" s="3714"/>
      <c r="K197" s="3714"/>
      <c r="L197" s="3714"/>
      <c r="M197" s="3714"/>
      <c r="N197" s="3714"/>
      <c r="O197" s="3714"/>
      <c r="P197" s="3714"/>
      <c r="Q197" s="3715"/>
    </row>
    <row r="198" spans="1:17" ht="30" customHeight="1">
      <c r="B198" s="2078" t="s">
        <v>1615</v>
      </c>
      <c r="C198" s="3786" t="s">
        <v>6912</v>
      </c>
      <c r="D198" s="3786"/>
      <c r="E198" s="3786"/>
      <c r="F198" s="3786"/>
      <c r="G198" s="3796"/>
      <c r="H198" s="3713" t="s">
        <v>3248</v>
      </c>
      <c r="I198" s="3714"/>
      <c r="J198" s="3714"/>
      <c r="K198" s="3714"/>
      <c r="L198" s="3714"/>
      <c r="M198" s="3714"/>
      <c r="N198" s="3714"/>
      <c r="O198" s="3714"/>
      <c r="P198" s="3714"/>
      <c r="Q198" s="3715"/>
    </row>
    <row r="199" spans="1:17" ht="20.25" customHeight="1">
      <c r="A199" s="2053"/>
      <c r="B199" s="2078" t="s">
        <v>1616</v>
      </c>
      <c r="C199" s="3711" t="s">
        <v>6813</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3" t="s">
        <v>7077</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4"/>
      <c r="Q208" s="3803"/>
    </row>
    <row r="209" spans="1:17" ht="20.25" customHeight="1">
      <c r="A209" s="2053"/>
      <c r="B209" s="2030" t="s">
        <v>6814</v>
      </c>
      <c r="O209" s="2044"/>
      <c r="P209" s="3811" t="s">
        <v>7066</v>
      </c>
      <c r="Q209" s="3812"/>
    </row>
    <row r="210" spans="1:17" ht="20.25" customHeight="1">
      <c r="A210" s="2053"/>
      <c r="B210" s="2030" t="s">
        <v>6815</v>
      </c>
      <c r="O210" s="2044"/>
      <c r="P210" s="3806" t="s">
        <v>7066</v>
      </c>
      <c r="Q210" s="3807"/>
    </row>
    <row r="211" spans="1:17" ht="22.5" customHeight="1">
      <c r="A211" s="2053"/>
      <c r="B211" s="2030" t="s">
        <v>6816</v>
      </c>
      <c r="C211" s="2033"/>
      <c r="K211" s="2031"/>
      <c r="M211" s="2044"/>
      <c r="O211" s="2100"/>
      <c r="P211" s="3806" t="s">
        <v>2652</v>
      </c>
      <c r="Q211" s="3807"/>
    </row>
    <row r="212" spans="1:17" ht="31.5" customHeight="1">
      <c r="A212" s="2053"/>
      <c r="B212" s="3711" t="s">
        <v>6817</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6818</v>
      </c>
      <c r="M213" s="2033"/>
      <c r="N213" s="2033"/>
      <c r="O213" s="3813" t="s">
        <v>4047</v>
      </c>
      <c r="P213" s="3814"/>
      <c r="Q213" s="3815"/>
    </row>
    <row r="214" spans="1:17" ht="20.25" customHeight="1">
      <c r="A214" s="2053"/>
      <c r="B214" s="2029" t="s">
        <v>6819</v>
      </c>
      <c r="G214" s="3706"/>
      <c r="H214" s="3743"/>
      <c r="I214" s="3743"/>
      <c r="J214" s="3743"/>
      <c r="K214" s="3743"/>
      <c r="L214" s="3744"/>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2" t="s">
        <v>7067</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6820</v>
      </c>
      <c r="C222" s="3711"/>
      <c r="D222" s="3711"/>
      <c r="E222" s="3711"/>
      <c r="F222" s="3711"/>
      <c r="G222" s="3711"/>
      <c r="H222" s="3711"/>
      <c r="I222" s="3711"/>
      <c r="J222" s="3711"/>
      <c r="K222" s="3711"/>
      <c r="L222" s="3711"/>
      <c r="M222" s="3711"/>
      <c r="N222" s="3711"/>
      <c r="O222" s="3712"/>
      <c r="P222" s="3823"/>
      <c r="Q222" s="3824"/>
    </row>
    <row r="223" spans="1:17" s="2102" customFormat="1" ht="33.75" customHeight="1">
      <c r="A223" s="2071" t="s">
        <v>1841</v>
      </c>
      <c r="B223" s="3825" t="s">
        <v>6821</v>
      </c>
      <c r="C223" s="3825"/>
      <c r="D223" s="3825"/>
      <c r="E223" s="3825"/>
      <c r="F223" s="3825"/>
      <c r="G223" s="3825"/>
      <c r="H223" s="3825"/>
      <c r="I223" s="3825"/>
      <c r="J223" s="3825"/>
      <c r="K223" s="3825"/>
      <c r="L223" s="3825"/>
      <c r="M223" s="3825"/>
      <c r="N223" s="3825"/>
      <c r="O223" s="3825"/>
      <c r="P223" s="2063"/>
      <c r="Q223" s="2440"/>
    </row>
    <row r="224" spans="1:17" ht="47.25" customHeight="1">
      <c r="A224" s="2071" t="s">
        <v>1843</v>
      </c>
      <c r="B224" s="3786" t="s">
        <v>6822</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6823</v>
      </c>
      <c r="C225" s="3816"/>
      <c r="D225" s="3816"/>
      <c r="E225" s="3816"/>
      <c r="F225" s="3816"/>
      <c r="G225" s="3816"/>
      <c r="H225" s="3816"/>
      <c r="I225" s="3816"/>
      <c r="J225" s="3816"/>
      <c r="K225" s="3816"/>
      <c r="L225" s="3816"/>
      <c r="M225" s="3816"/>
      <c r="N225" s="3816"/>
      <c r="O225" s="3816"/>
      <c r="P225" s="2063"/>
      <c r="Q225" s="2064"/>
    </row>
    <row r="226" spans="1:17" ht="33.75" customHeight="1">
      <c r="A226" s="2071" t="s">
        <v>1962</v>
      </c>
      <c r="B226" s="3786" t="s">
        <v>6824</v>
      </c>
      <c r="C226" s="3786"/>
      <c r="D226" s="3786"/>
      <c r="E226" s="3786"/>
      <c r="F226" s="3786"/>
      <c r="G226" s="3786"/>
      <c r="H226" s="3786"/>
      <c r="I226" s="3786"/>
      <c r="J226" s="3786"/>
      <c r="K226" s="3786"/>
      <c r="L226" s="3786"/>
      <c r="M226" s="3786"/>
      <c r="N226" s="3786"/>
      <c r="O226" s="3786"/>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2" t="s">
        <v>7068</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3358</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3359</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6825</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6826</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6827</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6828</v>
      </c>
      <c r="D239" s="3786"/>
      <c r="E239" s="3786"/>
      <c r="F239" s="3786"/>
      <c r="G239" s="3786"/>
      <c r="H239" s="3786"/>
      <c r="I239" s="3786"/>
      <c r="J239" s="3786"/>
      <c r="K239" s="3786"/>
      <c r="L239" s="3786"/>
      <c r="M239" s="3786"/>
      <c r="N239" s="3786"/>
      <c r="O239" s="3786"/>
      <c r="P239" s="3786"/>
      <c r="Q239" s="3786"/>
    </row>
    <row r="240" spans="1:17" ht="29.25" customHeight="1">
      <c r="A240" s="2053"/>
      <c r="B240" s="2104" t="s">
        <v>3864</v>
      </c>
      <c r="C240" s="3786" t="s">
        <v>6829</v>
      </c>
      <c r="D240" s="3786"/>
      <c r="E240" s="3786"/>
      <c r="F240" s="3786"/>
      <c r="G240" s="3786"/>
      <c r="H240" s="3786"/>
      <c r="I240" s="3786"/>
      <c r="J240" s="3786"/>
      <c r="K240" s="3786"/>
      <c r="L240" s="3786"/>
      <c r="M240" s="3786"/>
      <c r="N240" s="3786"/>
      <c r="O240" s="3786"/>
      <c r="P240" s="3786"/>
      <c r="Q240" s="3786"/>
    </row>
    <row r="241" spans="1:17" ht="15.75" customHeight="1">
      <c r="A241" s="2053"/>
      <c r="B241" s="2104" t="s">
        <v>6830</v>
      </c>
      <c r="C241" s="3786" t="s">
        <v>6831</v>
      </c>
      <c r="D241" s="3786"/>
      <c r="E241" s="3786"/>
      <c r="F241" s="3786"/>
      <c r="G241" s="3786"/>
      <c r="H241" s="3786"/>
      <c r="I241" s="3786"/>
      <c r="J241" s="3786"/>
      <c r="K241" s="3786"/>
      <c r="L241" s="3786"/>
      <c r="M241" s="3786"/>
      <c r="N241" s="3786"/>
      <c r="O241" s="3786"/>
      <c r="P241" s="3786"/>
      <c r="Q241" s="3786"/>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3" t="s">
        <v>7069</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c r="Q250" s="3766"/>
    </row>
    <row r="251" spans="1:17" ht="20.25" customHeight="1">
      <c r="A251" s="2053"/>
      <c r="B251" s="2030" t="s">
        <v>3142</v>
      </c>
      <c r="D251" s="2056"/>
      <c r="E251" s="2056"/>
      <c r="O251" s="2044"/>
      <c r="P251" s="3799"/>
      <c r="Q251" s="3837"/>
    </row>
    <row r="252" spans="1:17" ht="20.25" customHeight="1">
      <c r="A252" s="2053"/>
      <c r="B252" s="2030" t="s">
        <v>4030</v>
      </c>
      <c r="D252" s="2056"/>
      <c r="E252" s="2056"/>
      <c r="O252" s="2044"/>
      <c r="P252" s="3838"/>
      <c r="Q252" s="3839"/>
    </row>
    <row r="253" spans="1:17" ht="20.25" customHeight="1">
      <c r="A253" s="2053"/>
      <c r="B253" s="2030" t="s">
        <v>3143</v>
      </c>
      <c r="O253" s="2044"/>
      <c r="P253" s="3799"/>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3" t="s">
        <v>7069</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6"/>
      <c r="Q261" s="3744"/>
    </row>
    <row r="262" spans="1:17" ht="20.25" customHeight="1">
      <c r="B262" s="2030" t="s">
        <v>6250</v>
      </c>
      <c r="O262" s="2044"/>
      <c r="P262" s="3720"/>
      <c r="Q262" s="3721"/>
    </row>
    <row r="263" spans="1:17" ht="20.25" customHeight="1">
      <c r="A263" s="2053" t="s">
        <v>1841</v>
      </c>
      <c r="B263" s="2029" t="s">
        <v>3937</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4032</v>
      </c>
      <c r="C265" s="3836"/>
      <c r="D265" s="3836"/>
      <c r="E265" s="3836"/>
      <c r="F265" s="3836"/>
      <c r="G265" s="3836"/>
      <c r="H265" s="3836"/>
      <c r="I265" s="3836"/>
      <c r="J265" s="3836"/>
      <c r="K265" s="3836"/>
      <c r="L265" s="3836"/>
      <c r="M265" s="3836"/>
      <c r="N265" s="3836"/>
      <c r="O265" s="3836"/>
      <c r="P265" s="3799"/>
      <c r="Q265" s="3837"/>
    </row>
    <row r="266" spans="1:17" ht="32.25" customHeight="1">
      <c r="A266" s="2053"/>
      <c r="B266" s="3844" t="s">
        <v>6834</v>
      </c>
      <c r="C266" s="3844"/>
      <c r="D266" s="3844"/>
      <c r="E266" s="3844"/>
      <c r="F266" s="3844"/>
      <c r="G266" s="3844"/>
      <c r="H266" s="3844"/>
      <c r="I266" s="3844"/>
      <c r="J266" s="3844"/>
      <c r="K266" s="3844"/>
      <c r="L266" s="3844"/>
      <c r="M266" s="3844"/>
      <c r="N266" s="3844"/>
      <c r="O266" s="3844"/>
      <c r="P266" s="3801"/>
      <c r="Q266" s="3804"/>
    </row>
    <row r="267" spans="1:17" ht="20.25" customHeight="1">
      <c r="B267" s="2060" t="s">
        <v>3239</v>
      </c>
      <c r="D267" s="2060"/>
      <c r="E267" s="2060"/>
      <c r="F267" s="2060"/>
      <c r="G267" s="2060"/>
      <c r="H267" s="2043"/>
      <c r="I267" s="2031"/>
      <c r="J267" s="2031"/>
      <c r="K267" s="2031"/>
    </row>
    <row r="268" spans="1:17" ht="20.25" customHeight="1">
      <c r="A268" s="3703" t="s">
        <v>7069</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0"/>
      <c r="Q273" s="3710"/>
    </row>
    <row r="274" spans="1:17" ht="33" customHeight="1">
      <c r="A274" s="2033"/>
      <c r="B274" s="3711" t="s">
        <v>6835</v>
      </c>
      <c r="C274" s="3711"/>
      <c r="D274" s="3711"/>
      <c r="E274" s="3711"/>
      <c r="F274" s="3711"/>
      <c r="G274" s="3711"/>
      <c r="H274" s="3711"/>
      <c r="I274" s="3711"/>
      <c r="J274" s="3711"/>
      <c r="K274" s="3711"/>
      <c r="L274" s="3711"/>
      <c r="M274" s="3711"/>
      <c r="N274" s="3711"/>
      <c r="O274" s="2105"/>
      <c r="P274" s="3720" t="s">
        <v>7064</v>
      </c>
      <c r="Q274" s="3721"/>
    </row>
    <row r="275" spans="1:17" ht="34.5" customHeight="1">
      <c r="A275" s="2033"/>
      <c r="B275" s="2078" t="s">
        <v>1841</v>
      </c>
      <c r="C275" s="3786" t="s">
        <v>3311</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6836</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3866</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3867</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3868</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3869</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3312</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3917</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3918</v>
      </c>
      <c r="D283" s="3786"/>
      <c r="E283" s="3786"/>
      <c r="F283" s="3786"/>
      <c r="G283" s="3786"/>
      <c r="H283" s="3786"/>
      <c r="I283" s="3786"/>
      <c r="J283" s="3786"/>
      <c r="K283" s="3786"/>
      <c r="L283" s="3786"/>
      <c r="M283" s="3786"/>
      <c r="N283" s="3786"/>
      <c r="O283" s="3786"/>
      <c r="P283" s="2076"/>
      <c r="Q283" s="2026"/>
    </row>
    <row r="284" spans="1:17" ht="47.25" customHeight="1">
      <c r="A284" s="2071"/>
      <c r="B284" s="3786" t="s">
        <v>6837</v>
      </c>
      <c r="C284" s="3786"/>
      <c r="D284" s="3786"/>
      <c r="E284" s="3786"/>
      <c r="F284" s="3786"/>
      <c r="G284" s="3786"/>
      <c r="H284" s="3786"/>
      <c r="I284" s="3786"/>
      <c r="J284" s="3786"/>
      <c r="K284" s="3786"/>
      <c r="L284" s="3786"/>
      <c r="M284" s="3786"/>
      <c r="N284" s="3786"/>
      <c r="O284" s="3796"/>
      <c r="P284" s="3784" t="s">
        <v>7064</v>
      </c>
      <c r="Q284" s="3784"/>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3" t="s">
        <v>7070</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03" t="s">
        <v>7071</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25" zoomScaleNormal="100" workbookViewId="0">
      <selection activeCell="O239" sqref="O239"/>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50" t="str">
        <f>CONCATENATE("PART EIGHT - SCORING CRITERIA","  -  ",'Part I-Project Identification'!$O$7," ",'Part I-Project Identification'!$F$25,", ",'Part I-Project Identification'!F26,", ",'Part I-Project Identification'!J26," County")</f>
        <v>PART EIGHT - SCORING CRITERIA  -  2023-0 West Pine Residences, Sylvester, Worth County</v>
      </c>
      <c r="B1" s="4051"/>
      <c r="C1" s="4051"/>
      <c r="D1" s="4051"/>
      <c r="E1" s="4051"/>
      <c r="F1" s="4051"/>
      <c r="G1" s="4051"/>
      <c r="H1" s="4051"/>
      <c r="I1" s="4051"/>
      <c r="J1" s="4051"/>
      <c r="K1" s="4051"/>
      <c r="L1" s="4051"/>
      <c r="M1" s="4051"/>
      <c r="N1" s="4051"/>
      <c r="O1" s="4051"/>
      <c r="P1" s="4052"/>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3" t="s">
        <v>6841</v>
      </c>
      <c r="B3" s="4053"/>
      <c r="C3" s="4053"/>
      <c r="D3" s="4053"/>
      <c r="E3" s="4053"/>
      <c r="F3" s="4053"/>
      <c r="G3" s="4053"/>
      <c r="H3" s="4053"/>
      <c r="I3" s="4053"/>
      <c r="J3" s="4053"/>
      <c r="K3" s="4053"/>
      <c r="L3" s="4053"/>
      <c r="M3" s="2125"/>
      <c r="N3" s="2123"/>
      <c r="O3" s="2126" t="s">
        <v>2050</v>
      </c>
      <c r="P3" s="2127" t="s">
        <v>245</v>
      </c>
      <c r="Q3" s="2118"/>
      <c r="R3" s="2118"/>
      <c r="S3" s="2118"/>
      <c r="T3" s="2118"/>
      <c r="U3" s="2118"/>
      <c r="V3" s="2118"/>
      <c r="W3" s="2118"/>
      <c r="X3" s="2119"/>
    </row>
    <row r="4" spans="1:25" s="2121" customFormat="1" ht="16.5" customHeight="1">
      <c r="A4" s="4053"/>
      <c r="B4" s="4053"/>
      <c r="C4" s="4053"/>
      <c r="D4" s="4053"/>
      <c r="E4" s="4053"/>
      <c r="F4" s="4053"/>
      <c r="G4" s="4053"/>
      <c r="H4" s="4053"/>
      <c r="I4" s="4053"/>
      <c r="J4" s="4053"/>
      <c r="K4" s="4053"/>
      <c r="L4" s="4053"/>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4" t="str">
        <f>'Part I-Project Identification'!$A$6</f>
        <v>April 2023</v>
      </c>
      <c r="C6" s="4054"/>
      <c r="D6" s="4054"/>
      <c r="E6" s="4054"/>
      <c r="F6" s="4054"/>
      <c r="L6" s="2124" t="s">
        <v>1152</v>
      </c>
      <c r="M6" s="2133"/>
      <c r="N6" s="2134"/>
      <c r="O6" s="2135">
        <f>O404</f>
        <v>72</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5" t="s">
        <v>6495</v>
      </c>
      <c r="G12" s="4055"/>
      <c r="H12" s="4055"/>
      <c r="I12" s="4055"/>
      <c r="J12" s="4055"/>
      <c r="K12" s="4055"/>
      <c r="L12" s="4055"/>
      <c r="M12" s="4055"/>
      <c r="N12" s="4055"/>
      <c r="O12" s="2148" t="s">
        <v>3809</v>
      </c>
      <c r="P12" s="2149">
        <f>SUM(P13:P31)</f>
        <v>0</v>
      </c>
      <c r="Q12" s="4056"/>
      <c r="R12" s="4056"/>
      <c r="S12" s="4056"/>
      <c r="T12" s="4056"/>
      <c r="U12" s="4056"/>
      <c r="V12" s="2150"/>
    </row>
    <row r="13" spans="1:25" s="2121" customFormat="1" ht="14.45" customHeight="1">
      <c r="A13" s="2151" t="s">
        <v>1668</v>
      </c>
      <c r="B13" s="2152" t="s">
        <v>3393</v>
      </c>
      <c r="C13" s="2153"/>
      <c r="D13" s="2154"/>
      <c r="E13" s="2155">
        <f>$O$77</f>
        <v>20</v>
      </c>
      <c r="F13" s="4057" t="str">
        <f>$A$81</f>
        <v>The applicant has submitted 17 desirable activities which should qualifies the project for 22.50 desirable points.  However, the applicant is limited to only 20 points.  
The applicant is unaware of any undesirable/inefficient site activities/characteristics within .25 miles of the project site.  See Tab 26.
The project site does not fall within a food desert per USDA's website.  The nearest grocery store is located 1.60 miles from the project site.</v>
      </c>
      <c r="G13" s="4058"/>
      <c r="H13" s="4058"/>
      <c r="I13" s="4058"/>
      <c r="J13" s="4058"/>
      <c r="K13" s="4058"/>
      <c r="L13" s="4058"/>
      <c r="M13" s="4058"/>
      <c r="N13" s="4058"/>
      <c r="O13" s="4058"/>
      <c r="P13" s="2156"/>
      <c r="Q13" s="4056"/>
      <c r="R13" s="4056"/>
      <c r="S13" s="4056"/>
      <c r="T13" s="4056"/>
      <c r="U13" s="4056"/>
      <c r="V13" s="2150"/>
    </row>
    <row r="14" spans="1:25" s="2121" customFormat="1" ht="14.45" customHeight="1">
      <c r="A14" s="2151" t="s">
        <v>496</v>
      </c>
      <c r="B14" s="2157" t="s">
        <v>4037</v>
      </c>
      <c r="C14" s="2158"/>
      <c r="D14" s="2159"/>
      <c r="E14" s="2160">
        <f>$O$86</f>
        <v>2</v>
      </c>
      <c r="F14" s="4038" t="str">
        <f>$A$102</f>
        <v>Southwest Georgia Regional Commission provides on-call curb-to-curb transportation services for Worth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Worth County.
2.The costs of transit services are below:
a.$3.00 within the county for trips 0-10 miles
b.$5.00 within the county for trips over 10 miles
c.For trips outside the county, $5.00 plus 50 cents per mile for trips over 10 miles.
3.If an apartment complex is located in Worth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info@swgrc.org. 
Additional information can also be found at the following website:
https://www.swgrc.org/southwest-georgia-regional-transit
See Tab 27 for further details.</v>
      </c>
      <c r="G14" s="3876"/>
      <c r="H14" s="3876"/>
      <c r="I14" s="3876"/>
      <c r="J14" s="3876"/>
      <c r="K14" s="3876"/>
      <c r="L14" s="3876"/>
      <c r="M14" s="3876"/>
      <c r="N14" s="3876"/>
      <c r="O14" s="4039"/>
      <c r="P14" s="2162"/>
      <c r="Q14" s="4056"/>
      <c r="R14" s="4056"/>
      <c r="S14" s="4056"/>
      <c r="T14" s="4056"/>
      <c r="U14" s="4056"/>
    </row>
    <row r="15" spans="1:25" s="2121" customFormat="1" ht="14.45" customHeight="1">
      <c r="A15" s="2151" t="s">
        <v>720</v>
      </c>
      <c r="B15" s="2157" t="s">
        <v>3338</v>
      </c>
      <c r="C15" s="2158"/>
      <c r="D15" s="2159"/>
      <c r="E15" s="2160">
        <f>$O$106</f>
        <v>3</v>
      </c>
      <c r="F15" s="4038" t="str">
        <f>$A$117</f>
        <v>The QAP allows applicants to claim points for schools under one of the three options available, A, B or C.
Option A – No schools in Worth County score under Option A.
Option B – Only three of the Worth County schools received a Beating the Odds designation (“BTO”) in 2018 or later and are eligible to claim points under Option B.
     -Worth County Primary School (serves grades PK-2) – received 2018 ans 2019 BTO
     -Worth County Elementary School (serves grades 3-5) – received 2018 BTO
     -Worth County Middle School (serves grades 6-8) – received 2018 BTO
Option C – Per the Option C Scoring Data Sheet published by DCA, the following schools meet the criteria to claim points under Option C:
1. Worth County Primary School (Grades Pre-K through 2nd)
2. Worth County Elementary School (Grades 3 through 5)
3. Worth County Middle School (Grades 6 through 8)
4. Worth County High School (Grades 9 through 12)
Worth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West Pine Residences will serve a family tenancy and all four schools collectively serve grades K-12 and meet the criteria for points under at least one of the three options available in this section.  The applicant qualifies for 3 points in this section.  All supporting documentation is included in Tab 28.</v>
      </c>
      <c r="G15" s="3876"/>
      <c r="H15" s="3876"/>
      <c r="I15" s="3876"/>
      <c r="J15" s="3876"/>
      <c r="K15" s="3876"/>
      <c r="L15" s="3876"/>
      <c r="M15" s="3876"/>
      <c r="N15" s="3876"/>
      <c r="O15" s="4039"/>
      <c r="P15" s="2162"/>
      <c r="Q15" s="2163"/>
      <c r="R15" s="2163"/>
      <c r="S15" s="2163"/>
      <c r="T15" s="2163"/>
      <c r="U15" s="2163"/>
    </row>
    <row r="16" spans="1:25" s="2121" customFormat="1" ht="14.45" customHeight="1">
      <c r="A16" s="2164" t="s">
        <v>280</v>
      </c>
      <c r="B16" s="2157" t="s">
        <v>3394</v>
      </c>
      <c r="C16" s="2158"/>
      <c r="D16" s="2159"/>
      <c r="E16" s="2457">
        <f>$O$122</f>
        <v>6</v>
      </c>
      <c r="F16" s="4038" t="str">
        <f>$A$137</f>
        <v>West Pine Residences is located within the boundaries of the City of Sylvester Community Revitalization Plan (“CRP”).  The CRP meets the requirements below that are required by the QAP to be considered a CRP:
-	The CRP clearly delineates a Targeted Area that includes the proposed site within the City of Sylvester.
-	The CRP discusses housing as a goal of the CRP.
-	The CRP includes an assessment of the Targeted Area’s existing infrastructure
-	The CRP designates implementation measures.
-	The CRP was adopted by the City of Sylvester on January 22, 2019 which is less than ten (10) years from the Application Submission date.
West Pine Residences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Sylvester in an amount equal to at least $10,000 per unit.  This amount, which is approximately $26,450/unit) would be eligible for at least two (2) points under subsection B. Third-Party Capital Investment.
The Applicant obtained a letter from the City Manager of the City of Sylvester detailing the amount and location of Third Party Capital Improvements and confirmed that these improvements will serve the residents of the proposed development.  All improvements listed were paid in full by unrelated third parties.  The improvements, all of which are within 1.0 miles of the proposed site, include:
1-$1,103,222 improvements on Pine Street.  This was completed in June 2019
2-$532,000 in utility extension and expansion.  The scope of this work will be complete between 2021 thru 2024.
3-$74,550 in street in paving.  Completed in 2022.
These investments exceed $20,000 per unit qualifying the Applicant for 2 points for Third Party Capital Investment.  
In total, the applicant qualifies for 6 points in this section. All supporting documentation is included in Tab 29.</v>
      </c>
      <c r="G16" s="3876"/>
      <c r="H16" s="3876"/>
      <c r="I16" s="3876"/>
      <c r="J16" s="3876"/>
      <c r="K16" s="3876"/>
      <c r="L16" s="3876"/>
      <c r="M16" s="3876"/>
      <c r="N16" s="3876"/>
      <c r="O16" s="4039"/>
      <c r="P16" s="2162"/>
      <c r="Q16" s="2163"/>
      <c r="R16" s="2163"/>
      <c r="S16" s="2163"/>
      <c r="T16" s="2163"/>
      <c r="U16" s="2163"/>
    </row>
    <row r="17" spans="1:35" s="2121" customFormat="1" ht="14.45" customHeight="1">
      <c r="A17" s="2151" t="s">
        <v>401</v>
      </c>
      <c r="B17" s="2166" t="s">
        <v>3395</v>
      </c>
      <c r="C17" s="2167"/>
      <c r="D17" s="2168"/>
      <c r="E17" s="2169" t="s">
        <v>1610</v>
      </c>
      <c r="F17" s="4062" t="str">
        <f>$A$147</f>
        <v>Since the applicant qualifies for at least three community revitalization points above, the applicant is eligible for Community Transformation points.
The applicant and City of Sylvester Downtown Development Authority has agreed to serve as the Community Based Developer (See MOU in Tab 30) and has the following partnerships (See Tab 30).  1. Sylvester-Worth County Family Connections  2. WorkSource Southwest Georgia  3. Sylvester-Worth County Chamber of Commerce  4. Worth County Economic Development Authority  5. Worth County School System  6. Southwest Georgia Regional Commission.  The combined number of years as community partners exceeds 16 years.
The proposed development is not within and does not overlap a Defined Neighborhood already containing a Community Transformation initiative funded in 2020, 2021 and 2022.  A map of the Defined Neighborhood is included in Tab 30.
The Project Team member, The City of Sylvester DDA, associated with the submitted partnership letters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30 for supporting documentation.
The Community Quarterback Board has:
1.  At least one third of its members are residents of the Defined Neighborhood who have self certified their income is at less than 80% of AMI: a)Deandre Green b) Steven Danford
2.  At least one third include 3 of 5 following representatives: a) Education - Tracie Turner, Worth County School District b) Employment - None at this time
c) Health services-Mandy Gordon, Phoebe Worth Medical Center d) Transportation services-None at this time e) Local Government-Glenice Stephens Community Development Director, City of Sylvester
See Tab 30 for letters and signatures from the people above.
The board builds on existing community structure and local partnerships by having a member of the City of Sylvester GICH team on the board. - Glenice Stephens, Primary Contact for GICH team
In the last three years, the Community Based Developer has participated in or led philanthropic activities benefitting the community in which the proposed development will be located.  See Tab 30 for supporting documentation.</v>
      </c>
      <c r="G17" s="4063"/>
      <c r="H17" s="4063"/>
      <c r="I17" s="4063"/>
      <c r="J17" s="4063"/>
      <c r="K17" s="4063"/>
      <c r="L17" s="4063"/>
      <c r="M17" s="4063"/>
      <c r="N17" s="4063"/>
      <c r="O17" s="4064"/>
      <c r="P17" s="2162"/>
      <c r="Q17" s="2163"/>
      <c r="R17" s="2163"/>
      <c r="S17" s="2163"/>
      <c r="T17" s="2163"/>
      <c r="U17" s="2163"/>
    </row>
    <row r="18" spans="1:35" s="2121" customFormat="1" ht="14.45" customHeight="1">
      <c r="A18" s="2151" t="s">
        <v>342</v>
      </c>
      <c r="B18" s="2157" t="s">
        <v>4038</v>
      </c>
      <c r="C18" s="2158"/>
      <c r="D18" s="2159"/>
      <c r="E18" s="2170">
        <f>$O$152</f>
        <v>0</v>
      </c>
      <c r="F18" s="4038" t="str">
        <f>$A$165</f>
        <v>This section is not applicable.</v>
      </c>
      <c r="G18" s="3876"/>
      <c r="H18" s="3876"/>
      <c r="I18" s="3876"/>
      <c r="J18" s="3876"/>
      <c r="K18" s="3876"/>
      <c r="L18" s="3876"/>
      <c r="M18" s="3876"/>
      <c r="N18" s="3876"/>
      <c r="O18" s="4039"/>
      <c r="P18" s="2162"/>
      <c r="Q18" s="4065"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4040</v>
      </c>
      <c r="B19" s="2157" t="s">
        <v>3261</v>
      </c>
      <c r="C19" s="2158"/>
      <c r="D19" s="2159"/>
      <c r="E19" s="2170">
        <f>$O$179</f>
        <v>0</v>
      </c>
      <c r="F19" s="4038" t="str">
        <f>$A$184</f>
        <v>This section is not applicable.</v>
      </c>
      <c r="G19" s="3876"/>
      <c r="H19" s="3876"/>
      <c r="I19" s="3876"/>
      <c r="J19" s="3876"/>
      <c r="K19" s="3876"/>
      <c r="L19" s="3876"/>
      <c r="M19" s="3876"/>
      <c r="N19" s="3876"/>
      <c r="O19" s="4039"/>
      <c r="P19" s="2162"/>
      <c r="Q19" s="4065"/>
      <c r="R19" s="4004"/>
      <c r="S19" s="4004"/>
    </row>
    <row r="20" spans="1:35" s="2121" customFormat="1" ht="14.45" customHeight="1">
      <c r="A20" s="2151" t="s">
        <v>4052</v>
      </c>
      <c r="B20" s="2157" t="s">
        <v>4041</v>
      </c>
      <c r="C20" s="2158"/>
      <c r="D20" s="2159"/>
      <c r="E20" s="2169">
        <f>$O$189</f>
        <v>0</v>
      </c>
      <c r="F20" s="4038" t="str">
        <f>$A$195</f>
        <v>This section is not applicable.</v>
      </c>
      <c r="G20" s="3876"/>
      <c r="H20" s="3876"/>
      <c r="I20" s="3876"/>
      <c r="J20" s="3876"/>
      <c r="K20" s="3876"/>
      <c r="L20" s="3876"/>
      <c r="M20" s="3876"/>
      <c r="N20" s="3876"/>
      <c r="O20" s="4039"/>
      <c r="P20" s="2162"/>
      <c r="Q20" s="4065"/>
      <c r="R20" s="4004"/>
      <c r="S20" s="4004"/>
    </row>
    <row r="21" spans="1:35" s="2121" customFormat="1" ht="14.45" customHeight="1">
      <c r="A21" s="2171" t="s">
        <v>6242</v>
      </c>
      <c r="B21" s="2166" t="s">
        <v>4042</v>
      </c>
      <c r="C21" s="2167"/>
      <c r="D21" s="2168"/>
      <c r="E21" s="2172">
        <f>$O$200</f>
        <v>4</v>
      </c>
      <c r="F21" s="4062" t="str">
        <f>$A$205</f>
        <v>The proposed site is within the current city limits of Sylvester, GA.  The City of Sylvester has only had one (1) project with an award of 9% Credits within the last 15 DCA Housing Credit Competitive Rounds and it was issued prior to January 1, 2017.   The name of that project is Paradise Estates Apartments (2008-061).</v>
      </c>
      <c r="G21" s="4063"/>
      <c r="H21" s="4063"/>
      <c r="I21" s="4063"/>
      <c r="J21" s="4063"/>
      <c r="K21" s="4063"/>
      <c r="L21" s="4063"/>
      <c r="M21" s="4063"/>
      <c r="N21" s="4063"/>
      <c r="O21" s="4064"/>
      <c r="P21" s="2162"/>
      <c r="Q21" s="4065"/>
      <c r="R21" s="4004"/>
      <c r="S21" s="4004"/>
    </row>
    <row r="22" spans="1:35" s="2121" customFormat="1" ht="14.45" customHeight="1">
      <c r="A22" s="2151" t="s">
        <v>6636</v>
      </c>
      <c r="B22" s="2157" t="s">
        <v>6548</v>
      </c>
      <c r="C22" s="2158"/>
      <c r="D22" s="2159"/>
      <c r="E22" s="2170">
        <f>$O$223</f>
        <v>0</v>
      </c>
      <c r="F22" s="4038" t="str">
        <f>$A$228</f>
        <v>This section is not applicable.</v>
      </c>
      <c r="G22" s="3876"/>
      <c r="H22" s="3876"/>
      <c r="I22" s="3876"/>
      <c r="J22" s="3876"/>
      <c r="K22" s="3876"/>
      <c r="L22" s="3876"/>
      <c r="M22" s="3876"/>
      <c r="N22" s="3876"/>
      <c r="O22" s="4039"/>
      <c r="P22" s="2162"/>
      <c r="Q22" s="4065"/>
      <c r="R22" s="4004"/>
      <c r="S22" s="4004"/>
    </row>
    <row r="23" spans="1:35" s="2121" customFormat="1" ht="14.45" customHeight="1">
      <c r="A23" s="2151" t="s">
        <v>6638</v>
      </c>
      <c r="B23" s="2157" t="s">
        <v>6637</v>
      </c>
      <c r="C23" s="2158"/>
      <c r="D23" s="2159"/>
      <c r="E23" s="2170">
        <f>$O$233</f>
        <v>2</v>
      </c>
      <c r="F23" s="4038" t="str">
        <f>$A$248</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23" s="3876"/>
      <c r="H23" s="3876"/>
      <c r="I23" s="3876"/>
      <c r="J23" s="3876"/>
      <c r="K23" s="3876"/>
      <c r="L23" s="3876"/>
      <c r="M23" s="3876"/>
      <c r="N23" s="3876"/>
      <c r="O23" s="4039"/>
      <c r="P23" s="2162"/>
      <c r="Q23" s="4065"/>
      <c r="R23" s="4004"/>
      <c r="S23" s="4004"/>
    </row>
    <row r="24" spans="1:35" s="2121" customFormat="1" ht="14.45" customHeight="1">
      <c r="A24" s="2164" t="s">
        <v>3368</v>
      </c>
      <c r="B24" s="2173" t="s">
        <v>6554</v>
      </c>
      <c r="C24" s="2174"/>
      <c r="D24" s="2175"/>
      <c r="E24" s="2165">
        <f>$O$253</f>
        <v>2</v>
      </c>
      <c r="F24" s="4059" t="str">
        <f>$A$257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060"/>
      <c r="H24" s="4060"/>
      <c r="I24" s="4060"/>
      <c r="J24" s="4060"/>
      <c r="K24" s="4060"/>
      <c r="L24" s="4060"/>
      <c r="M24" s="4060"/>
      <c r="N24" s="4060"/>
      <c r="O24" s="4061"/>
      <c r="P24" s="2162"/>
      <c r="Q24" s="4065"/>
      <c r="R24" s="4004"/>
      <c r="S24" s="4004"/>
    </row>
    <row r="25" spans="1:35" s="2121" customFormat="1" ht="14.45" customHeight="1">
      <c r="A25" s="2151" t="s">
        <v>3372</v>
      </c>
      <c r="B25" s="2157" t="s">
        <v>3396</v>
      </c>
      <c r="C25" s="2158"/>
      <c r="D25" s="2159"/>
      <c r="E25" s="2170">
        <f>$O$271</f>
        <v>2</v>
      </c>
      <c r="F25" s="4038" t="str">
        <f>$A$275</f>
        <v>The City of Sylvester is a Certified GICH Alumni Commnunity.  The Applicant obtained a letter from the City of Sylvester GICH team.  This letter was the sole letter issued in 2023 by the City of Sylvester team and the letter identifies the boundaries of the GICH community, identifies the proposed development as being within the boundaries of the City of Sylvester GICH community and the letter is executed by the primary contact for the City of Sylvester GICH, Glenice Stephens.  The Applicant also obtained a letter from the local government agreeing to the issuance of the GICH letter.  Copies of all letters are in tab 41.</v>
      </c>
      <c r="G25" s="3876"/>
      <c r="H25" s="3876"/>
      <c r="I25" s="3876"/>
      <c r="J25" s="3876"/>
      <c r="K25" s="3876"/>
      <c r="L25" s="3876"/>
      <c r="M25" s="3876"/>
      <c r="N25" s="3876"/>
      <c r="O25" s="4039"/>
      <c r="P25" s="2162"/>
      <c r="Q25" s="4065"/>
      <c r="R25" s="4004"/>
      <c r="S25" s="4004"/>
    </row>
    <row r="26" spans="1:35" s="2121" customFormat="1" ht="14.45" customHeight="1">
      <c r="A26" s="2151" t="s">
        <v>3375</v>
      </c>
      <c r="B26" s="2157" t="s">
        <v>3397</v>
      </c>
      <c r="C26" s="2158"/>
      <c r="D26" s="2159"/>
      <c r="E26" s="2170">
        <f>$O$280</f>
        <v>1</v>
      </c>
      <c r="F26" s="4038" t="str">
        <f>$A$307</f>
        <v>The applicant has secured a loan of Capital Manget Funds from a certified CDFI bank, Central Bank of Kansas City.  The loan meets all of the pre-requisites above and the size of the loan enables the applicant to score 1 point in this section.</v>
      </c>
      <c r="G26" s="3876"/>
      <c r="H26" s="3876"/>
      <c r="I26" s="3876"/>
      <c r="J26" s="3876"/>
      <c r="K26" s="3876"/>
      <c r="L26" s="3876"/>
      <c r="M26" s="3876"/>
      <c r="N26" s="3876"/>
      <c r="O26" s="4039"/>
      <c r="P26" s="2162"/>
      <c r="Q26" s="4065"/>
      <c r="R26" s="4004"/>
      <c r="S26" s="4004"/>
    </row>
    <row r="27" spans="1:35" s="2121" customFormat="1" ht="14.45" customHeight="1">
      <c r="A27" s="2151" t="s">
        <v>3376</v>
      </c>
      <c r="B27" s="2157" t="s">
        <v>3398</v>
      </c>
      <c r="C27" s="2158"/>
      <c r="D27" s="2159"/>
      <c r="E27" s="2169">
        <f>$O$312</f>
        <v>0</v>
      </c>
      <c r="F27" s="4038" t="str">
        <f>$A$318</f>
        <v>This section is not applicable</v>
      </c>
      <c r="G27" s="3876"/>
      <c r="H27" s="3876"/>
      <c r="I27" s="3876"/>
      <c r="J27" s="3876"/>
      <c r="K27" s="3876"/>
      <c r="L27" s="3876"/>
      <c r="M27" s="3876"/>
      <c r="N27" s="3876"/>
      <c r="O27" s="4039"/>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4066" t="str">
        <f>$A$340</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28" s="4067"/>
      <c r="H28" s="4067"/>
      <c r="I28" s="4067"/>
      <c r="J28" s="4067"/>
      <c r="K28" s="4067"/>
      <c r="L28" s="4067"/>
      <c r="M28" s="4067"/>
      <c r="N28" s="4067"/>
      <c r="O28" s="4068"/>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4038" t="str">
        <f>$A$347</f>
        <v>This section is not applicable.</v>
      </c>
      <c r="G29" s="3876"/>
      <c r="H29" s="3876"/>
      <c r="I29" s="3876"/>
      <c r="J29" s="3876"/>
      <c r="K29" s="3876"/>
      <c r="L29" s="3876"/>
      <c r="M29" s="3876"/>
      <c r="N29" s="3876"/>
      <c r="O29" s="4039"/>
      <c r="P29" s="2162"/>
      <c r="Q29" s="2176"/>
      <c r="R29" s="2118"/>
      <c r="S29" s="2118"/>
    </row>
    <row r="30" spans="1:35" s="2121" customFormat="1" ht="14.45" customHeight="1">
      <c r="A30" s="2151" t="s">
        <v>3802</v>
      </c>
      <c r="B30" s="2157" t="s">
        <v>6552</v>
      </c>
      <c r="C30" s="2158"/>
      <c r="D30" s="2159"/>
      <c r="E30" s="2170">
        <f>$O$358</f>
        <v>0</v>
      </c>
      <c r="F30" s="4038" t="str">
        <f>$A$360</f>
        <v>This section is not applicable.</v>
      </c>
      <c r="G30" s="3876"/>
      <c r="H30" s="3876"/>
      <c r="I30" s="3876"/>
      <c r="J30" s="3876"/>
      <c r="K30" s="3876"/>
      <c r="L30" s="3876"/>
      <c r="M30" s="3876"/>
      <c r="N30" s="3876"/>
      <c r="O30" s="4039"/>
      <c r="P30" s="2162"/>
      <c r="Q30" s="2176"/>
    </row>
    <row r="31" spans="1:35" s="2121" customFormat="1" ht="14.45" customHeight="1">
      <c r="A31" s="2151" t="s">
        <v>6555</v>
      </c>
      <c r="B31" s="2157" t="s">
        <v>6553</v>
      </c>
      <c r="C31" s="2158"/>
      <c r="D31" s="2159"/>
      <c r="E31" s="2170">
        <f>$O$365</f>
        <v>0</v>
      </c>
      <c r="F31" s="4038" t="str">
        <f>$A$369</f>
        <v>This section is not applicable.</v>
      </c>
      <c r="G31" s="3876"/>
      <c r="H31" s="3876"/>
      <c r="I31" s="3876"/>
      <c r="J31" s="3876"/>
      <c r="K31" s="3876"/>
      <c r="L31" s="3876"/>
      <c r="M31" s="3876"/>
      <c r="N31" s="3876"/>
      <c r="O31" s="4039"/>
      <c r="P31" s="2455"/>
      <c r="Q31" s="2176"/>
    </row>
    <row r="32" spans="1:35" s="2121" customFormat="1" ht="14.45" customHeight="1">
      <c r="A32" s="2456" t="s">
        <v>6916</v>
      </c>
      <c r="B32" s="2178" t="s">
        <v>6934</v>
      </c>
      <c r="C32" s="2179"/>
      <c r="D32" s="2179"/>
      <c r="E32" s="2454">
        <f>$O$373</f>
        <v>0</v>
      </c>
      <c r="F32" s="4066">
        <f>$A$388</f>
        <v>0</v>
      </c>
      <c r="G32" s="4067"/>
      <c r="H32" s="4067"/>
      <c r="I32" s="4067"/>
      <c r="J32" s="4067"/>
      <c r="K32" s="4067"/>
      <c r="L32" s="4067"/>
      <c r="M32" s="4067"/>
      <c r="N32" s="4067"/>
      <c r="O32" s="4068"/>
      <c r="P32" s="2183"/>
      <c r="Q32" s="2118"/>
    </row>
    <row r="33" spans="1:35" ht="12.75" customHeight="1">
      <c r="Q33" s="2185"/>
    </row>
    <row r="34" spans="1:35" ht="13.5" customHeight="1">
      <c r="A34" s="3848" t="s">
        <v>6948</v>
      </c>
      <c r="B34" s="3848"/>
      <c r="C34" s="3848"/>
      <c r="D34" s="3848"/>
      <c r="E34" s="4084" t="str">
        <f>IF(OR((C36-A36&gt;0),(D36-A36&gt;0)),"Points Exceed Max!","")</f>
        <v/>
      </c>
      <c r="F34" s="3918" t="s">
        <v>6880</v>
      </c>
      <c r="G34" s="3919"/>
      <c r="H34" s="3919"/>
      <c r="I34" s="3920"/>
      <c r="J34" s="4069" t="s">
        <v>6139</v>
      </c>
      <c r="K34" s="4070"/>
      <c r="L34" s="4070"/>
      <c r="M34" s="4071"/>
      <c r="O34" s="3924" t="s">
        <v>6881</v>
      </c>
      <c r="P34" s="3924"/>
      <c r="Q34" s="2185"/>
    </row>
    <row r="35" spans="1:35" ht="13.5" customHeight="1">
      <c r="A35" s="4089" t="s">
        <v>6906</v>
      </c>
      <c r="B35" s="4090"/>
      <c r="C35" s="2461" t="s">
        <v>2889</v>
      </c>
      <c r="D35" s="2460" t="s">
        <v>245</v>
      </c>
      <c r="E35" s="4084"/>
      <c r="F35" s="3921"/>
      <c r="G35" s="3922"/>
      <c r="H35" s="3922"/>
      <c r="I35" s="3923"/>
      <c r="J35" s="4072"/>
      <c r="K35" s="4073"/>
      <c r="L35" s="4073"/>
      <c r="M35" s="4074"/>
      <c r="O35" s="3925"/>
      <c r="P35" s="3925"/>
    </row>
    <row r="36" spans="1:35" ht="10.5" customHeight="1">
      <c r="A36" s="4085">
        <v>33</v>
      </c>
      <c r="B36" s="4086"/>
      <c r="C36" s="4099">
        <f>IF($O$36="4%",O77+O86+O106+O122+O152+O179,0)</f>
        <v>0</v>
      </c>
      <c r="D36" s="4097">
        <f>IF($O$36="4%",P77+P86+P106+P122+P152+P179,0)</f>
        <v>0</v>
      </c>
      <c r="E36" s="4084"/>
      <c r="F36" s="4032" t="s">
        <v>6124</v>
      </c>
      <c r="G36" s="4033"/>
      <c r="H36" s="4033"/>
      <c r="I36" s="4034"/>
      <c r="J36" s="4075" t="s">
        <v>2392</v>
      </c>
      <c r="K36" s="4076"/>
      <c r="L36" s="4076"/>
      <c r="M36" s="4077"/>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7"/>
      <c r="B37" s="4088"/>
      <c r="C37" s="4100"/>
      <c r="D37" s="4098"/>
      <c r="E37" s="4084"/>
      <c r="F37" s="4035"/>
      <c r="G37" s="4036"/>
      <c r="H37" s="4036"/>
      <c r="I37" s="4037"/>
      <c r="J37" s="4078"/>
      <c r="K37" s="4079"/>
      <c r="L37" s="4079"/>
      <c r="M37" s="4080"/>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0" t="s">
        <v>6844</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6873</v>
      </c>
      <c r="B50" s="3922"/>
      <c r="C50" s="3922"/>
      <c r="D50" s="3922"/>
      <c r="E50" s="3922"/>
      <c r="F50" s="2216" t="s">
        <v>3178</v>
      </c>
      <c r="G50" s="3922" t="s">
        <v>6874</v>
      </c>
      <c r="H50" s="3922"/>
      <c r="I50" s="3922"/>
      <c r="J50" s="2216" t="s">
        <v>3178</v>
      </c>
      <c r="K50" s="4091" t="s">
        <v>6875</v>
      </c>
      <c r="L50" s="4091"/>
      <c r="M50" s="4091"/>
      <c r="N50" s="4091"/>
      <c r="O50" s="3858" t="s">
        <v>3178</v>
      </c>
      <c r="P50" s="3859"/>
      <c r="R50" s="2209"/>
      <c r="S50" s="2217"/>
    </row>
    <row r="51" spans="1:20" s="2121" customFormat="1" ht="12.75" customHeight="1">
      <c r="A51" s="4081"/>
      <c r="B51" s="4081"/>
      <c r="C51" s="4081"/>
      <c r="D51" s="4081"/>
      <c r="E51" s="4081"/>
      <c r="F51" s="2218">
        <f>SUM(F52:F63)</f>
        <v>0</v>
      </c>
      <c r="G51" s="4082"/>
      <c r="H51" s="4081"/>
      <c r="I51" s="4083"/>
      <c r="J51" s="2218">
        <f>SUM(J52:J63)</f>
        <v>0</v>
      </c>
      <c r="K51" s="4092"/>
      <c r="L51" s="4093"/>
      <c r="M51" s="4093"/>
      <c r="N51" s="4094"/>
      <c r="O51" s="4095">
        <f>SUM(O52:O63)</f>
        <v>0</v>
      </c>
      <c r="P51" s="4096"/>
      <c r="Q51" s="2209"/>
      <c r="R51" s="2217"/>
    </row>
    <row r="52" spans="1:20" s="2121" customFormat="1" ht="29.25" customHeight="1">
      <c r="A52" s="4043">
        <v>1</v>
      </c>
      <c r="B52" s="4044"/>
      <c r="C52" s="4044"/>
      <c r="D52" s="4044"/>
      <c r="E52" s="4045"/>
      <c r="F52" s="2219"/>
      <c r="G52" s="4043">
        <v>1</v>
      </c>
      <c r="H52" s="4044"/>
      <c r="I52" s="4045"/>
      <c r="J52" s="2220" t="s">
        <v>1610</v>
      </c>
      <c r="K52" s="4046">
        <v>1</v>
      </c>
      <c r="L52" s="4047"/>
      <c r="M52" s="4047"/>
      <c r="N52" s="4047"/>
      <c r="O52" s="4048" t="s">
        <v>1610</v>
      </c>
      <c r="P52" s="4049"/>
      <c r="Q52" s="2252"/>
      <c r="R52" s="2217"/>
    </row>
    <row r="53" spans="1:20" s="2121" customFormat="1" ht="29.25" customHeight="1">
      <c r="A53" s="4018">
        <v>2</v>
      </c>
      <c r="B53" s="4019"/>
      <c r="C53" s="4019"/>
      <c r="D53" s="4019"/>
      <c r="E53" s="4020"/>
      <c r="F53" s="2221"/>
      <c r="G53" s="4018">
        <v>2</v>
      </c>
      <c r="H53" s="4019"/>
      <c r="I53" s="4020"/>
      <c r="J53" s="2221"/>
      <c r="K53" s="4028">
        <v>2</v>
      </c>
      <c r="L53" s="4029"/>
      <c r="M53" s="4029"/>
      <c r="N53" s="4029"/>
      <c r="O53" s="4021"/>
      <c r="P53" s="4022"/>
      <c r="Q53" s="2209"/>
      <c r="R53" s="2217"/>
    </row>
    <row r="54" spans="1:20" s="2121" customFormat="1" ht="29.25" customHeight="1">
      <c r="A54" s="4018">
        <v>3</v>
      </c>
      <c r="B54" s="4019"/>
      <c r="C54" s="4019"/>
      <c r="D54" s="4019"/>
      <c r="E54" s="4020"/>
      <c r="F54" s="2221"/>
      <c r="G54" s="4018">
        <v>3</v>
      </c>
      <c r="H54" s="4019"/>
      <c r="I54" s="4020"/>
      <c r="J54" s="2222"/>
      <c r="K54" s="4028">
        <v>3</v>
      </c>
      <c r="L54" s="4029"/>
      <c r="M54" s="4029"/>
      <c r="N54" s="4029"/>
      <c r="O54" s="4021"/>
      <c r="P54" s="4022"/>
      <c r="Q54" s="2409"/>
      <c r="R54" s="2150"/>
      <c r="S54" s="2150"/>
      <c r="T54" s="2150"/>
    </row>
    <row r="55" spans="1:20" s="2121" customFormat="1" ht="29.25" customHeight="1">
      <c r="A55" s="4018">
        <v>4</v>
      </c>
      <c r="B55" s="4019"/>
      <c r="C55" s="4019"/>
      <c r="D55" s="4019"/>
      <c r="E55" s="4020"/>
      <c r="F55" s="2221"/>
      <c r="G55" s="4018">
        <v>4</v>
      </c>
      <c r="H55" s="4019"/>
      <c r="I55" s="4020"/>
      <c r="J55" s="2221"/>
      <c r="K55" s="4028">
        <v>4</v>
      </c>
      <c r="L55" s="4029"/>
      <c r="M55" s="4029"/>
      <c r="N55" s="4029"/>
      <c r="O55" s="4021"/>
      <c r="P55" s="4022"/>
      <c r="Q55" s="2409"/>
      <c r="R55" s="2150"/>
      <c r="S55" s="2150"/>
      <c r="T55" s="2150"/>
    </row>
    <row r="56" spans="1:20" s="2121" customFormat="1" ht="29.25" customHeight="1">
      <c r="A56" s="4018">
        <v>5</v>
      </c>
      <c r="B56" s="4019"/>
      <c r="C56" s="4019"/>
      <c r="D56" s="4019"/>
      <c r="E56" s="4020"/>
      <c r="F56" s="2221"/>
      <c r="G56" s="4018">
        <v>5</v>
      </c>
      <c r="H56" s="4019"/>
      <c r="I56" s="4020"/>
      <c r="J56" s="2222"/>
      <c r="K56" s="4028">
        <v>5</v>
      </c>
      <c r="L56" s="4029"/>
      <c r="M56" s="4029"/>
      <c r="N56" s="4029"/>
      <c r="O56" s="4021"/>
      <c r="P56" s="4022"/>
      <c r="Q56" s="2409"/>
      <c r="R56" s="2150"/>
      <c r="S56" s="2150"/>
      <c r="T56" s="2150"/>
    </row>
    <row r="57" spans="1:20" s="2121" customFormat="1" ht="29.25" customHeight="1">
      <c r="A57" s="4018">
        <v>6</v>
      </c>
      <c r="B57" s="4019"/>
      <c r="C57" s="4019"/>
      <c r="D57" s="4019"/>
      <c r="E57" s="4020"/>
      <c r="F57" s="2221"/>
      <c r="G57" s="4018">
        <v>6</v>
      </c>
      <c r="H57" s="4019"/>
      <c r="I57" s="4020"/>
      <c r="J57" s="2221"/>
      <c r="K57" s="4028">
        <v>6</v>
      </c>
      <c r="L57" s="4029"/>
      <c r="M57" s="4029"/>
      <c r="N57" s="4029"/>
      <c r="O57" s="4021"/>
      <c r="P57" s="4022"/>
      <c r="Q57" s="2409"/>
      <c r="R57" s="2150"/>
    </row>
    <row r="58" spans="1:20" s="2121" customFormat="1" ht="29.25" customHeight="1">
      <c r="A58" s="4018">
        <v>7</v>
      </c>
      <c r="B58" s="4019"/>
      <c r="C58" s="4019"/>
      <c r="D58" s="4019"/>
      <c r="E58" s="4020"/>
      <c r="F58" s="2221"/>
      <c r="G58" s="4018">
        <v>7</v>
      </c>
      <c r="H58" s="4019"/>
      <c r="I58" s="4020"/>
      <c r="J58" s="2222"/>
      <c r="K58" s="4028">
        <v>7</v>
      </c>
      <c r="L58" s="4029"/>
      <c r="M58" s="4029"/>
      <c r="N58" s="4029"/>
      <c r="O58" s="4021"/>
      <c r="P58" s="4022"/>
      <c r="Q58" s="2217"/>
      <c r="R58" s="2217"/>
    </row>
    <row r="59" spans="1:20" s="2121" customFormat="1" ht="29.25" customHeight="1">
      <c r="A59" s="4018">
        <v>8</v>
      </c>
      <c r="B59" s="4019"/>
      <c r="C59" s="4019"/>
      <c r="D59" s="4019"/>
      <c r="E59" s="4020"/>
      <c r="F59" s="2221"/>
      <c r="G59" s="4018">
        <v>8</v>
      </c>
      <c r="H59" s="4019"/>
      <c r="I59" s="4020"/>
      <c r="J59" s="2221"/>
      <c r="K59" s="4028">
        <v>8</v>
      </c>
      <c r="L59" s="4029"/>
      <c r="M59" s="4029"/>
      <c r="N59" s="4029"/>
      <c r="O59" s="4021"/>
      <c r="P59" s="4022"/>
      <c r="Q59" s="2217"/>
      <c r="R59" s="2217"/>
    </row>
    <row r="60" spans="1:20" s="2121" customFormat="1" ht="29.25" customHeight="1">
      <c r="A60" s="4018">
        <v>9</v>
      </c>
      <c r="B60" s="4019"/>
      <c r="C60" s="4019"/>
      <c r="D60" s="4019"/>
      <c r="E60" s="4020"/>
      <c r="F60" s="2221"/>
      <c r="G60" s="4018">
        <v>9</v>
      </c>
      <c r="H60" s="4019"/>
      <c r="I60" s="4020"/>
      <c r="J60" s="2222"/>
      <c r="K60" s="4028">
        <v>9</v>
      </c>
      <c r="L60" s="4029"/>
      <c r="M60" s="4029"/>
      <c r="N60" s="4029"/>
      <c r="O60" s="4021"/>
      <c r="P60" s="4022"/>
      <c r="Q60" s="2217"/>
      <c r="R60" s="2217"/>
    </row>
    <row r="61" spans="1:20" s="2121" customFormat="1" ht="29.25" customHeight="1">
      <c r="A61" s="4018">
        <v>10</v>
      </c>
      <c r="B61" s="4019"/>
      <c r="C61" s="4019"/>
      <c r="D61" s="4019"/>
      <c r="E61" s="4020"/>
      <c r="F61" s="2221"/>
      <c r="G61" s="4018">
        <v>10</v>
      </c>
      <c r="H61" s="4019"/>
      <c r="I61" s="4020"/>
      <c r="J61" s="2221"/>
      <c r="K61" s="4028">
        <v>10</v>
      </c>
      <c r="L61" s="4029"/>
      <c r="M61" s="4029"/>
      <c r="N61" s="4029"/>
      <c r="O61" s="4021"/>
      <c r="P61" s="4022"/>
      <c r="Q61" s="2217"/>
    </row>
    <row r="62" spans="1:20" s="2121" customFormat="1" ht="29.25" customHeight="1">
      <c r="A62" s="4018">
        <v>11</v>
      </c>
      <c r="B62" s="4019"/>
      <c r="C62" s="4019"/>
      <c r="D62" s="4019"/>
      <c r="E62" s="4020"/>
      <c r="F62" s="2221"/>
      <c r="G62" s="4018">
        <v>11</v>
      </c>
      <c r="H62" s="4019"/>
      <c r="I62" s="4020"/>
      <c r="J62" s="2222"/>
      <c r="K62" s="4018">
        <v>11</v>
      </c>
      <c r="L62" s="4019"/>
      <c r="M62" s="4019"/>
      <c r="N62" s="4020"/>
      <c r="O62" s="4021"/>
      <c r="P62" s="4022"/>
      <c r="Q62" s="2217"/>
      <c r="R62" s="2217"/>
    </row>
    <row r="63" spans="1:20" s="2121" customFormat="1" ht="29.25" customHeight="1">
      <c r="A63" s="4023">
        <v>12</v>
      </c>
      <c r="B63" s="4024"/>
      <c r="C63" s="4024"/>
      <c r="D63" s="4024"/>
      <c r="E63" s="4025"/>
      <c r="F63" s="2223"/>
      <c r="G63" s="4023">
        <v>12</v>
      </c>
      <c r="H63" s="4024"/>
      <c r="I63" s="4025"/>
      <c r="J63" s="2223"/>
      <c r="K63" s="4023">
        <v>12</v>
      </c>
      <c r="L63" s="4024"/>
      <c r="M63" s="4024"/>
      <c r="N63" s="4025"/>
      <c r="O63" s="4026"/>
      <c r="P63" s="4027"/>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6876</v>
      </c>
      <c r="C68" s="2255"/>
      <c r="D68" s="2255"/>
      <c r="E68" s="2255"/>
      <c r="F68" s="2255"/>
      <c r="G68" s="2120" t="s">
        <v>6645</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57.954545454545453</v>
      </c>
      <c r="L69" s="2185"/>
      <c r="M69" s="2123">
        <v>2</v>
      </c>
      <c r="N69" s="2377"/>
      <c r="O69" s="2240">
        <v>2</v>
      </c>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6879</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89.25" customHeight="1" thickTop="1" thickBot="1">
      <c r="A81" s="3867" t="s">
        <v>7088</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6" t="s">
        <v>3215</v>
      </c>
      <c r="G88" s="4016"/>
      <c r="H88" s="4016"/>
      <c r="I88" s="4016"/>
      <c r="J88" s="4016" t="s">
        <v>3216</v>
      </c>
      <c r="K88" s="4016"/>
      <c r="L88" s="4016"/>
      <c r="M88" s="4016"/>
      <c r="N88" s="2254"/>
      <c r="O88" s="3860" t="s">
        <v>6846</v>
      </c>
      <c r="P88" s="3860"/>
      <c r="R88" s="2157"/>
      <c r="S88" s="2275">
        <v>0.5</v>
      </c>
      <c r="T88" s="2275">
        <v>4.5</v>
      </c>
      <c r="U88" s="2267"/>
    </row>
    <row r="89" spans="1:21" ht="15.95" customHeight="1">
      <c r="B89" s="2272"/>
      <c r="C89" s="2420" t="s">
        <v>6847</v>
      </c>
      <c r="F89" s="4017">
        <v>31.518618</v>
      </c>
      <c r="G89" s="4009"/>
      <c r="H89" s="4010"/>
      <c r="I89" s="4011"/>
      <c r="J89" s="4008">
        <v>-83.848099000000005</v>
      </c>
      <c r="K89" s="4009"/>
      <c r="L89" s="4010"/>
      <c r="M89" s="4011"/>
      <c r="N89" s="2120"/>
      <c r="O89" s="3861"/>
      <c r="P89" s="3861"/>
      <c r="R89" s="2274" t="s">
        <v>6670</v>
      </c>
      <c r="S89" s="2280">
        <v>1</v>
      </c>
      <c r="T89" s="2280">
        <v>4</v>
      </c>
      <c r="U89" s="2267"/>
    </row>
    <row r="90" spans="1:21" ht="15.95" customHeight="1">
      <c r="A90" s="2272"/>
      <c r="B90" s="2158"/>
      <c r="C90" s="2420" t="s">
        <v>6848</v>
      </c>
      <c r="F90" s="4012">
        <v>31.518618</v>
      </c>
      <c r="G90" s="4013"/>
      <c r="H90" s="4014"/>
      <c r="I90" s="4015"/>
      <c r="J90" s="4012">
        <v>-83.848099000000005</v>
      </c>
      <c r="K90" s="4013"/>
      <c r="L90" s="4014"/>
      <c r="M90" s="4015"/>
      <c r="N90" s="2254"/>
      <c r="O90" s="2276"/>
      <c r="P90" s="2277"/>
      <c r="R90" s="2278"/>
      <c r="S90" s="2281">
        <v>0.25</v>
      </c>
      <c r="T90" s="2281">
        <v>3</v>
      </c>
      <c r="U90" s="2267"/>
    </row>
    <row r="91" spans="1:21" ht="15.95" customHeight="1">
      <c r="A91" s="2158"/>
      <c r="B91" s="4005" t="s">
        <v>6885</v>
      </c>
      <c r="C91" s="4005"/>
      <c r="D91" s="4005"/>
      <c r="E91" s="4005"/>
      <c r="F91" s="2139" t="s">
        <v>6849</v>
      </c>
      <c r="G91" s="4007" t="s">
        <v>1672</v>
      </c>
      <c r="H91" s="4007"/>
      <c r="I91" s="4007"/>
      <c r="J91" s="4007" t="s">
        <v>6882</v>
      </c>
      <c r="K91" s="4007"/>
      <c r="L91" s="4007"/>
      <c r="M91" s="4007"/>
      <c r="N91" s="4007"/>
      <c r="O91" s="4007"/>
      <c r="P91" s="4007"/>
      <c r="R91" s="2279"/>
      <c r="S91" s="2275">
        <v>0.5</v>
      </c>
      <c r="T91" s="2275">
        <v>2</v>
      </c>
      <c r="U91" s="2267"/>
    </row>
    <row r="92" spans="1:21" ht="15.95" customHeight="1">
      <c r="A92" s="2158"/>
      <c r="B92" s="3928" t="s">
        <v>7089</v>
      </c>
      <c r="C92" s="3928"/>
      <c r="D92" s="3928"/>
      <c r="E92" s="3928"/>
      <c r="F92" s="2416" t="s">
        <v>7090</v>
      </c>
      <c r="G92" s="4006" t="s">
        <v>7091</v>
      </c>
      <c r="H92" s="4006"/>
      <c r="I92" s="4006"/>
      <c r="J92" s="4006" t="s">
        <v>7092</v>
      </c>
      <c r="K92" s="4006"/>
      <c r="L92" s="4006"/>
      <c r="M92" s="4006"/>
      <c r="N92" s="4006"/>
      <c r="O92" s="4006"/>
      <c r="P92" s="4006"/>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6877</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6878</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6883</v>
      </c>
      <c r="D100" s="3876"/>
      <c r="E100" s="3876"/>
      <c r="F100" s="3876"/>
      <c r="G100" s="3876"/>
      <c r="H100" s="3876"/>
      <c r="I100" s="3876"/>
      <c r="J100" s="3876"/>
      <c r="K100" s="3876"/>
      <c r="L100" s="3876"/>
      <c r="M100" s="2286">
        <v>2</v>
      </c>
      <c r="N100" s="2413"/>
      <c r="O100" s="2418">
        <v>2</v>
      </c>
      <c r="P100" s="2419"/>
    </row>
    <row r="101" spans="1:21" ht="15.95" customHeight="1" thickBot="1">
      <c r="A101" s="2121"/>
      <c r="B101" s="2260" t="s">
        <v>3240</v>
      </c>
      <c r="C101" s="2121"/>
      <c r="D101" s="2121"/>
      <c r="E101" s="2121"/>
      <c r="F101" s="2121"/>
      <c r="G101" s="2121"/>
      <c r="H101" s="2121"/>
      <c r="K101" s="2121"/>
      <c r="M101" s="2123"/>
      <c r="O101" s="2133"/>
    </row>
    <row r="102" spans="1:21" ht="314.25" customHeight="1" thickTop="1" thickBot="1">
      <c r="A102" s="3867" t="s">
        <v>7113</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4" t="s">
        <v>6908</v>
      </c>
      <c r="G107" s="3864"/>
      <c r="H107" s="3864" t="s">
        <v>6909</v>
      </c>
      <c r="I107" s="3864"/>
      <c r="J107" s="3998" t="s">
        <v>6935</v>
      </c>
      <c r="K107" s="3999"/>
      <c r="L107" s="3862" t="s">
        <v>6888</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6629</v>
      </c>
      <c r="C109" s="2436"/>
      <c r="D109" s="2433"/>
      <c r="E109" s="2433"/>
      <c r="F109" s="3865"/>
      <c r="G109" s="3865"/>
      <c r="H109" s="3865"/>
      <c r="I109" s="3865"/>
      <c r="J109" s="4002"/>
      <c r="K109" s="4003"/>
      <c r="L109" s="3865"/>
      <c r="M109" s="3865"/>
      <c r="N109" s="3865"/>
      <c r="O109" s="3866"/>
      <c r="P109" s="2304"/>
    </row>
    <row r="110" spans="1:21" ht="15.95" customHeight="1">
      <c r="B110" s="3986" t="s">
        <v>7093</v>
      </c>
      <c r="C110" s="3987"/>
      <c r="D110" s="3987"/>
      <c r="E110" s="3988"/>
      <c r="F110" s="3996" t="s">
        <v>2652</v>
      </c>
      <c r="G110" s="3997"/>
      <c r="H110" s="3996" t="s">
        <v>2649</v>
      </c>
      <c r="I110" s="3997"/>
      <c r="J110" s="3855" t="s">
        <v>2649</v>
      </c>
      <c r="K110" s="3857"/>
      <c r="L110" s="3855" t="s">
        <v>2649</v>
      </c>
      <c r="M110" s="3856"/>
      <c r="N110" s="3856"/>
      <c r="O110" s="3857"/>
      <c r="P110" s="2257"/>
    </row>
    <row r="111" spans="1:21" ht="15.95" customHeight="1">
      <c r="B111" s="3980" t="s">
        <v>7094</v>
      </c>
      <c r="C111" s="3981"/>
      <c r="D111" s="3981"/>
      <c r="E111" s="3982"/>
      <c r="F111" s="3993" t="s">
        <v>2652</v>
      </c>
      <c r="G111" s="3994"/>
      <c r="H111" s="3993" t="s">
        <v>2649</v>
      </c>
      <c r="I111" s="3994"/>
      <c r="J111" s="3852" t="s">
        <v>2649</v>
      </c>
      <c r="K111" s="3854"/>
      <c r="L111" s="3852" t="s">
        <v>2649</v>
      </c>
      <c r="M111" s="3853"/>
      <c r="N111" s="3853"/>
      <c r="O111" s="3854"/>
      <c r="P111" s="2270"/>
    </row>
    <row r="112" spans="1:21" ht="15.95" customHeight="1">
      <c r="B112" s="3980" t="s">
        <v>7095</v>
      </c>
      <c r="C112" s="3981"/>
      <c r="D112" s="3981"/>
      <c r="E112" s="3982"/>
      <c r="F112" s="3993" t="s">
        <v>2652</v>
      </c>
      <c r="G112" s="3994"/>
      <c r="H112" s="3993" t="s">
        <v>2649</v>
      </c>
      <c r="I112" s="3994"/>
      <c r="J112" s="3852" t="s">
        <v>2649</v>
      </c>
      <c r="K112" s="3854"/>
      <c r="L112" s="3852" t="s">
        <v>2649</v>
      </c>
      <c r="M112" s="3853"/>
      <c r="N112" s="3853"/>
      <c r="O112" s="3854"/>
      <c r="P112" s="2270"/>
    </row>
    <row r="113" spans="1:21" ht="15.95" customHeight="1">
      <c r="B113" s="3980" t="s">
        <v>7096</v>
      </c>
      <c r="C113" s="3981"/>
      <c r="D113" s="3981"/>
      <c r="E113" s="3982"/>
      <c r="F113" s="3993" t="s">
        <v>2652</v>
      </c>
      <c r="G113" s="3994"/>
      <c r="H113" s="3993" t="s">
        <v>2652</v>
      </c>
      <c r="I113" s="3994"/>
      <c r="J113" s="3852" t="s">
        <v>2649</v>
      </c>
      <c r="K113" s="3854"/>
      <c r="L113" s="3852" t="s">
        <v>2649</v>
      </c>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289.5" customHeight="1" thickTop="1" thickBot="1">
      <c r="A117" s="3867" t="s">
        <v>7097</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6</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4</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86" t="s">
        <v>7099</v>
      </c>
      <c r="N125" s="3987"/>
      <c r="O125" s="3987"/>
      <c r="P125" s="3988"/>
      <c r="S125" s="2118"/>
      <c r="T125" s="2118"/>
      <c r="U125" s="2118"/>
    </row>
    <row r="126" spans="1:21" s="2121" customFormat="1" ht="15.95" customHeight="1">
      <c r="B126" s="2254"/>
      <c r="C126" s="2121" t="s">
        <v>6852</v>
      </c>
      <c r="L126" s="2254"/>
      <c r="M126" s="3980" t="s">
        <v>7100</v>
      </c>
      <c r="N126" s="3981"/>
      <c r="O126" s="3981"/>
      <c r="P126" s="3982"/>
      <c r="S126" s="2118"/>
      <c r="T126" s="2118"/>
      <c r="U126" s="2118"/>
    </row>
    <row r="127" spans="1:21" s="2121" customFormat="1" ht="15.95" customHeight="1">
      <c r="B127" s="2254"/>
      <c r="C127" s="2121" t="s">
        <v>6853</v>
      </c>
      <c r="L127" s="2254"/>
      <c r="M127" s="3980" t="s">
        <v>7101</v>
      </c>
      <c r="N127" s="3981"/>
      <c r="O127" s="3981"/>
      <c r="P127" s="3982"/>
      <c r="Q127" s="2312">
        <f>IF(K127="Yes",1,0)</f>
        <v>0</v>
      </c>
      <c r="S127" s="2118"/>
      <c r="T127" s="2118"/>
      <c r="U127" s="2118"/>
    </row>
    <row r="128" spans="1:21" s="2121" customFormat="1" ht="15.95" customHeight="1">
      <c r="A128" s="2254"/>
      <c r="B128" s="2254"/>
      <c r="C128" s="2121" t="s">
        <v>6854</v>
      </c>
      <c r="L128" s="2254"/>
      <c r="M128" s="3980" t="s">
        <v>7102</v>
      </c>
      <c r="N128" s="3981"/>
      <c r="O128" s="3981"/>
      <c r="P128" s="3982"/>
      <c r="Q128" s="2312">
        <f>IF(K128="Yes",1,0)</f>
        <v>0</v>
      </c>
      <c r="S128" s="2118"/>
      <c r="T128" s="2118"/>
      <c r="U128" s="2118"/>
    </row>
    <row r="129" spans="1:22" s="2121" customFormat="1" ht="15.95" customHeight="1">
      <c r="A129" s="2254"/>
      <c r="B129" s="2254"/>
      <c r="C129" s="2121" t="s">
        <v>6891</v>
      </c>
      <c r="L129" s="2254"/>
      <c r="M129" s="3983" t="s">
        <v>7098</v>
      </c>
      <c r="N129" s="3984"/>
      <c r="O129" s="3984"/>
      <c r="P129" s="3985"/>
      <c r="Q129" s="2312"/>
      <c r="S129" s="2118"/>
      <c r="T129" s="2118"/>
      <c r="U129" s="2118"/>
      <c r="V129" s="2312"/>
    </row>
    <row r="130" spans="1:22" ht="15.95" customHeight="1">
      <c r="A130" s="2311"/>
      <c r="B130" s="2307" t="s">
        <v>1844</v>
      </c>
      <c r="C130" s="2233" t="s">
        <v>6890</v>
      </c>
      <c r="D130" s="2157"/>
      <c r="E130" s="2157"/>
      <c r="F130" s="2157"/>
      <c r="G130" s="2157"/>
      <c r="H130" s="2157"/>
      <c r="I130" s="2157"/>
      <c r="K130" s="2123"/>
      <c r="L130" s="2123"/>
      <c r="M130" s="2123">
        <v>2</v>
      </c>
      <c r="N130" s="2310"/>
      <c r="O130" s="2308">
        <v>2</v>
      </c>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6855</v>
      </c>
      <c r="D132" s="3876"/>
      <c r="E132" s="3876"/>
      <c r="F132" s="3876"/>
      <c r="G132" s="3876"/>
      <c r="H132" s="3876"/>
      <c r="I132" s="3876"/>
      <c r="J132" s="3876"/>
      <c r="K132" s="3876"/>
      <c r="L132" s="3876"/>
      <c r="M132" s="2286">
        <v>1</v>
      </c>
      <c r="N132" s="2310"/>
      <c r="O132" s="2314">
        <v>1</v>
      </c>
      <c r="P132" s="2315"/>
      <c r="Q132" s="2242" t="str">
        <f>IF(OR($O132=$M132,$O132=0,$O132=""),"","*CHECK!*")</f>
        <v/>
      </c>
      <c r="R132" s="2305"/>
    </row>
    <row r="133" spans="1:22" ht="30.75" customHeight="1">
      <c r="A133" s="2235"/>
      <c r="B133" s="2310"/>
      <c r="C133" s="3876" t="s">
        <v>6899</v>
      </c>
      <c r="D133" s="3876"/>
      <c r="E133" s="3876"/>
      <c r="F133" s="3876"/>
      <c r="G133" s="3876"/>
      <c r="H133" s="3876"/>
      <c r="I133" s="3876"/>
      <c r="J133" s="3876"/>
      <c r="K133" s="3876"/>
      <c r="L133" s="3876"/>
      <c r="M133" s="2286">
        <v>1</v>
      </c>
      <c r="N133" s="2310"/>
      <c r="O133" s="2316">
        <v>1</v>
      </c>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v>2</v>
      </c>
      <c r="P135" s="2415"/>
      <c r="Q135" s="2320"/>
      <c r="R135" s="2305"/>
    </row>
    <row r="136" spans="1:22" s="2121" customFormat="1" ht="15.95" customHeight="1" thickBot="1">
      <c r="B136" s="2260" t="s">
        <v>3240</v>
      </c>
      <c r="M136" s="2123"/>
      <c r="N136" s="2123"/>
      <c r="O136" s="2133"/>
      <c r="P136" s="2124"/>
    </row>
    <row r="137" spans="1:22" ht="390.75" customHeight="1" thickTop="1" thickBot="1">
      <c r="A137" s="3867" t="s">
        <v>7114</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2649</v>
      </c>
      <c r="P144" s="2257"/>
      <c r="Q144" s="2203"/>
      <c r="R144" s="2118"/>
      <c r="S144" s="2118"/>
      <c r="T144" s="2118"/>
      <c r="U144" s="2118"/>
    </row>
    <row r="145" spans="1:27" ht="33.950000000000003" customHeight="1">
      <c r="A145" s="2142"/>
      <c r="B145" s="3941" t="s">
        <v>6898</v>
      </c>
      <c r="C145" s="3941"/>
      <c r="D145" s="3941"/>
      <c r="E145" s="3941"/>
      <c r="F145" s="3941"/>
      <c r="G145" s="3941"/>
      <c r="H145" s="3941"/>
      <c r="I145" s="3941"/>
      <c r="J145" s="3941"/>
      <c r="K145" s="3941"/>
      <c r="L145" s="3941"/>
      <c r="M145" s="3941"/>
      <c r="N145" s="2124"/>
      <c r="O145" s="2325" t="s">
        <v>2649</v>
      </c>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365.25" customHeight="1" thickTop="1" thickBot="1">
      <c r="A147" s="3867" t="s">
        <v>7116</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2"/>
      <c r="K154" s="3973"/>
      <c r="L154" s="3974" t="s">
        <v>3204</v>
      </c>
      <c r="M154" s="3975"/>
      <c r="N154" s="2123"/>
      <c r="R154" s="2203"/>
      <c r="S154" s="2121"/>
    </row>
    <row r="155" spans="1:27" ht="15.95" customHeight="1">
      <c r="C155" s="2331" t="s">
        <v>6892</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79" t="s">
        <v>6218</v>
      </c>
      <c r="F158" s="3979"/>
      <c r="G158" s="3979"/>
      <c r="H158" s="3979"/>
      <c r="I158" s="2139" t="s">
        <v>6893</v>
      </c>
      <c r="J158" s="3979" t="s">
        <v>6218</v>
      </c>
      <c r="K158" s="3979"/>
      <c r="L158" s="3979"/>
      <c r="M158" s="3979"/>
      <c r="N158" s="2120"/>
      <c r="O158" s="2120"/>
      <c r="P158" s="2120"/>
    </row>
    <row r="159" spans="1:27" ht="15.95" customHeight="1">
      <c r="C159" s="2121" t="s">
        <v>6217</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6215</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6.5" thickTop="1" thickBot="1">
      <c r="A165" s="3867" t="s">
        <v>7069</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64" t="str">
        <f>'Part V-Revenues &amp; Expenses'!$O$53</f>
        <v>Income Averaging</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6"/>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7069</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6857</v>
      </c>
      <c r="H190" s="3848" t="s">
        <v>574</v>
      </c>
      <c r="I190" s="3848"/>
      <c r="J190" s="3848"/>
      <c r="K190" s="3957" t="s">
        <v>6931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7" t="s">
        <v>7069</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4</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v>4</v>
      </c>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75" customHeight="1" thickTop="1" thickBot="1">
      <c r="A205" s="3867" t="s">
        <v>7103</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6894</v>
      </c>
      <c r="C216" s="3941"/>
      <c r="D216" s="3941"/>
      <c r="E216" s="3941"/>
      <c r="F216" s="3941"/>
      <c r="G216" s="3941"/>
      <c r="H216" s="3941"/>
      <c r="I216" s="3941"/>
      <c r="J216" s="3941"/>
      <c r="K216" s="3941"/>
      <c r="L216" s="3941"/>
      <c r="M216" s="2123"/>
      <c r="N216" s="2254"/>
      <c r="O216" s="2358"/>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6940</v>
      </c>
      <c r="C218" s="3876"/>
      <c r="D218" s="3876"/>
      <c r="E218" s="3876"/>
      <c r="F218" s="3876"/>
      <c r="G218" s="3876"/>
      <c r="H218" s="3876"/>
      <c r="I218" s="3876"/>
      <c r="J218" s="3876"/>
      <c r="K218" s="3876"/>
      <c r="L218" s="3876"/>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6895</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7069</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3942" t="s">
        <v>6897</v>
      </c>
      <c r="P234" s="3942" t="s">
        <v>3150</v>
      </c>
      <c r="Q234" s="2203"/>
      <c r="R234" s="2118"/>
      <c r="S234" s="2118"/>
      <c r="T234" s="2118"/>
      <c r="U234" s="2118"/>
      <c r="V234" s="2118"/>
      <c r="W234" s="2120"/>
      <c r="X234" s="2120"/>
    </row>
    <row r="235" spans="1:24" s="2121" customFormat="1" ht="15.95" customHeight="1">
      <c r="A235" s="2142"/>
      <c r="C235" s="2121" t="s">
        <v>6692</v>
      </c>
      <c r="I235" s="3932" t="s">
        <v>7072</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6691</v>
      </c>
      <c r="I236" s="3934" t="s">
        <v>7072</v>
      </c>
      <c r="J236" s="3935"/>
      <c r="M236" s="2210"/>
      <c r="O236" s="3864"/>
      <c r="P236" s="3864"/>
      <c r="Q236" s="2203"/>
      <c r="R236" s="2118"/>
      <c r="S236" s="2118"/>
      <c r="T236" s="2118"/>
      <c r="U236" s="2118"/>
      <c r="V236" s="2118"/>
      <c r="W236" s="2120"/>
      <c r="X236" s="2120"/>
    </row>
    <row r="237" spans="1:24" s="2121" customFormat="1" ht="15.95" customHeight="1">
      <c r="A237" s="2142"/>
      <c r="C237" s="2121" t="s">
        <v>6693</v>
      </c>
      <c r="I237" s="3939" t="s">
        <v>7073</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6859</v>
      </c>
      <c r="D239" s="3941"/>
      <c r="E239" s="3941"/>
      <c r="F239" s="3941"/>
      <c r="G239" s="3941"/>
      <c r="H239" s="3941"/>
      <c r="I239" s="3941"/>
      <c r="J239" s="3941"/>
      <c r="K239" s="3941"/>
      <c r="L239" s="3941"/>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6587</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6860</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c r="P245" s="2257"/>
      <c r="Q245" s="2364"/>
      <c r="R245" s="2305"/>
      <c r="S245" s="2118"/>
      <c r="T245" s="2118"/>
      <c r="U245" s="2118"/>
      <c r="V245" s="2118"/>
    </row>
    <row r="246" spans="1:22" s="2157" customFormat="1" ht="30" customHeight="1">
      <c r="A246" s="2365"/>
      <c r="B246" s="2285"/>
      <c r="C246" s="3876" t="s">
        <v>6936</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68.25" customHeight="1" thickTop="1" thickBot="1">
      <c r="A248" s="3867" t="s">
        <v>7074</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56.25" customHeight="1" thickTop="1" thickBot="1">
      <c r="A257" s="3867" t="s">
        <v>7075</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t="s">
        <v>7076</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t="s">
        <v>7076</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3153</v>
      </c>
      <c r="D272" s="2227"/>
      <c r="E272" s="2227"/>
      <c r="G272" s="2121"/>
      <c r="I272" s="3873" t="s">
        <v>7104</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79.5" customHeight="1" thickTop="1" thickBot="1">
      <c r="A275" s="3867" t="s">
        <v>7105</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3347</v>
      </c>
      <c r="L281" s="2232" t="str">
        <f>IF(O281&lt;=M281,"","* * Check Score! * *")</f>
        <v/>
      </c>
      <c r="M281" s="2123">
        <v>3</v>
      </c>
      <c r="N281" s="2254"/>
      <c r="O281" s="2372">
        <v>1</v>
      </c>
      <c r="P281" s="2373"/>
      <c r="Q281" s="2320" t="str">
        <f>IF(O281&lt;=M281,"","*CHECK!*")</f>
        <v/>
      </c>
      <c r="R281" s="2136"/>
      <c r="S281" s="2136"/>
      <c r="T281" s="2119"/>
    </row>
    <row r="282" spans="1:20" ht="30.95" customHeight="1">
      <c r="A282" s="2313"/>
      <c r="B282" s="3929" t="s">
        <v>6862</v>
      </c>
      <c r="C282" s="3929"/>
      <c r="D282" s="3929"/>
      <c r="E282" s="3929"/>
      <c r="F282" s="3929"/>
      <c r="G282" s="3929"/>
      <c r="H282" s="3929"/>
      <c r="I282" s="3929"/>
      <c r="J282" s="3929"/>
      <c r="K282" s="3929"/>
      <c r="L282" s="3929"/>
      <c r="N282" s="2120"/>
      <c r="O282" s="2374" t="s">
        <v>2649</v>
      </c>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3155</v>
      </c>
      <c r="I285" s="2310"/>
      <c r="J285" s="3877"/>
      <c r="K285" s="3878"/>
      <c r="L285" s="2310"/>
      <c r="M285" s="3879"/>
      <c r="N285" s="3880"/>
      <c r="O285" s="3880"/>
      <c r="P285" s="3881"/>
      <c r="R285" s="2232"/>
    </row>
    <row r="286" spans="1:20" ht="15.95" customHeight="1">
      <c r="B286" s="2377" t="s">
        <v>2332</v>
      </c>
      <c r="C286" s="2121" t="s">
        <v>3953</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6232</v>
      </c>
      <c r="I290" s="2254"/>
      <c r="J290" s="3877"/>
      <c r="K290" s="3878"/>
      <c r="L290" s="2254"/>
      <c r="M290" s="2378"/>
      <c r="N290" s="2379"/>
      <c r="O290" s="2379"/>
      <c r="P290" s="2380"/>
      <c r="R290" s="2232"/>
    </row>
    <row r="291" spans="1:26" ht="15.95" customHeight="1">
      <c r="A291" s="2230"/>
      <c r="B291" s="2377" t="s">
        <v>474</v>
      </c>
      <c r="C291" s="2121" t="s">
        <v>3154</v>
      </c>
      <c r="I291" s="2254"/>
      <c r="J291" s="3877"/>
      <c r="K291" s="3878"/>
      <c r="L291" s="2254"/>
      <c r="M291" s="3879"/>
      <c r="N291" s="3880"/>
      <c r="O291" s="3880"/>
      <c r="P291" s="3881"/>
      <c r="R291" s="2232"/>
    </row>
    <row r="292" spans="1:26" ht="15.95" customHeight="1">
      <c r="B292" s="2377" t="s">
        <v>3888</v>
      </c>
      <c r="C292" s="2121" t="s">
        <v>6863</v>
      </c>
      <c r="I292" s="2254"/>
      <c r="J292" s="3877"/>
      <c r="K292" s="3878"/>
      <c r="L292" s="2254"/>
      <c r="M292" s="3879"/>
      <c r="N292" s="3880"/>
      <c r="O292" s="3880"/>
      <c r="P292" s="3881"/>
      <c r="R292" s="2232"/>
    </row>
    <row r="293" spans="1:26" ht="15.95" customHeight="1">
      <c r="B293" s="2377" t="s">
        <v>6864</v>
      </c>
      <c r="C293" s="2121" t="s">
        <v>6901</v>
      </c>
      <c r="I293" s="2254"/>
      <c r="J293" s="3877"/>
      <c r="K293" s="3878"/>
      <c r="L293" s="2254"/>
      <c r="M293" s="3879"/>
      <c r="N293" s="3880"/>
      <c r="O293" s="3880"/>
      <c r="P293" s="3881"/>
      <c r="R293" s="2232"/>
    </row>
    <row r="294" spans="1:26" ht="15.95" customHeight="1" thickBot="1">
      <c r="B294" s="2377" t="s">
        <v>6865</v>
      </c>
      <c r="C294" s="2121" t="s">
        <v>6902</v>
      </c>
      <c r="I294" s="2254"/>
      <c r="J294" s="3877">
        <v>500000</v>
      </c>
      <c r="K294" s="3878"/>
      <c r="L294" s="2254"/>
      <c r="M294" s="3905"/>
      <c r="N294" s="3906"/>
      <c r="O294" s="3906"/>
      <c r="P294" s="3907"/>
      <c r="R294" s="2232"/>
    </row>
    <row r="295" spans="1:26" ht="15.95" customHeight="1" thickBot="1">
      <c r="B295" s="2121"/>
      <c r="I295" s="2138" t="s">
        <v>2413</v>
      </c>
      <c r="J295" s="3908">
        <f>SUM(J284:K294)</f>
        <v>500000</v>
      </c>
      <c r="K295" s="3909"/>
      <c r="M295" s="3908">
        <f>SUM($M284:$M294)</f>
        <v>0</v>
      </c>
      <c r="N295" s="3910"/>
      <c r="O295" s="3910"/>
      <c r="P295" s="3909"/>
      <c r="R295" s="2232"/>
    </row>
    <row r="296" spans="1:26" ht="15.95" customHeight="1">
      <c r="M296" s="2136"/>
      <c r="N296" s="2136"/>
      <c r="O296" s="2120"/>
      <c r="P296" s="2136"/>
      <c r="U296" s="3848" t="s">
        <v>6907</v>
      </c>
      <c r="V296" s="3848"/>
      <c r="W296" s="3848"/>
      <c r="X296" s="3848"/>
      <c r="Y296" s="3848"/>
      <c r="Z296" s="3848"/>
    </row>
    <row r="297" spans="1:26" ht="15.95" customHeight="1">
      <c r="A297" s="2121"/>
      <c r="B297" s="2332"/>
      <c r="C297" s="2227" t="s">
        <v>2412</v>
      </c>
      <c r="D297" s="2255"/>
      <c r="E297" s="2255"/>
      <c r="I297" s="2254" t="s">
        <v>6235</v>
      </c>
      <c r="J297" s="3897">
        <f>'Part V-Revenues &amp; Expenses'!$P$67</f>
        <v>44</v>
      </c>
      <c r="K297" s="3898"/>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6236</v>
      </c>
      <c r="J298" s="3911">
        <f>IF(J297=0,0,J295/J297)</f>
        <v>11363.636363636364</v>
      </c>
      <c r="K298" s="3912"/>
      <c r="M298" s="3913">
        <f>IF(J297=0,0,M295/J297)</f>
        <v>0</v>
      </c>
      <c r="N298" s="3914"/>
      <c r="O298" s="3914"/>
      <c r="P298" s="3915"/>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3897">
        <f>IF(J295&gt;=$Y$298,$Y$300,IF(J295&gt;=$W$298,$W$300,IF(J295&gt;=$U$298,$U$300,0)))</f>
        <v>1</v>
      </c>
      <c r="K299" s="3898"/>
      <c r="M299" s="3897">
        <f t="shared" ref="M299" si="0">IF(M295&gt;=$Y$298,$Y$300,IF(M295&gt;=$W$298,$W$300,IF(M295&gt;=$U$298,$U$300,0)))</f>
        <v>0</v>
      </c>
      <c r="N299" s="3899"/>
      <c r="O299" s="3899">
        <f t="shared" ref="O299" si="1">IF(O295&gt;=$Y$298,$Y$300,IF(O295&gt;=$W$298,$W$300,IF(O295&gt;=$U$298,$U$300,0)))</f>
        <v>0</v>
      </c>
      <c r="P299" s="3898"/>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6237</v>
      </c>
      <c r="J300" s="3902">
        <f>IF(J298&gt;=$Y$299,$Y$300,IF(J298&gt;=$W$299,$W$300,IF(J298&gt;=$U$299,$U$300,0)))</f>
        <v>1</v>
      </c>
      <c r="K300" s="3903"/>
      <c r="L300" s="2136"/>
      <c r="M300" s="3902">
        <f>IF(M298&gt;=$Y$299,$Y$300,IF(M298&gt;=$W$299,$W$300,IF(M298&gt;=$U$299,$U$300,0)))</f>
        <v>0</v>
      </c>
      <c r="N300" s="3904"/>
      <c r="O300" s="3904"/>
      <c r="P300" s="3903"/>
      <c r="S300" s="2431" t="s">
        <v>6144</v>
      </c>
      <c r="U300" s="3858">
        <v>1</v>
      </c>
      <c r="V300" s="3859"/>
      <c r="W300" s="3858">
        <v>2</v>
      </c>
      <c r="X300" s="3859"/>
      <c r="Y300" s="3858">
        <v>3</v>
      </c>
      <c r="Z300" s="3859"/>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6867</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c r="P304" s="2270"/>
      <c r="V304" s="2355"/>
    </row>
    <row r="305" spans="1:19" ht="15.95" customHeight="1">
      <c r="B305" s="2313"/>
      <c r="C305" s="2120" t="s">
        <v>6869</v>
      </c>
      <c r="N305" s="2144"/>
      <c r="O305" s="2246"/>
      <c r="P305" s="2247"/>
    </row>
    <row r="306" spans="1:19" ht="15.95" customHeight="1" thickBot="1">
      <c r="B306" s="2260" t="s">
        <v>3240</v>
      </c>
    </row>
    <row r="307" spans="1:19" ht="70.5" customHeight="1" thickTop="1" thickBot="1">
      <c r="A307" s="3867" t="s">
        <v>7106</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3885</v>
      </c>
      <c r="H313" s="3874"/>
      <c r="I313" s="3874"/>
      <c r="J313" s="3874"/>
      <c r="K313" s="3874"/>
      <c r="L313" s="3875"/>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1" t="s">
        <v>3414</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7" t="s">
        <v>7078</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v>3</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08" customHeight="1" thickTop="1" thickBot="1">
      <c r="A340" s="3867" t="s">
        <v>7079</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67" t="s">
        <v>7069</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7" t="s">
        <v>7069</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7" t="s">
        <v>7069</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6222</v>
      </c>
      <c r="H376" s="2121"/>
      <c r="I376" s="2121"/>
      <c r="J376" s="2121" t="s">
        <v>575</v>
      </c>
      <c r="L376" s="2139" t="s">
        <v>6933</v>
      </c>
      <c r="M376" s="3848" t="s">
        <v>6943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1"/>
      <c r="C386" s="4101"/>
      <c r="D386" s="4101"/>
      <c r="E386" s="4101"/>
      <c r="F386" s="4101"/>
      <c r="G386" s="4101"/>
      <c r="H386" s="4101"/>
      <c r="I386" s="4101"/>
      <c r="J386" s="4101"/>
      <c r="K386" s="4101"/>
      <c r="L386" s="2453"/>
      <c r="M386" s="3894"/>
      <c r="N386" s="3895"/>
      <c r="O386" s="3895"/>
      <c r="P386" s="3896"/>
      <c r="Q386" s="2320"/>
    </row>
    <row r="387" spans="1:19" s="2157" customFormat="1" ht="15.95"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7" t="s">
        <v>7069</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6923</v>
      </c>
      <c r="Q395" s="2320" t="str">
        <f>IF(OR($O395=$M395,$O395=0,$O395=""),"","*CHECK!*")</f>
        <v/>
      </c>
      <c r="R395" s="2305"/>
    </row>
    <row r="396" spans="1:19" ht="147" customHeight="1">
      <c r="A396" s="2345"/>
      <c r="B396" s="3891" t="s">
        <v>6924</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6925</v>
      </c>
      <c r="Q397" s="2320" t="str">
        <f>IF(OR($O397=$M397,$O397=0,$O397=""),"","*CHECK!*")</f>
        <v/>
      </c>
      <c r="R397" s="2305"/>
    </row>
    <row r="398" spans="1:19" ht="147" customHeight="1">
      <c r="A398" s="2345"/>
      <c r="B398" s="3891" t="s">
        <v>6926</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7" t="s">
        <v>7069</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72</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6871</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6562</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6563</v>
      </c>
      <c r="AZ416" s="3887"/>
      <c r="BA416" s="3887"/>
      <c r="BB416" s="3887"/>
      <c r="BC416" s="3887"/>
      <c r="BD416" s="3887"/>
      <c r="BE416" s="3888"/>
      <c r="BF416" s="3886" t="s">
        <v>6564</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40" t="s">
        <v>6124</v>
      </c>
      <c r="AH418" s="4041"/>
      <c r="AI418" s="3883" t="s">
        <v>6505</v>
      </c>
      <c r="AJ418" s="3884"/>
      <c r="AK418" s="3884"/>
      <c r="AL418" s="3884"/>
      <c r="AM418" s="3885"/>
      <c r="AN418" s="4042" t="s">
        <v>6137</v>
      </c>
      <c r="AO418" s="4042"/>
      <c r="AP418" s="4042"/>
      <c r="AQ418" s="4042"/>
      <c r="AR418" s="2397"/>
      <c r="AS418" s="2466"/>
      <c r="AT418" s="2465" t="s">
        <v>6136</v>
      </c>
      <c r="AU418" s="2466"/>
      <c r="AV418" s="2466"/>
      <c r="AW418" s="2466"/>
      <c r="AX418" s="2397"/>
      <c r="AY418" s="3883" t="s">
        <v>6124</v>
      </c>
      <c r="AZ418" s="3885"/>
      <c r="BA418" s="3883" t="s">
        <v>6505</v>
      </c>
      <c r="BB418" s="3884"/>
      <c r="BC418" s="3884"/>
      <c r="BD418" s="3884"/>
      <c r="BE418" s="3885"/>
      <c r="BF418" s="3889" t="s">
        <v>6124</v>
      </c>
      <c r="BG418" s="3889"/>
      <c r="BH418" s="3889" t="s">
        <v>6505</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6913</v>
      </c>
      <c r="AK419" s="2467" t="s">
        <v>6545</v>
      </c>
      <c r="AL419" s="2467" t="s">
        <v>6546</v>
      </c>
      <c r="AM419" s="2467" t="s">
        <v>6547</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6945</v>
      </c>
      <c r="BA419" s="2467" t="s">
        <v>6945</v>
      </c>
      <c r="BB419" s="2467" t="s">
        <v>6929</v>
      </c>
      <c r="BC419" s="2467" t="s">
        <v>6545</v>
      </c>
      <c r="BD419" s="2467" t="s">
        <v>6546</v>
      </c>
      <c r="BE419" s="2467" t="s">
        <v>6547</v>
      </c>
      <c r="BF419" s="2467">
        <v>0.09</v>
      </c>
      <c r="BG419" s="2467" t="s">
        <v>6945</v>
      </c>
      <c r="BH419" s="2467" t="s">
        <v>6945</v>
      </c>
      <c r="BI419" s="2467" t="s">
        <v>6929</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30" t="s">
        <v>6561</v>
      </c>
      <c r="AO425" s="4031"/>
      <c r="AP425" s="4031"/>
      <c r="AQ425" s="4031"/>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30"/>
      <c r="AO426" s="4031"/>
      <c r="AP426" s="4031"/>
      <c r="AQ426" s="4031"/>
      <c r="AR426" s="2397"/>
      <c r="AS426" s="2468" t="s">
        <v>280</v>
      </c>
      <c r="AT426" s="2492" t="s">
        <v>3394</v>
      </c>
      <c r="AU426" s="2493"/>
      <c r="AV426" s="2493"/>
      <c r="AW426" s="2493"/>
      <c r="AX426" s="2493"/>
      <c r="AY426" s="2496">
        <f>O122</f>
        <v>6</v>
      </c>
      <c r="AZ426" s="2497">
        <f>O122</f>
        <v>6</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6947</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4</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6916</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72</v>
      </c>
      <c r="AZ449" s="2542">
        <f>IF(AND($O$36="4%",($C$36-$A$36)&gt;0),(SUM(AZ420:AZ447)-($C$36-$A$36)),SUM(AZ420:AZ447))</f>
        <v>63</v>
      </c>
      <c r="BA449" s="2542">
        <f t="shared" ref="BA449:BB449" si="3">IF(AND($O$36="4%",($C$36-$A$36)&gt;0),(SUM(BA420:BA447)-($C$36-$A$36)),SUM(BA420:BA447))</f>
        <v>30</v>
      </c>
      <c r="BB449" s="2542">
        <f t="shared" si="3"/>
        <v>30</v>
      </c>
      <c r="BC449" s="2542">
        <f t="shared" ref="BC449:BL449" si="4">SUM(BC420:BC447)</f>
        <v>34</v>
      </c>
      <c r="BD449" s="2542">
        <f t="shared" si="4"/>
        <v>34</v>
      </c>
      <c r="BE449" s="2542">
        <f t="shared" si="4"/>
        <v>34</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3" t="s">
        <v>2480</v>
      </c>
      <c r="B5" s="4103"/>
      <c r="C5" s="4103"/>
      <c r="D5" s="4103"/>
      <c r="E5" s="4103"/>
      <c r="F5" s="4103"/>
      <c r="G5" s="4103"/>
      <c r="H5" s="4103"/>
      <c r="I5" s="4103"/>
      <c r="J5" s="4103"/>
      <c r="K5" s="4103"/>
      <c r="L5" s="4103"/>
      <c r="M5" s="4103"/>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4" t="s">
        <v>1767</v>
      </c>
      <c r="B9" s="4104"/>
      <c r="C9" s="4104"/>
      <c r="D9" s="4104"/>
      <c r="E9" s="4104"/>
      <c r="F9" s="4104"/>
      <c r="G9" s="4104"/>
      <c r="H9" s="4104"/>
      <c r="I9" s="4104"/>
      <c r="J9" s="4104"/>
      <c r="K9" s="4104"/>
      <c r="L9" s="4104"/>
      <c r="M9" s="4104"/>
    </row>
    <row r="10" spans="1:26" ht="6.75" customHeight="1">
      <c r="A10" s="4104"/>
      <c r="B10" s="4104"/>
      <c r="C10" s="4104"/>
      <c r="D10" s="4104"/>
      <c r="E10" s="4104"/>
      <c r="F10" s="4104"/>
      <c r="G10" s="4104"/>
      <c r="H10" s="4104"/>
      <c r="I10" s="4104"/>
      <c r="J10" s="4104"/>
      <c r="K10" s="4104"/>
      <c r="L10" s="4104"/>
      <c r="M10" s="4104"/>
    </row>
    <row r="11" spans="1:26" ht="44.25" customHeight="1">
      <c r="A11" s="4105" t="s">
        <v>6928</v>
      </c>
      <c r="B11" s="4105"/>
      <c r="C11" s="4105"/>
      <c r="D11" s="4105"/>
      <c r="E11" s="4105"/>
      <c r="F11" s="4105"/>
      <c r="G11" s="4105"/>
      <c r="H11" s="4105"/>
      <c r="I11" s="4105"/>
      <c r="J11" s="4105"/>
      <c r="K11" s="4105"/>
      <c r="L11" s="4105"/>
      <c r="M11" s="4105"/>
    </row>
    <row r="12" spans="1:26" ht="3" customHeight="1">
      <c r="A12" s="4104"/>
      <c r="B12" s="4104"/>
      <c r="C12" s="4104"/>
      <c r="D12" s="4104"/>
      <c r="E12" s="4104"/>
      <c r="F12" s="4104"/>
      <c r="G12" s="4104"/>
      <c r="H12" s="4104"/>
      <c r="I12" s="4104"/>
      <c r="J12" s="4104"/>
      <c r="K12" s="4104"/>
      <c r="L12" s="4104"/>
      <c r="M12" s="4104"/>
    </row>
    <row r="13" spans="1:26" ht="101.25" customHeight="1">
      <c r="A13" s="815" t="s">
        <v>1614</v>
      </c>
      <c r="B13" s="4106" t="s">
        <v>3188</v>
      </c>
      <c r="C13" s="4106"/>
      <c r="D13" s="4106"/>
      <c r="E13" s="4106"/>
      <c r="F13" s="4106"/>
      <c r="G13" s="4106"/>
      <c r="H13" s="4106"/>
      <c r="I13" s="4106"/>
      <c r="J13" s="4106"/>
      <c r="K13" s="4106"/>
      <c r="L13" s="4106"/>
      <c r="M13" s="4106"/>
      <c r="U13" s="809" t="s">
        <v>6270</v>
      </c>
    </row>
    <row r="14" spans="1:26" ht="47.25" customHeight="1">
      <c r="A14" s="815" t="s">
        <v>1615</v>
      </c>
      <c r="B14" s="4106" t="s">
        <v>3189</v>
      </c>
      <c r="C14" s="4106"/>
      <c r="D14" s="4106"/>
      <c r="E14" s="4106"/>
      <c r="F14" s="4106"/>
      <c r="G14" s="4106"/>
      <c r="H14" s="4106"/>
      <c r="I14" s="4106"/>
      <c r="J14" s="4106"/>
      <c r="K14" s="4106"/>
      <c r="L14" s="4106"/>
      <c r="M14" s="4106"/>
    </row>
    <row r="15" spans="1:26" ht="117" customHeight="1">
      <c r="A15" s="815" t="s">
        <v>1616</v>
      </c>
      <c r="B15" s="4106" t="s">
        <v>3190</v>
      </c>
      <c r="C15" s="4106"/>
      <c r="D15" s="4106"/>
      <c r="E15" s="4106"/>
      <c r="F15" s="4106"/>
      <c r="G15" s="4106"/>
      <c r="H15" s="4106"/>
      <c r="I15" s="4106"/>
      <c r="J15" s="4106"/>
      <c r="K15" s="4106"/>
      <c r="L15" s="4106"/>
      <c r="M15" s="4106"/>
    </row>
    <row r="16" spans="1:26" ht="147" customHeight="1">
      <c r="A16" s="815" t="s">
        <v>2182</v>
      </c>
      <c r="B16" s="4106" t="s">
        <v>3069</v>
      </c>
      <c r="C16" s="4106"/>
      <c r="D16" s="4106"/>
      <c r="E16" s="4106"/>
      <c r="F16" s="4106"/>
      <c r="G16" s="4106"/>
      <c r="H16" s="4106"/>
      <c r="I16" s="4106"/>
      <c r="J16" s="4106"/>
      <c r="K16" s="4106"/>
      <c r="L16" s="4106"/>
      <c r="M16" s="4106"/>
    </row>
    <row r="17" spans="1:13" ht="48.75" customHeight="1">
      <c r="A17" s="815" t="s">
        <v>1448</v>
      </c>
      <c r="B17" s="4106" t="s">
        <v>637</v>
      </c>
      <c r="C17" s="4106"/>
      <c r="D17" s="4106"/>
      <c r="E17" s="4106"/>
      <c r="F17" s="4106"/>
      <c r="G17" s="4106"/>
      <c r="H17" s="4106"/>
      <c r="I17" s="4106"/>
      <c r="J17" s="4106"/>
      <c r="K17" s="4106"/>
      <c r="L17" s="4106"/>
      <c r="M17" s="4106"/>
    </row>
    <row r="18" spans="1:13" ht="165" customHeight="1">
      <c r="A18" s="815" t="s">
        <v>1449</v>
      </c>
      <c r="B18" s="4106" t="s">
        <v>3068</v>
      </c>
      <c r="C18" s="4106"/>
      <c r="D18" s="4106"/>
      <c r="E18" s="4106"/>
      <c r="F18" s="4106"/>
      <c r="G18" s="4106"/>
      <c r="H18" s="4106"/>
      <c r="I18" s="4106"/>
      <c r="J18" s="4106"/>
      <c r="K18" s="4106"/>
      <c r="L18" s="4106"/>
      <c r="M18" s="4106"/>
    </row>
    <row r="19" spans="1:13" ht="48.75" customHeight="1">
      <c r="A19" s="815" t="s">
        <v>93</v>
      </c>
      <c r="B19" s="4102" t="s">
        <v>3191</v>
      </c>
      <c r="C19" s="4102"/>
      <c r="D19" s="4102"/>
      <c r="E19" s="4102"/>
      <c r="F19" s="4102"/>
      <c r="G19" s="4102"/>
      <c r="H19" s="4102"/>
      <c r="I19" s="4102"/>
      <c r="J19" s="4102"/>
      <c r="K19" s="4102"/>
      <c r="L19" s="4102"/>
      <c r="M19" s="4102"/>
    </row>
    <row r="20" spans="1:13" ht="50.25" customHeight="1">
      <c r="A20" s="815" t="s">
        <v>481</v>
      </c>
      <c r="B20" s="4106" t="s">
        <v>3070</v>
      </c>
      <c r="C20" s="4106"/>
      <c r="D20" s="4106"/>
      <c r="E20" s="4106"/>
      <c r="F20" s="4106"/>
      <c r="G20" s="4106"/>
      <c r="H20" s="4106"/>
      <c r="I20" s="4106"/>
      <c r="J20" s="4106"/>
      <c r="K20" s="4106"/>
      <c r="L20" s="4106"/>
      <c r="M20" s="4106"/>
    </row>
    <row r="21" spans="1:13" ht="31.5" customHeight="1">
      <c r="A21" s="815" t="s">
        <v>482</v>
      </c>
      <c r="B21" s="4106" t="s">
        <v>3087</v>
      </c>
      <c r="C21" s="4106"/>
      <c r="D21" s="4106"/>
      <c r="E21" s="4106"/>
      <c r="F21" s="4106"/>
      <c r="G21" s="4106"/>
      <c r="H21" s="4106"/>
      <c r="I21" s="4106"/>
      <c r="J21" s="4106"/>
      <c r="K21" s="4106"/>
      <c r="L21" s="4106"/>
      <c r="M21" s="4106"/>
    </row>
    <row r="22" spans="1:13" ht="1.5" customHeight="1">
      <c r="A22" s="4104"/>
      <c r="B22" s="4104"/>
      <c r="C22" s="4104"/>
      <c r="D22" s="4104"/>
      <c r="E22" s="4104"/>
      <c r="F22" s="4104"/>
      <c r="G22" s="4104"/>
      <c r="H22" s="4104"/>
      <c r="I22" s="4104"/>
      <c r="J22" s="4104"/>
      <c r="K22" s="4104"/>
      <c r="L22" s="4104"/>
      <c r="M22" s="4104"/>
    </row>
    <row r="23" spans="1:13" ht="3" customHeight="1">
      <c r="A23" s="4104"/>
      <c r="B23" s="4104"/>
      <c r="C23" s="4104"/>
      <c r="D23" s="4104"/>
      <c r="E23" s="4104"/>
      <c r="F23" s="4104"/>
      <c r="G23" s="4104"/>
      <c r="H23" s="4104"/>
      <c r="I23" s="4104"/>
      <c r="J23" s="4104"/>
      <c r="K23" s="4104"/>
      <c r="L23" s="4104"/>
      <c r="M23" s="4104"/>
    </row>
    <row r="24" spans="1:13" ht="13.5" customHeight="1">
      <c r="A24" s="4104" t="s">
        <v>1374</v>
      </c>
      <c r="B24" s="4104"/>
      <c r="C24" s="4104"/>
      <c r="D24" s="4104"/>
      <c r="E24" s="4104"/>
      <c r="F24" s="4104"/>
      <c r="G24" s="4104"/>
      <c r="H24" s="4104"/>
      <c r="I24" s="4104"/>
      <c r="J24" s="4104"/>
      <c r="K24" s="4104"/>
      <c r="L24" s="4104"/>
      <c r="M24" s="4104"/>
    </row>
    <row r="25" spans="1:13" ht="32.25" customHeight="1">
      <c r="A25" s="815" t="s">
        <v>1375</v>
      </c>
      <c r="B25" s="4106" t="s">
        <v>3088</v>
      </c>
      <c r="C25" s="4106"/>
      <c r="D25" s="4106"/>
      <c r="E25" s="4106"/>
      <c r="F25" s="4106"/>
      <c r="G25" s="4106"/>
      <c r="H25" s="4106"/>
      <c r="I25" s="4106"/>
      <c r="J25" s="4106"/>
      <c r="K25" s="4106"/>
      <c r="L25" s="4106"/>
      <c r="M25" s="4106"/>
    </row>
    <row r="26" spans="1:13" ht="31.5" customHeight="1">
      <c r="A26" s="815" t="s">
        <v>1375</v>
      </c>
      <c r="B26" s="4106" t="s">
        <v>3089</v>
      </c>
      <c r="C26" s="4106"/>
      <c r="D26" s="4106"/>
      <c r="E26" s="4106"/>
      <c r="F26" s="4106"/>
      <c r="G26" s="4106"/>
      <c r="H26" s="4106"/>
      <c r="I26" s="4106"/>
      <c r="J26" s="4106"/>
      <c r="K26" s="4106"/>
      <c r="L26" s="4106"/>
      <c r="M26" s="4106"/>
    </row>
    <row r="27" spans="1:13" ht="78.75" customHeight="1">
      <c r="A27" s="815" t="s">
        <v>1375</v>
      </c>
      <c r="B27" s="4106" t="s">
        <v>2481</v>
      </c>
      <c r="C27" s="4106"/>
      <c r="D27" s="4106"/>
      <c r="E27" s="4106"/>
      <c r="F27" s="4106"/>
      <c r="G27" s="4106"/>
      <c r="H27" s="4106"/>
      <c r="I27" s="4106"/>
      <c r="J27" s="4106"/>
      <c r="K27" s="4106"/>
      <c r="L27" s="4106"/>
      <c r="M27" s="4106"/>
    </row>
    <row r="28" spans="1:13" ht="7.5" customHeight="1">
      <c r="A28" s="4104"/>
      <c r="B28" s="4104"/>
      <c r="C28" s="4104"/>
      <c r="D28" s="4104"/>
      <c r="E28" s="4104"/>
      <c r="F28" s="4104"/>
      <c r="G28" s="4104"/>
      <c r="H28" s="4104"/>
      <c r="I28" s="4104"/>
      <c r="J28" s="4104"/>
      <c r="K28" s="4104"/>
      <c r="L28" s="4104"/>
      <c r="M28" s="4104"/>
    </row>
    <row r="29" spans="1:13" ht="43.5" customHeight="1">
      <c r="A29" s="4106" t="s">
        <v>887</v>
      </c>
      <c r="B29" s="4106"/>
      <c r="C29" s="4106"/>
      <c r="D29" s="4106"/>
      <c r="E29" s="4106"/>
      <c r="F29" s="4106"/>
      <c r="G29" s="4106"/>
      <c r="H29" s="4106"/>
      <c r="I29" s="4106"/>
      <c r="J29" s="4106"/>
      <c r="K29" s="4106"/>
      <c r="L29" s="4106"/>
      <c r="M29" s="4106"/>
    </row>
    <row r="30" spans="1:13" ht="3" customHeight="1">
      <c r="A30" s="4104"/>
      <c r="B30" s="4104"/>
      <c r="C30" s="4104"/>
      <c r="D30" s="4104"/>
      <c r="E30" s="4104"/>
      <c r="F30" s="4104"/>
      <c r="G30" s="4104"/>
      <c r="H30" s="4104"/>
      <c r="I30" s="4104"/>
      <c r="J30" s="4104"/>
      <c r="K30" s="4104"/>
      <c r="L30" s="4104"/>
      <c r="M30" s="4104"/>
    </row>
    <row r="31" spans="1:13" ht="32.25" customHeight="1">
      <c r="A31" s="4106" t="s">
        <v>2482</v>
      </c>
      <c r="B31" s="4106"/>
      <c r="C31" s="4106"/>
      <c r="D31" s="4106"/>
      <c r="E31" s="4106"/>
      <c r="F31" s="4106"/>
      <c r="G31" s="4106"/>
      <c r="H31" s="4106"/>
      <c r="I31" s="4106"/>
      <c r="J31" s="4106"/>
      <c r="K31" s="4106"/>
      <c r="L31" s="4106"/>
      <c r="M31" s="4106"/>
    </row>
    <row r="32" spans="1:13" ht="4.5" customHeight="1">
      <c r="A32" s="4104"/>
      <c r="B32" s="4104"/>
      <c r="C32" s="4104"/>
      <c r="D32" s="4104"/>
      <c r="E32" s="4104"/>
      <c r="F32" s="4104"/>
      <c r="G32" s="4104"/>
      <c r="H32" s="4104"/>
      <c r="I32" s="4104"/>
      <c r="J32" s="4104"/>
      <c r="K32" s="4104"/>
      <c r="L32" s="4104"/>
      <c r="M32" s="4104"/>
    </row>
    <row r="33" spans="1:13" ht="16.5">
      <c r="A33" s="4104" t="s">
        <v>864</v>
      </c>
      <c r="B33" s="4104"/>
      <c r="C33" s="4104"/>
      <c r="D33" s="4104"/>
      <c r="E33" s="4104"/>
      <c r="F33" s="4104"/>
      <c r="G33" s="4104"/>
      <c r="H33" s="4104"/>
      <c r="I33" s="4104"/>
      <c r="J33" s="4104"/>
      <c r="K33" s="4104"/>
      <c r="L33" s="4104"/>
      <c r="M33" s="4104"/>
    </row>
    <row r="34" spans="1:13" ht="6" customHeight="1">
      <c r="A34" s="835"/>
      <c r="B34" s="835"/>
      <c r="C34" s="835"/>
      <c r="D34" s="835"/>
      <c r="E34" s="835"/>
      <c r="F34" s="835"/>
      <c r="G34" s="835"/>
      <c r="H34" s="835"/>
      <c r="I34" s="835"/>
      <c r="J34" s="835"/>
      <c r="K34" s="835"/>
      <c r="L34" s="835"/>
      <c r="M34" s="835"/>
    </row>
    <row r="35" spans="1:13" ht="16.5">
      <c r="A35" s="4107"/>
      <c r="B35" s="4107"/>
      <c r="C35" s="4107"/>
      <c r="D35" s="4107"/>
      <c r="E35" s="4107"/>
      <c r="F35" s="4107"/>
      <c r="G35" s="813"/>
      <c r="H35" s="4107"/>
      <c r="I35" s="4107"/>
      <c r="J35" s="4107"/>
      <c r="K35" s="4107"/>
      <c r="L35" s="4107"/>
      <c r="M35" s="4107"/>
    </row>
    <row r="36" spans="1:13" ht="12" customHeight="1">
      <c r="A36" s="4108" t="s">
        <v>865</v>
      </c>
      <c r="B36" s="4108"/>
      <c r="C36" s="4108"/>
      <c r="D36" s="4108"/>
      <c r="E36" s="4108"/>
      <c r="F36" s="4108"/>
      <c r="G36" s="813"/>
      <c r="H36" s="4108" t="s">
        <v>1839</v>
      </c>
      <c r="I36" s="4108"/>
      <c r="J36" s="4108"/>
      <c r="K36" s="4108"/>
      <c r="L36" s="4108"/>
      <c r="M36" s="4108"/>
    </row>
    <row r="37" spans="1:13" ht="6" customHeight="1">
      <c r="A37" s="813"/>
      <c r="B37" s="813"/>
      <c r="C37" s="813"/>
      <c r="D37" s="813"/>
      <c r="E37" s="813"/>
      <c r="F37" s="813"/>
      <c r="G37" s="813"/>
      <c r="H37" s="813"/>
      <c r="I37" s="813"/>
      <c r="J37" s="813"/>
      <c r="K37" s="813"/>
      <c r="L37" s="813"/>
      <c r="M37" s="813"/>
    </row>
    <row r="38" spans="1:13" ht="16.5">
      <c r="A38" s="4109"/>
      <c r="B38" s="4109"/>
      <c r="C38" s="4109"/>
      <c r="D38" s="4109"/>
      <c r="E38" s="4109"/>
      <c r="F38" s="4109"/>
      <c r="G38" s="813"/>
      <c r="H38" s="4110"/>
      <c r="I38" s="4110"/>
      <c r="J38" s="4110"/>
      <c r="K38" s="4110"/>
      <c r="L38" s="4110"/>
      <c r="M38" s="4110"/>
    </row>
    <row r="39" spans="1:13" ht="12" customHeight="1">
      <c r="A39" s="4108" t="s">
        <v>866</v>
      </c>
      <c r="B39" s="4108"/>
      <c r="C39" s="4108"/>
      <c r="D39" s="4108"/>
      <c r="E39" s="4108"/>
      <c r="F39" s="4108"/>
      <c r="G39" s="813"/>
      <c r="H39" s="4108" t="s">
        <v>867</v>
      </c>
      <c r="I39" s="4108"/>
      <c r="J39" s="4108"/>
      <c r="K39" s="4108"/>
      <c r="L39" s="4108"/>
      <c r="M39" s="4108"/>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1" t="s">
        <v>868</v>
      </c>
      <c r="I41" s="4111"/>
      <c r="J41" s="4111"/>
      <c r="K41" s="4111"/>
      <c r="L41" s="4111"/>
      <c r="M41" s="411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A13" sqref="A13:K13"/>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7" t="str">
        <f>'Part I-Project Identification'!F25</f>
        <v>West Pine Residences</v>
      </c>
      <c r="E3" s="4168"/>
      <c r="F3" s="4168"/>
      <c r="G3" s="4168"/>
      <c r="H3" s="4168"/>
      <c r="I3" s="4168"/>
      <c r="J3" s="4169" t="s">
        <v>6170</v>
      </c>
      <c r="K3" s="4170"/>
    </row>
    <row r="4" spans="1:11" ht="15" customHeight="1">
      <c r="A4" s="1332" t="s">
        <v>3968</v>
      </c>
      <c r="B4" s="1333"/>
      <c r="C4" s="1334"/>
      <c r="D4" s="4171"/>
      <c r="E4" s="4172"/>
      <c r="F4" s="4172"/>
      <c r="G4" s="4172"/>
      <c r="H4" s="4172"/>
      <c r="I4" s="4172"/>
      <c r="J4" s="4173" t="s">
        <v>4009</v>
      </c>
      <c r="K4" s="4174"/>
    </row>
    <row r="5" spans="1:11" ht="15" customHeight="1" thickBot="1">
      <c r="A5" s="1335" t="s">
        <v>3969</v>
      </c>
      <c r="B5" s="1336"/>
      <c r="C5" s="1337"/>
      <c r="D5" s="4177"/>
      <c r="E5" s="4178"/>
      <c r="F5" s="4178"/>
      <c r="G5" s="4178"/>
      <c r="H5" s="4178"/>
      <c r="I5" s="4178"/>
      <c r="J5" s="4175"/>
      <c r="K5" s="4176"/>
    </row>
    <row r="6" spans="1:11" ht="9" customHeight="1" thickBot="1">
      <c r="E6" s="1327"/>
    </row>
    <row r="7" spans="1:11">
      <c r="A7" s="4185" t="s">
        <v>3971</v>
      </c>
      <c r="B7" s="4186"/>
      <c r="C7" s="4186"/>
      <c r="D7" s="4186"/>
      <c r="E7" s="4186"/>
      <c r="F7" s="4186"/>
      <c r="G7" s="4186"/>
      <c r="H7" s="4186"/>
      <c r="I7" s="4186"/>
      <c r="J7" s="4186"/>
      <c r="K7" s="4187"/>
    </row>
    <row r="8" spans="1:11" ht="14.25" customHeight="1">
      <c r="A8" s="1333"/>
      <c r="B8" s="1333"/>
      <c r="C8" s="1567">
        <v>1</v>
      </c>
      <c r="D8" s="1352" t="s">
        <v>3972</v>
      </c>
      <c r="E8" s="1352"/>
      <c r="F8" s="1352"/>
      <c r="G8" s="1352"/>
      <c r="H8" s="1352"/>
      <c r="I8" s="1352"/>
      <c r="J8" s="4183"/>
      <c r="K8" s="4184"/>
    </row>
    <row r="9" spans="1:11" ht="7.15" customHeight="1">
      <c r="A9" s="4122"/>
      <c r="B9" s="4122"/>
      <c r="C9" s="4122"/>
      <c r="D9" s="4123"/>
      <c r="E9" s="4123"/>
      <c r="F9" s="4123"/>
      <c r="G9" s="4123"/>
      <c r="H9" s="4123"/>
      <c r="I9" s="4123"/>
      <c r="J9" s="4123"/>
      <c r="K9" s="1353"/>
    </row>
    <row r="10" spans="1:11">
      <c r="A10" s="4188" t="s">
        <v>3973</v>
      </c>
      <c r="B10" s="4189"/>
      <c r="C10" s="4189"/>
      <c r="D10" s="4189"/>
      <c r="E10" s="4189"/>
      <c r="F10" s="4189"/>
      <c r="G10" s="4189"/>
      <c r="H10" s="4189"/>
      <c r="I10" s="4189"/>
      <c r="J10" s="4189"/>
      <c r="K10" s="4190"/>
    </row>
    <row r="11" spans="1:11" ht="14.25" customHeight="1">
      <c r="A11" s="1333"/>
      <c r="B11" s="1333"/>
      <c r="C11" s="1567">
        <v>2</v>
      </c>
      <c r="D11" s="1352" t="s">
        <v>3974</v>
      </c>
      <c r="E11" s="1354"/>
      <c r="F11" s="1354"/>
      <c r="G11" s="1354"/>
      <c r="H11" s="1354"/>
      <c r="I11" s="1354"/>
      <c r="J11" s="4181"/>
      <c r="K11" s="4182"/>
    </row>
    <row r="12" spans="1:11" ht="7.15" customHeight="1">
      <c r="A12" s="4122"/>
      <c r="B12" s="4122"/>
      <c r="C12" s="4122"/>
      <c r="D12" s="4123"/>
      <c r="E12" s="4123"/>
      <c r="F12" s="4123"/>
      <c r="G12" s="4123"/>
      <c r="H12" s="4123"/>
      <c r="I12" s="4123"/>
      <c r="J12" s="4123"/>
      <c r="K12" s="1355"/>
    </row>
    <row r="13" spans="1:11">
      <c r="A13" s="4188" t="s">
        <v>3975</v>
      </c>
      <c r="B13" s="4189"/>
      <c r="C13" s="4189"/>
      <c r="D13" s="4189"/>
      <c r="E13" s="4189"/>
      <c r="F13" s="4189"/>
      <c r="G13" s="4189"/>
      <c r="H13" s="4189"/>
      <c r="I13" s="4189"/>
      <c r="J13" s="4189"/>
      <c r="K13" s="4190"/>
    </row>
    <row r="14" spans="1:11" ht="14.25" customHeight="1">
      <c r="A14" s="1333"/>
      <c r="B14" s="1333"/>
      <c r="C14" s="1568">
        <v>3</v>
      </c>
      <c r="D14" s="1356" t="s">
        <v>3976</v>
      </c>
      <c r="E14" s="1356"/>
      <c r="F14" s="1356"/>
      <c r="G14" s="1356"/>
      <c r="H14" s="1356"/>
      <c r="I14" s="1356"/>
      <c r="J14" s="4179"/>
      <c r="K14" s="4180"/>
    </row>
    <row r="15" spans="1:11" ht="14.25" customHeight="1">
      <c r="A15" s="1333"/>
      <c r="B15" s="1333"/>
      <c r="C15" s="1569">
        <v>4</v>
      </c>
      <c r="D15" s="1333" t="s">
        <v>3977</v>
      </c>
      <c r="E15" s="1333"/>
      <c r="F15" s="1333"/>
      <c r="G15" s="1333"/>
      <c r="H15" s="1333"/>
      <c r="I15" s="1333"/>
      <c r="J15" s="4120"/>
      <c r="K15" s="4121"/>
    </row>
    <row r="16" spans="1:11" ht="14.25" customHeight="1">
      <c r="A16" s="1333"/>
      <c r="B16" s="1333"/>
      <c r="C16" s="1569">
        <v>5</v>
      </c>
      <c r="D16" s="1333" t="s">
        <v>3978</v>
      </c>
      <c r="E16" s="1333"/>
      <c r="F16" s="1333"/>
      <c r="G16" s="1333"/>
      <c r="H16" s="1333"/>
      <c r="I16" s="1333"/>
      <c r="J16" s="4120"/>
      <c r="K16" s="4121"/>
    </row>
    <row r="17" spans="1:13" ht="14.25" customHeight="1">
      <c r="A17" s="1333"/>
      <c r="B17" s="1333"/>
      <c r="C17" s="1570">
        <v>6</v>
      </c>
      <c r="D17" s="1336" t="s">
        <v>3979</v>
      </c>
      <c r="E17" s="1336"/>
      <c r="F17" s="1336"/>
      <c r="G17" s="1336"/>
      <c r="H17" s="1336"/>
      <c r="I17" s="1336"/>
      <c r="J17" s="4118"/>
      <c r="K17" s="411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3980</v>
      </c>
      <c r="E19" s="1356"/>
      <c r="F19" s="1356"/>
      <c r="G19" s="1356"/>
      <c r="H19" s="1356"/>
      <c r="I19" s="1356"/>
      <c r="J19" s="4116" t="str">
        <f>IF(J17="No",J14-J15,IF(J17="Yes",J14-J15-J16,"Error"))</f>
        <v>Error</v>
      </c>
      <c r="K19" s="4117"/>
    </row>
    <row r="20" spans="1:13" ht="14.25" customHeight="1">
      <c r="A20" s="1333"/>
      <c r="B20" s="1333"/>
      <c r="C20" s="1570">
        <v>8</v>
      </c>
      <c r="D20" s="1336" t="s">
        <v>3981</v>
      </c>
      <c r="E20" s="1336"/>
      <c r="F20" s="1336"/>
      <c r="G20" s="1336"/>
      <c r="H20" s="1336"/>
      <c r="I20" s="1336"/>
      <c r="J20" s="4114" t="e">
        <f>ROUNDDOWN(J19/J8,2)</f>
        <v>#VALUE!</v>
      </c>
      <c r="K20" s="411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3982</v>
      </c>
      <c r="E22" s="1357"/>
      <c r="F22" s="1357"/>
      <c r="G22" s="1357"/>
      <c r="H22" s="1357"/>
      <c r="I22" s="1357"/>
      <c r="J22" s="4112" t="e">
        <f>J11/J19</f>
        <v>#VALUE!</v>
      </c>
      <c r="K22" s="4113"/>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5" t="s">
        <v>4013</v>
      </c>
      <c r="B30" s="4156"/>
      <c r="C30" s="4156"/>
      <c r="D30" s="4156"/>
      <c r="E30" s="4156"/>
      <c r="F30" s="4156"/>
      <c r="G30" s="4156"/>
      <c r="H30" s="4156"/>
      <c r="I30" s="4156"/>
      <c r="J30" s="4156"/>
      <c r="K30" s="4157"/>
    </row>
    <row r="31" spans="1:13">
      <c r="B31" s="4158" t="s">
        <v>6170</v>
      </c>
      <c r="C31" s="4158"/>
      <c r="D31" s="4158"/>
      <c r="E31" s="4158"/>
      <c r="F31" s="4158"/>
      <c r="G31" s="4159" t="s">
        <v>3984</v>
      </c>
      <c r="H31" s="4160"/>
      <c r="I31" s="4160"/>
      <c r="J31" s="4160"/>
      <c r="K31" s="4161"/>
    </row>
    <row r="32" spans="1:13" ht="56.25" customHeight="1">
      <c r="A32" s="1351"/>
      <c r="B32" s="1369" t="s">
        <v>4012</v>
      </c>
      <c r="C32" s="1370" t="s">
        <v>4008</v>
      </c>
      <c r="D32" s="1370" t="s">
        <v>4007</v>
      </c>
      <c r="E32" s="4162" t="s">
        <v>6098</v>
      </c>
      <c r="F32" s="4163"/>
      <c r="G32" s="1371" t="s">
        <v>3985</v>
      </c>
      <c r="H32" s="1371" t="s">
        <v>3986</v>
      </c>
      <c r="J32" s="1371" t="s">
        <v>3987</v>
      </c>
      <c r="K32" s="1371" t="s">
        <v>3988</v>
      </c>
      <c r="L32" s="4164" t="s">
        <v>3989</v>
      </c>
      <c r="M32" s="4164"/>
    </row>
    <row r="33" spans="2:14" ht="12.75" customHeight="1">
      <c r="B33" s="1558"/>
      <c r="C33" s="1559"/>
      <c r="D33" s="1560"/>
      <c r="E33" s="4165"/>
      <c r="F33" s="4166"/>
      <c r="G33" s="1387" t="e">
        <f t="shared" ref="G33:G51" si="0">$J$22*B33</f>
        <v>#VALUE!</v>
      </c>
      <c r="H33" s="1388" t="e">
        <f>ROUNDUP(G33,0)</f>
        <v>#VALUE!</v>
      </c>
      <c r="I33" s="1389"/>
      <c r="J33" s="1390" t="e">
        <f t="shared" ref="J33:J51" si="1">$J$20*E33</f>
        <v>#VALUE!</v>
      </c>
      <c r="K33" s="1390" t="e">
        <f t="shared" ref="K33:K51" si="2">ROUNDDOWN(J33*H33,0)</f>
        <v>#VALUE!</v>
      </c>
      <c r="L33" s="4164"/>
      <c r="M33" s="4164"/>
    </row>
    <row r="34" spans="2:14" ht="12.75" customHeight="1">
      <c r="B34" s="1561"/>
      <c r="C34" s="1562"/>
      <c r="D34" s="1563"/>
      <c r="E34" s="4146"/>
      <c r="F34" s="4147"/>
      <c r="G34" s="1391" t="e">
        <f t="shared" si="0"/>
        <v>#VALUE!</v>
      </c>
      <c r="H34" s="1392" t="e">
        <f t="shared" ref="H34:H51" si="3">ROUNDUP(G34,0)</f>
        <v>#VALUE!</v>
      </c>
      <c r="I34" s="1389"/>
      <c r="J34" s="1393" t="e">
        <f t="shared" si="1"/>
        <v>#VALUE!</v>
      </c>
      <c r="K34" s="1393" t="e">
        <f t="shared" si="2"/>
        <v>#VALUE!</v>
      </c>
      <c r="L34" s="4164"/>
      <c r="M34" s="4164"/>
    </row>
    <row r="35" spans="2:14" ht="12.75" customHeight="1">
      <c r="B35" s="1561"/>
      <c r="C35" s="1562"/>
      <c r="D35" s="1563"/>
      <c r="E35" s="4146"/>
      <c r="F35" s="4147"/>
      <c r="G35" s="1391" t="e">
        <f t="shared" si="0"/>
        <v>#VALUE!</v>
      </c>
      <c r="H35" s="1392" t="e">
        <f t="shared" si="3"/>
        <v>#VALUE!</v>
      </c>
      <c r="I35" s="1389"/>
      <c r="J35" s="1393" t="e">
        <f t="shared" si="1"/>
        <v>#VALUE!</v>
      </c>
      <c r="K35" s="1393" t="e">
        <f t="shared" si="2"/>
        <v>#VALUE!</v>
      </c>
      <c r="L35" s="4164"/>
      <c r="M35" s="4164"/>
    </row>
    <row r="36" spans="2:14" ht="12.75" customHeight="1">
      <c r="B36" s="1561"/>
      <c r="C36" s="1562"/>
      <c r="D36" s="1563"/>
      <c r="E36" s="4146"/>
      <c r="F36" s="4147"/>
      <c r="G36" s="1391" t="e">
        <f t="shared" si="0"/>
        <v>#VALUE!</v>
      </c>
      <c r="H36" s="1392" t="e">
        <f t="shared" si="3"/>
        <v>#VALUE!</v>
      </c>
      <c r="I36" s="1389"/>
      <c r="J36" s="1393" t="e">
        <f t="shared" si="1"/>
        <v>#VALUE!</v>
      </c>
      <c r="K36" s="1393" t="e">
        <f t="shared" si="2"/>
        <v>#VALUE!</v>
      </c>
      <c r="L36" s="4164"/>
      <c r="M36" s="4164"/>
      <c r="N36" s="1346"/>
    </row>
    <row r="37" spans="2:14" ht="12.75" customHeight="1">
      <c r="B37" s="1561"/>
      <c r="C37" s="1562"/>
      <c r="D37" s="1563"/>
      <c r="E37" s="4146"/>
      <c r="F37" s="4147"/>
      <c r="G37" s="1391" t="e">
        <f t="shared" si="0"/>
        <v>#VALUE!</v>
      </c>
      <c r="H37" s="1392" t="e">
        <f t="shared" si="3"/>
        <v>#VALUE!</v>
      </c>
      <c r="I37" s="1389"/>
      <c r="J37" s="1393" t="e">
        <f t="shared" si="1"/>
        <v>#VALUE!</v>
      </c>
      <c r="K37" s="1393" t="e">
        <f t="shared" si="2"/>
        <v>#VALUE!</v>
      </c>
      <c r="L37" s="4164"/>
      <c r="M37" s="4164"/>
    </row>
    <row r="38" spans="2:14" ht="12.75" customHeight="1">
      <c r="B38" s="1561"/>
      <c r="C38" s="1562"/>
      <c r="D38" s="1563"/>
      <c r="E38" s="4146"/>
      <c r="F38" s="4147"/>
      <c r="G38" s="1391" t="e">
        <f t="shared" si="0"/>
        <v>#VALUE!</v>
      </c>
      <c r="H38" s="1392" t="e">
        <f t="shared" si="3"/>
        <v>#VALUE!</v>
      </c>
      <c r="I38" s="1389"/>
      <c r="J38" s="1393" t="e">
        <f t="shared" si="1"/>
        <v>#VALUE!</v>
      </c>
      <c r="K38" s="1393" t="e">
        <f t="shared" si="2"/>
        <v>#VALUE!</v>
      </c>
      <c r="L38" s="4164"/>
      <c r="M38" s="4164"/>
    </row>
    <row r="39" spans="2:14" ht="12.75" customHeight="1">
      <c r="B39" s="1561"/>
      <c r="C39" s="1562"/>
      <c r="D39" s="1563"/>
      <c r="E39" s="4146"/>
      <c r="F39" s="4147"/>
      <c r="G39" s="1391" t="e">
        <f t="shared" si="0"/>
        <v>#VALUE!</v>
      </c>
      <c r="H39" s="1392" t="e">
        <f t="shared" si="3"/>
        <v>#VALUE!</v>
      </c>
      <c r="I39" s="1389"/>
      <c r="J39" s="1393" t="e">
        <f t="shared" si="1"/>
        <v>#VALUE!</v>
      </c>
      <c r="K39" s="1393" t="e">
        <f t="shared" si="2"/>
        <v>#VALUE!</v>
      </c>
      <c r="L39" s="4164"/>
      <c r="M39" s="4164"/>
    </row>
    <row r="40" spans="2:14" ht="12.75" customHeight="1">
      <c r="B40" s="1561"/>
      <c r="C40" s="1562"/>
      <c r="D40" s="1563"/>
      <c r="E40" s="4146"/>
      <c r="F40" s="4147"/>
      <c r="G40" s="1391" t="e">
        <f t="shared" si="0"/>
        <v>#VALUE!</v>
      </c>
      <c r="H40" s="1392" t="e">
        <f t="shared" si="3"/>
        <v>#VALUE!</v>
      </c>
      <c r="I40" s="1389"/>
      <c r="J40" s="1393" t="e">
        <f t="shared" si="1"/>
        <v>#VALUE!</v>
      </c>
      <c r="K40" s="1393" t="e">
        <f t="shared" si="2"/>
        <v>#VALUE!</v>
      </c>
      <c r="L40" s="4164"/>
      <c r="M40" s="4164"/>
    </row>
    <row r="41" spans="2:14" ht="12.75" customHeight="1">
      <c r="B41" s="1561"/>
      <c r="C41" s="1562"/>
      <c r="D41" s="1563"/>
      <c r="E41" s="4146"/>
      <c r="F41" s="4147"/>
      <c r="G41" s="1391" t="e">
        <f t="shared" si="0"/>
        <v>#VALUE!</v>
      </c>
      <c r="H41" s="1392" t="e">
        <f t="shared" si="3"/>
        <v>#VALUE!</v>
      </c>
      <c r="I41" s="1389"/>
      <c r="J41" s="1393" t="e">
        <f t="shared" si="1"/>
        <v>#VALUE!</v>
      </c>
      <c r="K41" s="1393" t="e">
        <f t="shared" si="2"/>
        <v>#VALUE!</v>
      </c>
      <c r="L41" s="4164"/>
      <c r="M41" s="4164"/>
    </row>
    <row r="42" spans="2:14" ht="12.75" customHeight="1">
      <c r="B42" s="1561"/>
      <c r="C42" s="1562"/>
      <c r="D42" s="1563"/>
      <c r="E42" s="4146"/>
      <c r="F42" s="4147"/>
      <c r="G42" s="1391" t="e">
        <f t="shared" si="0"/>
        <v>#VALUE!</v>
      </c>
      <c r="H42" s="1392" t="e">
        <f t="shared" si="3"/>
        <v>#VALUE!</v>
      </c>
      <c r="I42" s="1389"/>
      <c r="J42" s="1393" t="e">
        <f t="shared" si="1"/>
        <v>#VALUE!</v>
      </c>
      <c r="K42" s="1393" t="e">
        <f t="shared" si="2"/>
        <v>#VALUE!</v>
      </c>
      <c r="L42" s="4164"/>
      <c r="M42" s="4164"/>
    </row>
    <row r="43" spans="2:14" ht="12.75" customHeight="1">
      <c r="B43" s="1561"/>
      <c r="C43" s="1562"/>
      <c r="D43" s="1563"/>
      <c r="E43" s="4146"/>
      <c r="F43" s="4147"/>
      <c r="G43" s="1391" t="e">
        <f t="shared" si="0"/>
        <v>#VALUE!</v>
      </c>
      <c r="H43" s="1392" t="e">
        <f t="shared" si="3"/>
        <v>#VALUE!</v>
      </c>
      <c r="I43" s="1389"/>
      <c r="J43" s="1393" t="e">
        <f t="shared" si="1"/>
        <v>#VALUE!</v>
      </c>
      <c r="K43" s="1393" t="e">
        <f t="shared" si="2"/>
        <v>#VALUE!</v>
      </c>
      <c r="L43" s="4164"/>
      <c r="M43" s="4164"/>
    </row>
    <row r="44" spans="2:14" ht="12.75" customHeight="1">
      <c r="B44" s="1561"/>
      <c r="C44" s="1562"/>
      <c r="D44" s="1563"/>
      <c r="E44" s="4146"/>
      <c r="F44" s="4147"/>
      <c r="G44" s="1391" t="e">
        <f t="shared" si="0"/>
        <v>#VALUE!</v>
      </c>
      <c r="H44" s="1392" t="e">
        <f t="shared" si="3"/>
        <v>#VALUE!</v>
      </c>
      <c r="I44" s="1389"/>
      <c r="J44" s="1393" t="e">
        <f t="shared" si="1"/>
        <v>#VALUE!</v>
      </c>
      <c r="K44" s="1393" t="e">
        <f t="shared" si="2"/>
        <v>#VALUE!</v>
      </c>
      <c r="L44" s="4164"/>
      <c r="M44" s="4164"/>
    </row>
    <row r="45" spans="2:14" ht="12.75" customHeight="1">
      <c r="B45" s="1561"/>
      <c r="C45" s="1562"/>
      <c r="D45" s="1563"/>
      <c r="E45" s="4146"/>
      <c r="F45" s="4147"/>
      <c r="G45" s="1391" t="e">
        <f t="shared" si="0"/>
        <v>#VALUE!</v>
      </c>
      <c r="H45" s="1392" t="e">
        <f t="shared" si="3"/>
        <v>#VALUE!</v>
      </c>
      <c r="I45" s="1389"/>
      <c r="J45" s="1393" t="e">
        <f t="shared" si="1"/>
        <v>#VALUE!</v>
      </c>
      <c r="K45" s="1393" t="e">
        <f t="shared" si="2"/>
        <v>#VALUE!</v>
      </c>
      <c r="L45" s="4164"/>
      <c r="M45" s="4164"/>
    </row>
    <row r="46" spans="2:14" ht="12.75" customHeight="1">
      <c r="B46" s="1561"/>
      <c r="C46" s="1562"/>
      <c r="D46" s="1563"/>
      <c r="E46" s="4146"/>
      <c r="F46" s="4147"/>
      <c r="G46" s="1391" t="e">
        <f t="shared" si="0"/>
        <v>#VALUE!</v>
      </c>
      <c r="H46" s="1392" t="e">
        <f t="shared" si="3"/>
        <v>#VALUE!</v>
      </c>
      <c r="I46" s="1389"/>
      <c r="J46" s="1393" t="e">
        <f t="shared" si="1"/>
        <v>#VALUE!</v>
      </c>
      <c r="K46" s="1393" t="e">
        <f t="shared" si="2"/>
        <v>#VALUE!</v>
      </c>
      <c r="L46" s="4164"/>
      <c r="M46" s="4164"/>
    </row>
    <row r="47" spans="2:14" ht="12.75" customHeight="1">
      <c r="B47" s="1561"/>
      <c r="C47" s="1562"/>
      <c r="D47" s="1563"/>
      <c r="E47" s="4146"/>
      <c r="F47" s="4147"/>
      <c r="G47" s="1391" t="e">
        <f t="shared" si="0"/>
        <v>#VALUE!</v>
      </c>
      <c r="H47" s="1392" t="e">
        <f t="shared" si="3"/>
        <v>#VALUE!</v>
      </c>
      <c r="I47" s="1389"/>
      <c r="J47" s="1393" t="e">
        <f t="shared" si="1"/>
        <v>#VALUE!</v>
      </c>
      <c r="K47" s="1393" t="e">
        <f t="shared" si="2"/>
        <v>#VALUE!</v>
      </c>
      <c r="L47" s="4164"/>
      <c r="M47" s="4164"/>
    </row>
    <row r="48" spans="2:14" ht="12.75" customHeight="1">
      <c r="B48" s="1561"/>
      <c r="C48" s="1562"/>
      <c r="D48" s="1563"/>
      <c r="E48" s="4146"/>
      <c r="F48" s="4147"/>
      <c r="G48" s="1391" t="e">
        <f t="shared" si="0"/>
        <v>#VALUE!</v>
      </c>
      <c r="H48" s="1392" t="e">
        <f t="shared" si="3"/>
        <v>#VALUE!</v>
      </c>
      <c r="I48" s="1389"/>
      <c r="J48" s="1393" t="e">
        <f t="shared" si="1"/>
        <v>#VALUE!</v>
      </c>
      <c r="K48" s="1393" t="e">
        <f t="shared" si="2"/>
        <v>#VALUE!</v>
      </c>
      <c r="L48" s="4164"/>
      <c r="M48" s="4164"/>
    </row>
    <row r="49" spans="1:13" ht="12.75" customHeight="1">
      <c r="B49" s="1561"/>
      <c r="C49" s="1562"/>
      <c r="D49" s="1563"/>
      <c r="E49" s="4146"/>
      <c r="F49" s="4147"/>
      <c r="G49" s="1391" t="e">
        <f t="shared" si="0"/>
        <v>#VALUE!</v>
      </c>
      <c r="H49" s="1392" t="e">
        <f t="shared" si="3"/>
        <v>#VALUE!</v>
      </c>
      <c r="I49" s="1389"/>
      <c r="J49" s="1393" t="e">
        <f t="shared" si="1"/>
        <v>#VALUE!</v>
      </c>
      <c r="K49" s="1393" t="e">
        <f t="shared" si="2"/>
        <v>#VALUE!</v>
      </c>
      <c r="L49" s="4164"/>
      <c r="M49" s="4164"/>
    </row>
    <row r="50" spans="1:13" ht="12.75" customHeight="1">
      <c r="B50" s="1561"/>
      <c r="C50" s="1562"/>
      <c r="D50" s="1563"/>
      <c r="E50" s="4146"/>
      <c r="F50" s="4147"/>
      <c r="G50" s="1391" t="e">
        <f t="shared" si="0"/>
        <v>#VALUE!</v>
      </c>
      <c r="H50" s="1392" t="e">
        <f t="shared" si="3"/>
        <v>#VALUE!</v>
      </c>
      <c r="I50" s="1389"/>
      <c r="J50" s="1393" t="e">
        <f t="shared" si="1"/>
        <v>#VALUE!</v>
      </c>
      <c r="K50" s="1393" t="e">
        <f t="shared" si="2"/>
        <v>#VALUE!</v>
      </c>
      <c r="L50" s="4164"/>
      <c r="M50" s="4164"/>
    </row>
    <row r="51" spans="1:13" ht="12.75" customHeight="1" thickBot="1">
      <c r="B51" s="1564"/>
      <c r="C51" s="1565"/>
      <c r="D51" s="1566"/>
      <c r="E51" s="4148"/>
      <c r="F51" s="4149"/>
      <c r="G51" s="1394" t="e">
        <f t="shared" si="0"/>
        <v>#VALUE!</v>
      </c>
      <c r="H51" s="1395" t="e">
        <f t="shared" si="3"/>
        <v>#VALUE!</v>
      </c>
      <c r="I51" s="1389"/>
      <c r="J51" s="1396" t="e">
        <f t="shared" si="1"/>
        <v>#VALUE!</v>
      </c>
      <c r="K51" s="1396" t="e">
        <f t="shared" si="2"/>
        <v>#VALUE!</v>
      </c>
      <c r="L51" s="4164"/>
      <c r="M51" s="4164"/>
    </row>
    <row r="52" spans="1:13" ht="15" customHeight="1" thickBot="1">
      <c r="B52" s="1362"/>
      <c r="D52" s="1356"/>
      <c r="E52" s="1356"/>
      <c r="F52" s="1356"/>
      <c r="G52" s="1373" t="s">
        <v>3990</v>
      </c>
      <c r="H52" s="1372" t="e">
        <f>SUM(H33:H51)</f>
        <v>#VALUE!</v>
      </c>
      <c r="I52" s="1356"/>
      <c r="J52" s="1362" t="s">
        <v>3991</v>
      </c>
      <c r="K52" s="1358" t="e">
        <f>SUM(K33:K51)</f>
        <v>#VALUE!</v>
      </c>
      <c r="L52" s="4164"/>
      <c r="M52" s="4164"/>
    </row>
    <row r="53" spans="1:13" ht="15" customHeight="1">
      <c r="B53" s="1363"/>
      <c r="C53" s="4150" t="s">
        <v>3992</v>
      </c>
      <c r="D53" s="4150"/>
      <c r="E53" s="4150"/>
      <c r="F53" s="4150"/>
      <c r="G53" s="4150"/>
      <c r="H53" s="4150"/>
      <c r="I53" s="4150"/>
      <c r="J53" s="4151"/>
      <c r="K53" s="1364" t="str">
        <f>IF(J17="no",0,IF(J17="yes",J16,"Error"))</f>
        <v>Error</v>
      </c>
      <c r="L53" s="4164"/>
      <c r="M53" s="4164"/>
    </row>
    <row r="54" spans="1:13" ht="15" customHeight="1" thickBot="1">
      <c r="B54" s="1363"/>
      <c r="C54" s="4152" t="s">
        <v>3993</v>
      </c>
      <c r="D54" s="4152"/>
      <c r="E54" s="4152"/>
      <c r="F54" s="4152"/>
      <c r="G54" s="4152"/>
      <c r="H54" s="4152"/>
      <c r="I54" s="4152"/>
      <c r="J54" s="4153"/>
      <c r="K54" s="1375" t="e">
        <f>K52+K53</f>
        <v>#VALUE!</v>
      </c>
    </row>
    <row r="55" spans="1:13" ht="7.9" customHeight="1">
      <c r="A55" s="4154"/>
      <c r="B55" s="4124"/>
      <c r="C55" s="4124"/>
      <c r="D55" s="4124"/>
      <c r="E55" s="4124"/>
      <c r="F55" s="4124"/>
      <c r="G55" s="4124"/>
      <c r="H55" s="4124"/>
      <c r="I55" s="4124"/>
      <c r="J55" s="4124"/>
      <c r="K55" s="1386"/>
    </row>
    <row r="56" spans="1:13" ht="15" customHeight="1">
      <c r="A56" s="4125" t="s">
        <v>3994</v>
      </c>
      <c r="B56" s="4126"/>
      <c r="C56" s="4126"/>
      <c r="D56" s="4126"/>
      <c r="E56" s="4126"/>
      <c r="F56" s="4126"/>
      <c r="G56" s="4126"/>
      <c r="H56" s="4126"/>
      <c r="I56" s="4126"/>
      <c r="J56" s="4126"/>
      <c r="K56" s="4127"/>
    </row>
    <row r="57" spans="1:13" ht="48" customHeight="1">
      <c r="A57" s="1348"/>
      <c r="B57" s="1339"/>
      <c r="C57" s="1350" t="s">
        <v>3995</v>
      </c>
      <c r="D57" s="1483" t="s">
        <v>6063</v>
      </c>
      <c r="E57" s="4137" t="s">
        <v>4011</v>
      </c>
      <c r="F57" s="4138"/>
      <c r="G57" s="4139" t="s">
        <v>3996</v>
      </c>
      <c r="H57" s="4140"/>
      <c r="I57" s="4137" t="s">
        <v>4010</v>
      </c>
      <c r="J57" s="4138"/>
      <c r="K57" s="4141"/>
    </row>
    <row r="58" spans="1:13" ht="15" customHeight="1">
      <c r="A58" s="1465"/>
      <c r="B58" s="1381"/>
      <c r="C58" s="1359">
        <f>SUMIF(C33:C51, "0", H33:H51)</f>
        <v>0</v>
      </c>
      <c r="D58" s="1484">
        <f t="shared" ref="D58:D63" si="4">ROUNDUP(C58*1.1,0)</f>
        <v>0</v>
      </c>
      <c r="E58" s="4143" t="s">
        <v>3997</v>
      </c>
      <c r="F58" s="4144"/>
      <c r="G58" s="4131">
        <f>'DCA Underwriting Assumptions'!H129</f>
        <v>159753.60000000001</v>
      </c>
      <c r="H58" s="4132"/>
      <c r="I58" s="4145">
        <f t="shared" ref="I58:I63" si="5">D58*G58</f>
        <v>0</v>
      </c>
      <c r="J58" s="4145"/>
      <c r="K58" s="4142"/>
    </row>
    <row r="59" spans="1:13">
      <c r="A59" s="1465"/>
      <c r="B59" s="1381"/>
      <c r="C59" s="1360">
        <f>SUMIF(C33:C51, "1", H33:H51)</f>
        <v>0</v>
      </c>
      <c r="D59" s="1485">
        <f t="shared" si="4"/>
        <v>0</v>
      </c>
      <c r="E59" s="4129" t="s">
        <v>2462</v>
      </c>
      <c r="F59" s="4130"/>
      <c r="G59" s="4131">
        <f>'DCA Underwriting Assumptions'!H130</f>
        <v>183132</v>
      </c>
      <c r="H59" s="4132"/>
      <c r="I59" s="4133">
        <f t="shared" si="5"/>
        <v>0</v>
      </c>
      <c r="J59" s="4133"/>
      <c r="K59" s="4142"/>
    </row>
    <row r="60" spans="1:13" ht="15" customHeight="1">
      <c r="A60" s="1465"/>
      <c r="B60" s="1381"/>
      <c r="C60" s="1360">
        <f>SUMIF(C33:C51, "2", H33:H51)</f>
        <v>0</v>
      </c>
      <c r="D60" s="1485">
        <f t="shared" si="4"/>
        <v>0</v>
      </c>
      <c r="E60" s="4129" t="s">
        <v>2463</v>
      </c>
      <c r="F60" s="4130"/>
      <c r="G60" s="4131">
        <f>'DCA Underwriting Assumptions'!H131</f>
        <v>222693.6</v>
      </c>
      <c r="H60" s="4132"/>
      <c r="I60" s="4133">
        <f t="shared" si="5"/>
        <v>0</v>
      </c>
      <c r="J60" s="4133"/>
      <c r="K60" s="4142"/>
    </row>
    <row r="61" spans="1:13">
      <c r="A61" s="1465"/>
      <c r="B61" s="1381"/>
      <c r="C61" s="1360">
        <f>SUMIF(C33:C51, "3", H33:H51)</f>
        <v>0</v>
      </c>
      <c r="D61" s="1485">
        <f t="shared" si="4"/>
        <v>0</v>
      </c>
      <c r="E61" s="4129" t="s">
        <v>2466</v>
      </c>
      <c r="F61" s="4130"/>
      <c r="G61" s="4131">
        <f>'DCA Underwriting Assumptions'!H132</f>
        <v>288093.59999999998</v>
      </c>
      <c r="H61" s="4132"/>
      <c r="I61" s="4133">
        <f t="shared" si="5"/>
        <v>0</v>
      </c>
      <c r="J61" s="4133"/>
      <c r="K61" s="4142"/>
    </row>
    <row r="62" spans="1:13">
      <c r="A62" s="1465"/>
      <c r="B62" s="1381"/>
      <c r="C62" s="1360">
        <f>SUMIF(C33:C51, "4", H33:H51)</f>
        <v>0</v>
      </c>
      <c r="D62" s="1485">
        <f t="shared" si="4"/>
        <v>0</v>
      </c>
      <c r="E62" s="4129" t="s">
        <v>3998</v>
      </c>
      <c r="F62" s="4130"/>
      <c r="G62" s="4131">
        <f>'DCA Underwriting Assumptions'!H133</f>
        <v>316236</v>
      </c>
      <c r="H62" s="4132"/>
      <c r="I62" s="4133">
        <f t="shared" si="5"/>
        <v>0</v>
      </c>
      <c r="J62" s="4133"/>
      <c r="K62" s="4142"/>
    </row>
    <row r="63" spans="1:13">
      <c r="A63" s="1482"/>
      <c r="B63" s="1382"/>
      <c r="C63" s="1361">
        <f>SUMIF(C33:C51, "5", H33:H51)</f>
        <v>0</v>
      </c>
      <c r="D63" s="1486">
        <f t="shared" si="4"/>
        <v>0</v>
      </c>
      <c r="E63" s="4134" t="s">
        <v>3999</v>
      </c>
      <c r="F63" s="4135"/>
      <c r="G63" s="4131">
        <f>'DCA Underwriting Assumptions'!H133</f>
        <v>316236</v>
      </c>
      <c r="H63" s="4132"/>
      <c r="I63" s="4136">
        <f t="shared" si="5"/>
        <v>0</v>
      </c>
      <c r="J63" s="4136"/>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4"/>
      <c r="B65" s="4124"/>
      <c r="C65" s="4124"/>
      <c r="D65" s="4124"/>
      <c r="E65" s="4124"/>
      <c r="F65" s="4124"/>
      <c r="G65" s="4124"/>
      <c r="H65" s="4124"/>
      <c r="I65" s="4124"/>
      <c r="J65" s="4124"/>
    </row>
    <row r="66" spans="1:11">
      <c r="A66" s="4125" t="s">
        <v>4002</v>
      </c>
      <c r="B66" s="4126"/>
      <c r="C66" s="4126"/>
      <c r="D66" s="4126"/>
      <c r="E66" s="4126"/>
      <c r="F66" s="4126"/>
      <c r="G66" s="4126"/>
      <c r="H66" s="4126"/>
      <c r="I66" s="4126"/>
      <c r="J66" s="4126"/>
      <c r="K66" s="4127"/>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8" t="s">
        <v>4006</v>
      </c>
      <c r="D70" s="4128"/>
      <c r="E70" s="4128"/>
      <c r="F70" s="4128"/>
      <c r="G70" s="4128"/>
      <c r="H70" s="4128"/>
      <c r="I70" s="4128"/>
      <c r="J70" s="412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West Pine Residences, Sylvester, Worth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1"/>
      <c r="C3" s="4311"/>
      <c r="D3" s="4311"/>
      <c r="E3" s="4311"/>
      <c r="F3" s="4311"/>
      <c r="G3" s="4311"/>
      <c r="H3" s="43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1"/>
      <c r="J3" s="4311"/>
      <c r="K3" s="4311"/>
      <c r="L3" s="4311"/>
      <c r="M3" s="4311"/>
      <c r="N3" s="4311"/>
      <c r="P3" s="4321" t="s">
        <v>876</v>
      </c>
      <c r="Q3" s="4367" t="s">
        <v>6530</v>
      </c>
      <c r="R3" s="1804"/>
      <c r="S3" s="1804"/>
    </row>
    <row r="4" spans="1:19" ht="3" customHeight="1">
      <c r="A4" s="686"/>
      <c r="B4" s="4312"/>
      <c r="C4" s="4312"/>
      <c r="D4" s="4312"/>
      <c r="E4" s="686"/>
      <c r="F4" s="686"/>
      <c r="G4" s="686"/>
      <c r="H4" s="686"/>
      <c r="J4" s="490"/>
      <c r="K4" s="686"/>
      <c r="L4" s="686"/>
      <c r="M4" s="686"/>
      <c r="N4" s="686"/>
      <c r="P4" s="4322"/>
      <c r="Q4" s="4368"/>
      <c r="R4" s="1804"/>
      <c r="S4" s="1804"/>
    </row>
    <row r="5" spans="1:19">
      <c r="E5" s="4320" t="str">
        <f>'Part I-Project Identification'!$A$6</f>
        <v>April 2023</v>
      </c>
      <c r="F5" s="4320"/>
      <c r="G5" s="4320"/>
      <c r="H5" s="4320"/>
      <c r="I5" s="4320"/>
      <c r="J5" s="490"/>
      <c r="K5" s="1805"/>
      <c r="L5" s="1806" t="s">
        <v>6529</v>
      </c>
      <c r="M5" s="1807" t="str">
        <f>'Part I-Project Identification'!$F$12</f>
        <v>9% Credit Competitive Round only</v>
      </c>
      <c r="N5" s="1808"/>
      <c r="O5" s="1809"/>
      <c r="P5" s="4323"/>
      <c r="Q5" s="4369"/>
      <c r="R5" s="1604"/>
      <c r="S5" s="1604"/>
    </row>
    <row r="6" spans="1:19" ht="17.25" customHeight="1">
      <c r="A6" s="96" t="s">
        <v>6528</v>
      </c>
      <c r="I6" s="490"/>
      <c r="J6" s="490"/>
      <c r="K6" s="4318" t="s">
        <v>3280</v>
      </c>
      <c r="L6" s="4318"/>
      <c r="M6" s="4318"/>
      <c r="N6" s="4318"/>
      <c r="O6" s="4319"/>
      <c r="P6" s="4313"/>
      <c r="Q6" s="4314"/>
      <c r="R6" s="1604"/>
      <c r="S6" s="1604"/>
    </row>
    <row r="7" spans="1:19" ht="12.6" customHeight="1">
      <c r="A7" s="97" t="s">
        <v>3066</v>
      </c>
      <c r="H7" s="1001"/>
      <c r="I7" s="1803"/>
      <c r="J7" s="1803"/>
      <c r="K7" s="1001"/>
      <c r="L7" s="1001"/>
      <c r="M7" s="686"/>
      <c r="N7" s="686"/>
    </row>
    <row r="8" spans="1:19" ht="23.25" customHeight="1">
      <c r="A8" s="4315" t="s">
        <v>1329</v>
      </c>
      <c r="B8" s="4316"/>
      <c r="C8" s="4316"/>
      <c r="D8" s="4316"/>
      <c r="E8" s="4316"/>
      <c r="F8" s="4316"/>
      <c r="G8" s="4316"/>
      <c r="H8" s="4316"/>
      <c r="I8" s="4316"/>
      <c r="J8" s="4316"/>
      <c r="K8" s="4316"/>
      <c r="L8" s="4316"/>
      <c r="M8" s="4316"/>
      <c r="N8" s="4316"/>
      <c r="O8" s="4316"/>
      <c r="P8" s="4316"/>
      <c r="Q8" s="4317"/>
      <c r="R8" s="3047" t="s">
        <v>1883</v>
      </c>
      <c r="S8" s="3010"/>
    </row>
    <row r="9" spans="1:19" ht="23.25" customHeight="1">
      <c r="A9" s="4297" t="s">
        <v>218</v>
      </c>
      <c r="B9" s="4298"/>
      <c r="C9" s="4298"/>
      <c r="D9" s="4298"/>
      <c r="E9" s="4298"/>
      <c r="F9" s="4298"/>
      <c r="G9" s="4298"/>
      <c r="H9" s="4298"/>
      <c r="I9" s="4298"/>
      <c r="J9" s="4298"/>
      <c r="K9" s="4298"/>
      <c r="L9" s="4298"/>
      <c r="M9" s="4298"/>
      <c r="N9" s="4298"/>
      <c r="O9" s="4298"/>
      <c r="P9" s="4298"/>
      <c r="Q9" s="4299"/>
      <c r="R9" s="3047"/>
      <c r="S9" s="3010"/>
    </row>
    <row r="10" spans="1:19" ht="23.25" customHeight="1">
      <c r="A10" s="4297" t="s">
        <v>1325</v>
      </c>
      <c r="B10" s="4298"/>
      <c r="C10" s="4298"/>
      <c r="D10" s="4298"/>
      <c r="E10" s="4298"/>
      <c r="F10" s="4298"/>
      <c r="G10" s="4298"/>
      <c r="H10" s="4298"/>
      <c r="I10" s="4298"/>
      <c r="J10" s="4298"/>
      <c r="K10" s="4298"/>
      <c r="L10" s="4298"/>
      <c r="M10" s="4298"/>
      <c r="N10" s="4298"/>
      <c r="O10" s="4298"/>
      <c r="P10" s="4298"/>
      <c r="Q10" s="4299"/>
      <c r="R10" s="3047"/>
      <c r="S10" s="3010"/>
    </row>
    <row r="11" spans="1:19" ht="23.25" customHeight="1">
      <c r="A11" s="4297" t="s">
        <v>1326</v>
      </c>
      <c r="B11" s="4298"/>
      <c r="C11" s="4298"/>
      <c r="D11" s="4298"/>
      <c r="E11" s="4298"/>
      <c r="F11" s="4298"/>
      <c r="G11" s="4298"/>
      <c r="H11" s="4298"/>
      <c r="I11" s="4298"/>
      <c r="J11" s="4298"/>
      <c r="K11" s="4298"/>
      <c r="L11" s="4298"/>
      <c r="M11" s="4298"/>
      <c r="N11" s="4298"/>
      <c r="O11" s="4298"/>
      <c r="P11" s="4298"/>
      <c r="Q11" s="4299"/>
      <c r="R11" s="3047"/>
      <c r="S11" s="3010"/>
    </row>
    <row r="12" spans="1:19" ht="23.25" customHeight="1">
      <c r="A12" s="4297" t="s">
        <v>1327</v>
      </c>
      <c r="B12" s="4298"/>
      <c r="C12" s="4298"/>
      <c r="D12" s="4298"/>
      <c r="E12" s="4298"/>
      <c r="F12" s="4298"/>
      <c r="G12" s="4298"/>
      <c r="H12" s="4298"/>
      <c r="I12" s="4298"/>
      <c r="J12" s="4298"/>
      <c r="K12" s="4298"/>
      <c r="L12" s="4298"/>
      <c r="M12" s="4298"/>
      <c r="N12" s="4298"/>
      <c r="O12" s="4298"/>
      <c r="P12" s="4298"/>
      <c r="Q12" s="4299"/>
      <c r="R12" s="886"/>
      <c r="S12" s="886"/>
    </row>
    <row r="13" spans="1:19" ht="23.25" customHeight="1">
      <c r="A13" s="4297" t="s">
        <v>1328</v>
      </c>
      <c r="B13" s="4298"/>
      <c r="C13" s="4298"/>
      <c r="D13" s="4298"/>
      <c r="E13" s="4298"/>
      <c r="F13" s="4298"/>
      <c r="G13" s="4298"/>
      <c r="H13" s="4298"/>
      <c r="I13" s="4298"/>
      <c r="J13" s="4298"/>
      <c r="K13" s="4298"/>
      <c r="L13" s="4298"/>
      <c r="M13" s="4298"/>
      <c r="N13" s="4298"/>
      <c r="O13" s="4298"/>
      <c r="P13" s="4298"/>
      <c r="Q13" s="4299"/>
      <c r="R13" s="886"/>
      <c r="S13" s="886"/>
    </row>
    <row r="14" spans="1:19" ht="23.25" customHeight="1">
      <c r="A14" s="4297" t="s">
        <v>1330</v>
      </c>
      <c r="B14" s="4298"/>
      <c r="C14" s="4298"/>
      <c r="D14" s="4298"/>
      <c r="E14" s="4298"/>
      <c r="F14" s="4298"/>
      <c r="G14" s="4298"/>
      <c r="H14" s="4298"/>
      <c r="I14" s="4298"/>
      <c r="J14" s="4298"/>
      <c r="K14" s="4298"/>
      <c r="L14" s="4298"/>
      <c r="M14" s="4298"/>
      <c r="N14" s="4298"/>
      <c r="O14" s="4298"/>
      <c r="P14" s="4298"/>
      <c r="Q14" s="4299"/>
    </row>
    <row r="15" spans="1:19" ht="11.25" customHeight="1">
      <c r="A15" s="4297" t="s">
        <v>1872</v>
      </c>
      <c r="B15" s="4298"/>
      <c r="C15" s="4298"/>
      <c r="D15" s="4298"/>
      <c r="E15" s="4298"/>
      <c r="F15" s="4298"/>
      <c r="G15" s="4298"/>
      <c r="H15" s="4298"/>
      <c r="I15" s="4298"/>
      <c r="J15" s="4298"/>
      <c r="K15" s="4298"/>
      <c r="L15" s="4298"/>
      <c r="M15" s="4298"/>
      <c r="N15" s="4298"/>
      <c r="O15" s="4298"/>
      <c r="P15" s="4298"/>
      <c r="Q15" s="4299"/>
      <c r="R15" s="3047"/>
      <c r="S15" s="3010"/>
    </row>
    <row r="16" spans="1:19" ht="11.25" customHeight="1">
      <c r="A16" s="4297" t="s">
        <v>1873</v>
      </c>
      <c r="B16" s="4298"/>
      <c r="C16" s="4298"/>
      <c r="D16" s="4298"/>
      <c r="E16" s="4298"/>
      <c r="F16" s="4298"/>
      <c r="G16" s="4298"/>
      <c r="H16" s="4298"/>
      <c r="I16" s="4298"/>
      <c r="J16" s="4298"/>
      <c r="K16" s="4298"/>
      <c r="L16" s="4298"/>
      <c r="M16" s="4298"/>
      <c r="N16" s="4298"/>
      <c r="O16" s="4298"/>
      <c r="P16" s="4298"/>
      <c r="Q16" s="4299"/>
      <c r="R16" s="3047"/>
      <c r="S16" s="3010"/>
    </row>
    <row r="17" spans="1:31" ht="11.25" customHeight="1">
      <c r="A17" s="4297" t="s">
        <v>1874</v>
      </c>
      <c r="B17" s="4298"/>
      <c r="C17" s="4298"/>
      <c r="D17" s="4298"/>
      <c r="E17" s="4298"/>
      <c r="F17" s="4298"/>
      <c r="G17" s="4298"/>
      <c r="H17" s="4298"/>
      <c r="I17" s="4298"/>
      <c r="J17" s="4298"/>
      <c r="K17" s="4298"/>
      <c r="L17" s="4298"/>
      <c r="M17" s="4298"/>
      <c r="N17" s="4298"/>
      <c r="O17" s="4298"/>
      <c r="P17" s="4298"/>
      <c r="Q17" s="4299"/>
      <c r="R17" s="3047"/>
      <c r="S17" s="3010"/>
    </row>
    <row r="18" spans="1:31" ht="11.25" customHeight="1">
      <c r="A18" s="4297" t="s">
        <v>1875</v>
      </c>
      <c r="B18" s="4298"/>
      <c r="C18" s="4298"/>
      <c r="D18" s="4298"/>
      <c r="E18" s="4298"/>
      <c r="F18" s="4298"/>
      <c r="G18" s="4298"/>
      <c r="H18" s="4298"/>
      <c r="I18" s="4298"/>
      <c r="J18" s="4298"/>
      <c r="K18" s="4298"/>
      <c r="L18" s="4298"/>
      <c r="M18" s="4298"/>
      <c r="N18" s="4298"/>
      <c r="O18" s="4298"/>
      <c r="P18" s="4298"/>
      <c r="Q18" s="4299"/>
      <c r="R18" s="3047"/>
      <c r="S18" s="3010"/>
    </row>
    <row r="19" spans="1:31" ht="11.25" customHeight="1">
      <c r="A19" s="4297" t="s">
        <v>1876</v>
      </c>
      <c r="B19" s="4298"/>
      <c r="C19" s="4298"/>
      <c r="D19" s="4298"/>
      <c r="E19" s="4298"/>
      <c r="F19" s="4298"/>
      <c r="G19" s="4298"/>
      <c r="H19" s="4298"/>
      <c r="I19" s="4298"/>
      <c r="J19" s="4298"/>
      <c r="K19" s="4298"/>
      <c r="L19" s="4298"/>
      <c r="M19" s="4298"/>
      <c r="N19" s="4298"/>
      <c r="O19" s="4298"/>
      <c r="P19" s="4298"/>
      <c r="Q19" s="4299"/>
      <c r="R19" s="3047"/>
      <c r="S19" s="3010"/>
    </row>
    <row r="20" spans="1:31" ht="11.25" customHeight="1">
      <c r="A20" s="4297" t="s">
        <v>1877</v>
      </c>
      <c r="B20" s="4298"/>
      <c r="C20" s="4298"/>
      <c r="D20" s="4298"/>
      <c r="E20" s="4298"/>
      <c r="F20" s="4298"/>
      <c r="G20" s="4298"/>
      <c r="H20" s="4298"/>
      <c r="I20" s="4298"/>
      <c r="J20" s="4298"/>
      <c r="K20" s="4298"/>
      <c r="L20" s="4298"/>
      <c r="M20" s="4298"/>
      <c r="N20" s="4298"/>
      <c r="O20" s="4298"/>
      <c r="P20" s="4298"/>
      <c r="Q20" s="4299"/>
      <c r="R20" s="3047"/>
      <c r="S20" s="3010"/>
    </row>
    <row r="21" spans="1:31" ht="11.25" customHeight="1">
      <c r="A21" s="4297" t="s">
        <v>1878</v>
      </c>
      <c r="B21" s="4298"/>
      <c r="C21" s="4298"/>
      <c r="D21" s="4298"/>
      <c r="E21" s="4298"/>
      <c r="F21" s="4298"/>
      <c r="G21" s="4298"/>
      <c r="H21" s="4298"/>
      <c r="I21" s="4298"/>
      <c r="J21" s="4298"/>
      <c r="K21" s="4298"/>
      <c r="L21" s="4298"/>
      <c r="M21" s="4298"/>
      <c r="N21" s="4298"/>
      <c r="O21" s="4298"/>
      <c r="P21" s="4298"/>
      <c r="Q21" s="4299"/>
    </row>
    <row r="22" spans="1:31" ht="11.25" customHeight="1">
      <c r="A22" s="4297" t="s">
        <v>1879</v>
      </c>
      <c r="B22" s="4298"/>
      <c r="C22" s="4298"/>
      <c r="D22" s="4298"/>
      <c r="E22" s="4298"/>
      <c r="F22" s="4298"/>
      <c r="G22" s="4298"/>
      <c r="H22" s="4298"/>
      <c r="I22" s="4298"/>
      <c r="J22" s="4298"/>
      <c r="K22" s="4298"/>
      <c r="L22" s="4298"/>
      <c r="M22" s="4298"/>
      <c r="N22" s="4298"/>
      <c r="O22" s="4298"/>
      <c r="P22" s="4298"/>
      <c r="Q22" s="4299"/>
      <c r="R22" s="3047"/>
      <c r="S22" s="3010"/>
    </row>
    <row r="23" spans="1:31" ht="11.25" customHeight="1">
      <c r="A23" s="4297" t="s">
        <v>1880</v>
      </c>
      <c r="B23" s="4298"/>
      <c r="C23" s="4298"/>
      <c r="D23" s="4298"/>
      <c r="E23" s="4298"/>
      <c r="F23" s="4298"/>
      <c r="G23" s="4298"/>
      <c r="H23" s="4298"/>
      <c r="I23" s="4298"/>
      <c r="J23" s="4298"/>
      <c r="K23" s="4298"/>
      <c r="L23" s="4298"/>
      <c r="M23" s="4298"/>
      <c r="N23" s="4298"/>
      <c r="O23" s="4298"/>
      <c r="P23" s="4298"/>
      <c r="Q23" s="4299"/>
      <c r="R23" s="3047"/>
      <c r="S23" s="3010"/>
    </row>
    <row r="24" spans="1:31" ht="11.25" customHeight="1">
      <c r="A24" s="4297" t="s">
        <v>1881</v>
      </c>
      <c r="B24" s="4298"/>
      <c r="C24" s="4298"/>
      <c r="D24" s="4298"/>
      <c r="E24" s="4298"/>
      <c r="F24" s="4298"/>
      <c r="G24" s="4298"/>
      <c r="H24" s="4298"/>
      <c r="I24" s="4298"/>
      <c r="J24" s="4298"/>
      <c r="K24" s="4298"/>
      <c r="L24" s="4298"/>
      <c r="M24" s="4298"/>
      <c r="N24" s="4298"/>
      <c r="O24" s="4298"/>
      <c r="P24" s="4298"/>
      <c r="Q24" s="4299"/>
      <c r="R24" s="3047"/>
      <c r="S24" s="3010"/>
    </row>
    <row r="25" spans="1:31" ht="11.25" customHeight="1">
      <c r="A25" s="4300" t="s">
        <v>1882</v>
      </c>
      <c r="B25" s="4301"/>
      <c r="C25" s="4301"/>
      <c r="D25" s="4301"/>
      <c r="E25" s="4301"/>
      <c r="F25" s="4301"/>
      <c r="G25" s="4301"/>
      <c r="H25" s="4301"/>
      <c r="I25" s="4301"/>
      <c r="J25" s="4301"/>
      <c r="K25" s="4301"/>
      <c r="L25" s="4301"/>
      <c r="M25" s="4301"/>
      <c r="N25" s="4301"/>
      <c r="O25" s="4301"/>
      <c r="P25" s="4301"/>
      <c r="Q25" s="4302"/>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00"/>
      <c r="Q27" s="420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8"/>
      <c r="B30" s="4209"/>
      <c r="C30" s="4209"/>
      <c r="D30" s="4209"/>
      <c r="E30" s="4209"/>
      <c r="F30" s="4209"/>
      <c r="G30" s="4209"/>
      <c r="H30" s="4209"/>
      <c r="I30" s="4209"/>
      <c r="J30" s="4209"/>
      <c r="K30" s="4209"/>
      <c r="L30" s="4209"/>
      <c r="M30" s="4209"/>
      <c r="N30" s="4209"/>
      <c r="O30" s="4209"/>
      <c r="P30" s="4209"/>
      <c r="Q30" s="4210"/>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0"/>
      <c r="B32" s="4310"/>
      <c r="C32" s="4310"/>
      <c r="D32" s="4310"/>
      <c r="E32" s="4310"/>
      <c r="F32" s="4310"/>
      <c r="G32" s="4310"/>
      <c r="H32" s="4310"/>
      <c r="I32" s="4310"/>
      <c r="J32" s="4310"/>
      <c r="K32" s="4310"/>
      <c r="L32" s="4310"/>
      <c r="M32" s="4310"/>
      <c r="N32" s="4310"/>
      <c r="O32" s="4310"/>
      <c r="P32" s="4310"/>
      <c r="Q32" s="431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0"/>
      <c r="Q34" s="4201"/>
    </row>
    <row r="35" spans="1:31" ht="12.75" customHeight="1">
      <c r="A35" s="2"/>
      <c r="B35" s="108" t="s">
        <v>6640</v>
      </c>
      <c r="C35" s="4"/>
      <c r="D35" s="4"/>
      <c r="E35" s="887"/>
      <c r="F35" s="887"/>
      <c r="H35" s="887"/>
      <c r="J35" s="3040" t="s">
        <v>6464</v>
      </c>
      <c r="K35" s="3041"/>
      <c r="L35" s="3042"/>
      <c r="M35" s="147" t="s">
        <v>1647</v>
      </c>
      <c r="N35" s="4191"/>
      <c r="O35" s="4192"/>
      <c r="P35" s="4192"/>
      <c r="Q35" s="4193"/>
    </row>
    <row r="36" spans="1:31" ht="12.75" customHeight="1">
      <c r="A36" s="2"/>
      <c r="B36" s="108" t="s">
        <v>6639</v>
      </c>
      <c r="C36" s="4"/>
      <c r="D36" s="4"/>
      <c r="E36" s="887"/>
      <c r="F36" s="887"/>
      <c r="G36" s="1664"/>
      <c r="H36" s="887"/>
      <c r="J36" s="3040" t="s">
        <v>6465</v>
      </c>
      <c r="K36" s="3041"/>
      <c r="L36" s="3042"/>
      <c r="M36" s="147" t="s">
        <v>1647</v>
      </c>
      <c r="N36" s="4191"/>
      <c r="O36" s="4192"/>
      <c r="P36" s="4192"/>
      <c r="Q36" s="4193"/>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8"/>
      <c r="B38" s="4209"/>
      <c r="C38" s="4209"/>
      <c r="D38" s="4209"/>
      <c r="E38" s="4209"/>
      <c r="F38" s="4209"/>
      <c r="G38" s="4209"/>
      <c r="H38" s="4209"/>
      <c r="I38" s="4209"/>
      <c r="J38" s="4210"/>
      <c r="K38" s="4205"/>
      <c r="L38" s="4206"/>
      <c r="M38" s="4206"/>
      <c r="N38" s="4206"/>
      <c r="O38" s="4206"/>
      <c r="P38" s="4206"/>
      <c r="Q38" s="420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00"/>
      <c r="Q40" s="4201"/>
    </row>
    <row r="41" spans="1:31" ht="1.5" customHeight="1"/>
    <row r="42" spans="1:31" ht="12" customHeight="1">
      <c r="A42" s="110" t="s">
        <v>1841</v>
      </c>
      <c r="B42" s="4194" t="s">
        <v>3783</v>
      </c>
      <c r="C42" s="4194"/>
      <c r="D42" s="4194"/>
      <c r="E42" s="4194"/>
      <c r="F42" s="4194"/>
      <c r="G42" s="4194"/>
      <c r="H42" s="4194"/>
      <c r="I42" s="4194"/>
      <c r="J42" s="4194"/>
      <c r="K42" s="115"/>
      <c r="L42" s="347" t="s">
        <v>2580</v>
      </c>
      <c r="M42" s="1203">
        <v>2</v>
      </c>
      <c r="N42" s="108" t="s">
        <v>4020</v>
      </c>
      <c r="P42" s="4346"/>
      <c r="Q42" s="4356"/>
    </row>
    <row r="43" spans="1:31" ht="12" customHeight="1">
      <c r="A43" s="110"/>
      <c r="B43" s="4194"/>
      <c r="C43" s="4194"/>
      <c r="D43" s="4194"/>
      <c r="E43" s="4194"/>
      <c r="F43" s="4194"/>
      <c r="G43" s="4194"/>
      <c r="H43" s="4194"/>
      <c r="I43" s="4194"/>
      <c r="J43" s="4194"/>
      <c r="K43" s="115"/>
      <c r="L43" s="347" t="s">
        <v>3787</v>
      </c>
      <c r="M43" s="1204">
        <v>4</v>
      </c>
      <c r="O43" s="111"/>
      <c r="P43" s="4347"/>
      <c r="Q43" s="4357"/>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7"/>
      <c r="M50" s="4218"/>
      <c r="N50" s="4218"/>
      <c r="O50" s="4218"/>
      <c r="P50" s="4218"/>
      <c r="Q50" s="4296"/>
    </row>
    <row r="51" spans="1:31" ht="12.75" customHeight="1">
      <c r="A51" s="112"/>
      <c r="B51" s="372" t="s">
        <v>1448</v>
      </c>
      <c r="C51" s="4194" t="s">
        <v>3793</v>
      </c>
      <c r="D51" s="4194"/>
      <c r="E51" s="4194"/>
      <c r="F51" s="4194"/>
      <c r="G51" s="4194"/>
      <c r="H51" s="4194"/>
      <c r="I51" s="4194"/>
      <c r="J51" s="4194"/>
      <c r="K51" s="4194"/>
      <c r="L51" s="4194"/>
      <c r="M51" s="413"/>
      <c r="N51" s="108" t="s">
        <v>4025</v>
      </c>
      <c r="O51" s="717"/>
      <c r="P51" s="373"/>
      <c r="Q51" s="418"/>
    </row>
    <row r="52" spans="1:31" ht="12.75" customHeight="1">
      <c r="A52" s="40"/>
      <c r="C52" s="4194"/>
      <c r="D52" s="4194"/>
      <c r="E52" s="4194"/>
      <c r="F52" s="4194"/>
      <c r="G52" s="4194"/>
      <c r="H52" s="4194"/>
      <c r="I52" s="4194"/>
      <c r="J52" s="4194"/>
      <c r="K52" s="4194"/>
      <c r="L52" s="4194"/>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8"/>
      <c r="B54" s="4209"/>
      <c r="C54" s="4209"/>
      <c r="D54" s="4209"/>
      <c r="E54" s="4209"/>
      <c r="F54" s="4209"/>
      <c r="G54" s="4209"/>
      <c r="H54" s="4209"/>
      <c r="I54" s="4209"/>
      <c r="J54" s="4210"/>
      <c r="K54" s="4205"/>
      <c r="L54" s="4206"/>
      <c r="M54" s="4206"/>
      <c r="N54" s="4206"/>
      <c r="O54" s="4206"/>
      <c r="P54" s="4206"/>
      <c r="Q54" s="420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00"/>
      <c r="Q56" s="4201"/>
    </row>
    <row r="57" spans="1:31" ht="3" customHeight="1"/>
    <row r="58" spans="1:31" ht="12.75" customHeight="1">
      <c r="A58" s="40" t="s">
        <v>1841</v>
      </c>
      <c r="B58" s="32" t="s">
        <v>2264</v>
      </c>
      <c r="D58" s="103"/>
      <c r="E58" s="103"/>
      <c r="F58" s="103"/>
      <c r="G58" s="103"/>
      <c r="H58" s="103"/>
      <c r="I58" s="35"/>
      <c r="J58" s="35"/>
      <c r="K58" s="35"/>
      <c r="L58" s="48" t="s">
        <v>1841</v>
      </c>
      <c r="M58" s="4221"/>
      <c r="N58" s="4222"/>
      <c r="O58" s="4222"/>
      <c r="P58" s="4309"/>
      <c r="Q58" s="419"/>
    </row>
    <row r="59" spans="1:31" ht="12.75" customHeight="1">
      <c r="A59" s="40" t="s">
        <v>1843</v>
      </c>
      <c r="B59" s="29" t="s">
        <v>3945</v>
      </c>
      <c r="D59" s="103"/>
      <c r="E59" s="103"/>
      <c r="F59" s="103"/>
      <c r="L59" s="48" t="s">
        <v>1843</v>
      </c>
      <c r="M59" s="4344"/>
      <c r="N59" s="4345"/>
      <c r="O59" s="4345"/>
      <c r="P59" s="3209"/>
      <c r="Q59" s="420"/>
    </row>
    <row r="60" spans="1:31" ht="12.75" customHeight="1">
      <c r="A60" s="40" t="s">
        <v>698</v>
      </c>
      <c r="B60" s="29" t="s">
        <v>2557</v>
      </c>
      <c r="D60" s="103"/>
      <c r="E60" s="103"/>
      <c r="F60" s="103"/>
      <c r="L60" s="48" t="s">
        <v>698</v>
      </c>
      <c r="M60" s="4340"/>
      <c r="N60" s="4341"/>
      <c r="O60" s="4341"/>
      <c r="P60" s="4342"/>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6"/>
      <c r="F64" s="4236"/>
      <c r="G64" s="4236"/>
      <c r="H64" s="48" t="s">
        <v>2182</v>
      </c>
      <c r="I64" s="384"/>
      <c r="J64" s="4236"/>
      <c r="K64" s="4236"/>
      <c r="L64" s="4236"/>
      <c r="M64" s="48" t="s">
        <v>93</v>
      </c>
      <c r="N64" s="384"/>
      <c r="O64" s="4236"/>
      <c r="P64" s="4236"/>
      <c r="Q64" s="4236"/>
    </row>
    <row r="65" spans="1:31" ht="12.75" customHeight="1">
      <c r="C65" s="49" t="s">
        <v>1615</v>
      </c>
      <c r="D65" s="1772"/>
      <c r="E65" s="4237"/>
      <c r="F65" s="4237"/>
      <c r="G65" s="4237"/>
      <c r="H65" s="48" t="s">
        <v>1448</v>
      </c>
      <c r="I65" s="1772"/>
      <c r="J65" s="4237"/>
      <c r="K65" s="4237"/>
      <c r="L65" s="4237"/>
      <c r="M65" s="48" t="s">
        <v>481</v>
      </c>
      <c r="N65" s="1772"/>
      <c r="O65" s="4237"/>
      <c r="P65" s="4237"/>
      <c r="Q65" s="4237"/>
    </row>
    <row r="66" spans="1:31" ht="12.75" customHeight="1">
      <c r="C66" s="49" t="s">
        <v>1616</v>
      </c>
      <c r="D66" s="385"/>
      <c r="E66" s="4238"/>
      <c r="F66" s="4238"/>
      <c r="G66" s="4238"/>
      <c r="H66" s="48" t="s">
        <v>1449</v>
      </c>
      <c r="I66" s="385"/>
      <c r="J66" s="4238"/>
      <c r="K66" s="4238"/>
      <c r="L66" s="4238"/>
      <c r="M66" s="48" t="s">
        <v>482</v>
      </c>
      <c r="N66" s="385"/>
      <c r="O66" s="4238"/>
      <c r="P66" s="4238"/>
      <c r="Q66" s="4238"/>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8"/>
      <c r="B71" s="4209"/>
      <c r="C71" s="4209"/>
      <c r="D71" s="4209"/>
      <c r="E71" s="4209"/>
      <c r="F71" s="4209"/>
      <c r="G71" s="4209"/>
      <c r="H71" s="4209"/>
      <c r="I71" s="4209"/>
      <c r="J71" s="4209"/>
      <c r="K71" s="4209"/>
      <c r="L71" s="4209"/>
      <c r="M71" s="4209"/>
      <c r="N71" s="4209"/>
      <c r="O71" s="4209"/>
      <c r="P71" s="4209"/>
      <c r="Q71" s="4210"/>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5"/>
      <c r="B73" s="4206"/>
      <c r="C73" s="4206"/>
      <c r="D73" s="4206"/>
      <c r="E73" s="4206"/>
      <c r="F73" s="4206"/>
      <c r="G73" s="4206"/>
      <c r="H73" s="4206"/>
      <c r="I73" s="4206"/>
      <c r="J73" s="4206"/>
      <c r="K73" s="4206"/>
      <c r="L73" s="4206"/>
      <c r="M73" s="4206"/>
      <c r="N73" s="4206"/>
      <c r="O73" s="4206"/>
      <c r="P73" s="4206"/>
      <c r="Q73" s="4207"/>
    </row>
    <row r="74" spans="1:31" ht="14.1" customHeight="1">
      <c r="A74" s="2" t="s">
        <v>496</v>
      </c>
      <c r="B74" s="2" t="s">
        <v>2423</v>
      </c>
      <c r="C74" s="2"/>
      <c r="D74" s="887"/>
      <c r="E74" s="887"/>
      <c r="F74" s="887"/>
      <c r="G74" s="887"/>
      <c r="H74" s="887"/>
      <c r="I74" s="887"/>
      <c r="J74" s="887"/>
      <c r="K74" s="887"/>
      <c r="L74" s="887"/>
      <c r="M74" s="887"/>
      <c r="O74" s="101" t="s">
        <v>1731</v>
      </c>
      <c r="P74" s="4200"/>
      <c r="Q74" s="4201"/>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7"/>
      <c r="N77" s="4218"/>
      <c r="O77" s="4218"/>
      <c r="P77" s="4219"/>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4" t="s">
        <v>3948</v>
      </c>
      <c r="D84" s="4194"/>
      <c r="E84" s="4194"/>
      <c r="F84" s="4194"/>
      <c r="G84" s="4194"/>
      <c r="H84" s="4194"/>
      <c r="I84" s="4194"/>
      <c r="J84" s="4194"/>
      <c r="K84" s="4194"/>
      <c r="L84" s="4194"/>
      <c r="M84" s="4194"/>
      <c r="N84" s="4194"/>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8"/>
      <c r="B89" s="4209"/>
      <c r="C89" s="4209"/>
      <c r="D89" s="4209"/>
      <c r="E89" s="4209"/>
      <c r="F89" s="4209"/>
      <c r="G89" s="4209"/>
      <c r="H89" s="4209"/>
      <c r="I89" s="4209"/>
      <c r="J89" s="4209"/>
      <c r="K89" s="4209"/>
      <c r="L89" s="4209"/>
      <c r="M89" s="4209"/>
      <c r="N89" s="4209"/>
      <c r="O89" s="4209"/>
      <c r="P89" s="4209"/>
      <c r="Q89" s="4210"/>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5"/>
      <c r="B91" s="4206"/>
      <c r="C91" s="4206"/>
      <c r="D91" s="4206"/>
      <c r="E91" s="4206"/>
      <c r="F91" s="4206"/>
      <c r="G91" s="4206"/>
      <c r="H91" s="4206"/>
      <c r="I91" s="4206"/>
      <c r="J91" s="4206"/>
      <c r="K91" s="4206"/>
      <c r="L91" s="4206"/>
      <c r="M91" s="4206"/>
      <c r="N91" s="4206"/>
      <c r="O91" s="4206"/>
      <c r="P91" s="4206"/>
      <c r="Q91" s="4207"/>
    </row>
    <row r="92" spans="1:31" ht="14.1" customHeight="1">
      <c r="A92" s="2" t="s">
        <v>720</v>
      </c>
      <c r="B92" s="2" t="s">
        <v>2424</v>
      </c>
      <c r="C92" s="33"/>
      <c r="D92" s="887"/>
      <c r="E92" s="887"/>
      <c r="F92" s="887"/>
      <c r="G92" s="887"/>
      <c r="H92" s="887"/>
      <c r="I92" s="887"/>
      <c r="J92" s="887"/>
      <c r="K92" s="887"/>
      <c r="L92" s="887"/>
      <c r="M92" s="887"/>
      <c r="N92" s="858" t="s">
        <v>6531</v>
      </c>
      <c r="O92" s="101" t="s">
        <v>1731</v>
      </c>
      <c r="P92" s="4200"/>
      <c r="Q92" s="4201"/>
      <c r="R92" s="860" t="s">
        <v>6518</v>
      </c>
    </row>
    <row r="93" spans="1:31" ht="6.6" customHeight="1"/>
    <row r="94" spans="1:31">
      <c r="A94" s="40" t="s">
        <v>1841</v>
      </c>
      <c r="B94" s="29" t="s">
        <v>6185</v>
      </c>
      <c r="D94" s="103"/>
      <c r="E94" s="103"/>
      <c r="F94" s="103"/>
      <c r="G94" s="103"/>
      <c r="H94" s="103"/>
      <c r="I94" s="35"/>
      <c r="J94" s="35"/>
      <c r="K94" s="48" t="s">
        <v>1841</v>
      </c>
      <c r="L94" s="4239"/>
      <c r="M94" s="4239"/>
      <c r="N94" s="4239"/>
      <c r="O94" s="4239"/>
      <c r="P94" s="4240"/>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8"/>
      <c r="M99" s="4358"/>
      <c r="N99" s="4358"/>
      <c r="O99" s="4358"/>
      <c r="P99" s="4359"/>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3"/>
      <c r="D116" s="4343"/>
      <c r="E116" s="4343"/>
      <c r="F116" s="4343"/>
      <c r="G116" s="4343"/>
      <c r="H116" s="4343"/>
      <c r="I116" s="4343"/>
      <c r="J116" s="4343"/>
      <c r="K116" s="4343"/>
      <c r="L116" s="4343"/>
      <c r="M116" s="4343"/>
      <c r="N116" s="4343"/>
      <c r="O116" s="4343"/>
      <c r="P116" s="4343"/>
      <c r="Q116" s="434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4" t="s">
        <v>141</v>
      </c>
      <c r="C123" s="4194"/>
      <c r="D123" s="4194"/>
      <c r="E123" s="4194"/>
      <c r="F123" s="4194"/>
      <c r="G123" s="4194"/>
      <c r="H123" s="4194"/>
      <c r="I123" s="4194"/>
      <c r="J123" s="4194"/>
      <c r="K123" s="4194"/>
      <c r="L123" s="4194"/>
      <c r="M123" s="128" t="s">
        <v>1808</v>
      </c>
      <c r="N123" s="4374" t="s">
        <v>1646</v>
      </c>
      <c r="O123" s="4375"/>
      <c r="P123" s="4376" t="s">
        <v>1646</v>
      </c>
      <c r="Q123" s="4377"/>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8"/>
      <c r="B125" s="4209"/>
      <c r="C125" s="4209"/>
      <c r="D125" s="4209"/>
      <c r="E125" s="4209"/>
      <c r="F125" s="4209"/>
      <c r="G125" s="4209"/>
      <c r="H125" s="4209"/>
      <c r="I125" s="4209"/>
      <c r="J125" s="4209"/>
      <c r="K125" s="4209"/>
      <c r="L125" s="4209"/>
      <c r="M125" s="4209"/>
      <c r="N125" s="4209"/>
      <c r="O125" s="4209"/>
      <c r="P125" s="4209"/>
      <c r="Q125" s="4210"/>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5"/>
      <c r="B128" s="4206"/>
      <c r="C128" s="4206"/>
      <c r="D128" s="4206"/>
      <c r="E128" s="4206"/>
      <c r="F128" s="4206"/>
      <c r="G128" s="4206"/>
      <c r="H128" s="4206"/>
      <c r="I128" s="4206"/>
      <c r="J128" s="4206"/>
      <c r="K128" s="4206"/>
      <c r="L128" s="4206"/>
      <c r="M128" s="4206"/>
      <c r="N128" s="4206"/>
      <c r="O128" s="4206"/>
      <c r="P128" s="4206"/>
      <c r="Q128" s="420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00"/>
      <c r="Q130" s="4201"/>
      <c r="R130" s="860" t="s">
        <v>6518</v>
      </c>
    </row>
    <row r="131" spans="1:31" ht="12" customHeight="1">
      <c r="A131" s="40" t="s">
        <v>1841</v>
      </c>
      <c r="B131" s="113" t="s">
        <v>1614</v>
      </c>
      <c r="C131" s="29" t="s">
        <v>6533</v>
      </c>
      <c r="D131" s="29"/>
      <c r="E131" s="29"/>
      <c r="F131" s="29"/>
      <c r="G131" s="29"/>
      <c r="K131" s="29" t="s">
        <v>2460</v>
      </c>
      <c r="M131" s="4303"/>
      <c r="N131" s="4304"/>
      <c r="O131" s="49" t="s">
        <v>1614</v>
      </c>
      <c r="P131" s="74"/>
      <c r="Q131" s="417"/>
    </row>
    <row r="132" spans="1:31" ht="12" customHeight="1">
      <c r="A132" s="40"/>
      <c r="B132" s="113" t="s">
        <v>1615</v>
      </c>
      <c r="C132" s="29" t="s">
        <v>4054</v>
      </c>
      <c r="D132" s="29"/>
      <c r="E132" s="29"/>
      <c r="F132" s="29"/>
      <c r="G132" s="29"/>
      <c r="K132" s="29" t="s">
        <v>2460</v>
      </c>
      <c r="M132" s="4303"/>
      <c r="N132" s="4304"/>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5" t="s">
        <v>6840</v>
      </c>
      <c r="N133" s="4306"/>
      <c r="P133" s="4307" t="s">
        <v>1646</v>
      </c>
      <c r="Q133" s="4308"/>
    </row>
    <row r="134" spans="1:31" ht="12" customHeight="1">
      <c r="A134" s="40" t="s">
        <v>698</v>
      </c>
      <c r="B134" s="108" t="s">
        <v>636</v>
      </c>
      <c r="D134" s="108"/>
      <c r="E134" s="108"/>
      <c r="F134" s="108"/>
      <c r="G134" s="108"/>
      <c r="H134" s="108"/>
      <c r="J134" s="48" t="s">
        <v>698</v>
      </c>
      <c r="K134" s="4217"/>
      <c r="L134" s="4218"/>
      <c r="M134" s="4218"/>
      <c r="N134" s="4218"/>
      <c r="O134" s="4218"/>
      <c r="P134" s="4296"/>
      <c r="Q134" s="417"/>
    </row>
    <row r="135" spans="1:31" ht="21.75" customHeight="1">
      <c r="A135" s="110" t="s">
        <v>1962</v>
      </c>
      <c r="B135" s="4194" t="s">
        <v>6191</v>
      </c>
      <c r="C135" s="4194"/>
      <c r="D135" s="4194"/>
      <c r="E135" s="4194"/>
      <c r="F135" s="4194"/>
      <c r="G135" s="4194"/>
      <c r="H135" s="4194"/>
      <c r="I135" s="4194"/>
      <c r="J135" s="4194"/>
      <c r="K135" s="4194"/>
      <c r="L135" s="4194"/>
      <c r="M135" s="4194"/>
      <c r="N135" s="4194"/>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8"/>
      <c r="B137" s="4209"/>
      <c r="C137" s="4209"/>
      <c r="D137" s="4209"/>
      <c r="E137" s="4209"/>
      <c r="F137" s="4209"/>
      <c r="G137" s="4209"/>
      <c r="H137" s="4209"/>
      <c r="I137" s="4209"/>
      <c r="J137" s="4209"/>
      <c r="K137" s="4209"/>
      <c r="L137" s="4209"/>
      <c r="M137" s="4209"/>
      <c r="N137" s="4209"/>
      <c r="O137" s="4209"/>
      <c r="P137" s="4209"/>
      <c r="Q137" s="4210"/>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5"/>
      <c r="B139" s="4206"/>
      <c r="C139" s="4206"/>
      <c r="D139" s="4206"/>
      <c r="E139" s="4206"/>
      <c r="F139" s="4206"/>
      <c r="G139" s="4206"/>
      <c r="H139" s="4206"/>
      <c r="I139" s="4206"/>
      <c r="J139" s="4206"/>
      <c r="K139" s="4206"/>
      <c r="L139" s="4206"/>
      <c r="M139" s="4206"/>
      <c r="N139" s="4206"/>
      <c r="O139" s="4206"/>
      <c r="P139" s="4206"/>
      <c r="Q139" s="420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0"/>
      <c r="Q141" s="4201"/>
    </row>
    <row r="142" spans="1:31" ht="21.75" customHeight="1">
      <c r="A142" s="110" t="s">
        <v>1841</v>
      </c>
      <c r="B142" s="4194" t="s">
        <v>3232</v>
      </c>
      <c r="C142" s="4194"/>
      <c r="D142" s="4194"/>
      <c r="E142" s="4194"/>
      <c r="F142" s="4194"/>
      <c r="G142" s="4194"/>
      <c r="H142" s="4194"/>
      <c r="I142" s="4194"/>
      <c r="J142" s="4194"/>
      <c r="K142" s="4194"/>
      <c r="L142" s="4194"/>
      <c r="M142" s="4194"/>
      <c r="N142" s="4194"/>
      <c r="O142" s="128" t="s">
        <v>1841</v>
      </c>
      <c r="P142" s="894"/>
      <c r="Q142" s="893"/>
    </row>
    <row r="143" spans="1:31" ht="22.35" customHeight="1">
      <c r="A143" s="110" t="s">
        <v>1843</v>
      </c>
      <c r="B143" s="4194" t="s">
        <v>3798</v>
      </c>
      <c r="C143" s="4194"/>
      <c r="D143" s="4194"/>
      <c r="E143" s="4194"/>
      <c r="F143" s="4194"/>
      <c r="G143" s="4194"/>
      <c r="H143" s="4194"/>
      <c r="I143" s="4194"/>
      <c r="J143" s="4194"/>
      <c r="K143" s="4194"/>
      <c r="L143" s="4194"/>
      <c r="M143" s="4194"/>
      <c r="N143" s="4194"/>
      <c r="O143" s="128" t="s">
        <v>1843</v>
      </c>
      <c r="P143" s="431"/>
      <c r="Q143" s="422"/>
    </row>
    <row r="144" spans="1:31" ht="22.35" customHeight="1">
      <c r="A144" s="110" t="s">
        <v>698</v>
      </c>
      <c r="B144" s="4194" t="s">
        <v>3233</v>
      </c>
      <c r="C144" s="4194"/>
      <c r="D144" s="4194"/>
      <c r="E144" s="4194"/>
      <c r="F144" s="4194"/>
      <c r="G144" s="4194"/>
      <c r="H144" s="4194"/>
      <c r="I144" s="4194"/>
      <c r="J144" s="4194"/>
      <c r="K144" s="4194"/>
      <c r="L144" s="4194"/>
      <c r="M144" s="4194"/>
      <c r="N144" s="4194"/>
      <c r="O144" s="128" t="s">
        <v>698</v>
      </c>
      <c r="P144" s="431"/>
      <c r="Q144" s="422"/>
    </row>
    <row r="145" spans="1:44" ht="21.75" customHeight="1">
      <c r="A145" s="110" t="s">
        <v>1962</v>
      </c>
      <c r="B145" s="4194" t="s">
        <v>3831</v>
      </c>
      <c r="C145" s="4194"/>
      <c r="D145" s="4194"/>
      <c r="E145" s="4194"/>
      <c r="F145" s="4194"/>
      <c r="G145" s="4194"/>
      <c r="H145" s="4194"/>
      <c r="I145" s="4194"/>
      <c r="J145" s="4194"/>
      <c r="K145" s="4194"/>
      <c r="L145" s="4194"/>
      <c r="M145" s="4194"/>
      <c r="N145" s="4194"/>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8"/>
      <c r="B147" s="4209"/>
      <c r="C147" s="4209"/>
      <c r="D147" s="4209"/>
      <c r="E147" s="4209"/>
      <c r="F147" s="4209"/>
      <c r="G147" s="4209"/>
      <c r="H147" s="4209"/>
      <c r="I147" s="4209"/>
      <c r="J147" s="4209"/>
      <c r="K147" s="4209"/>
      <c r="L147" s="4209"/>
      <c r="M147" s="4209"/>
      <c r="N147" s="4209"/>
      <c r="O147" s="4209"/>
      <c r="P147" s="4209"/>
      <c r="Q147" s="4210"/>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5"/>
      <c r="B149" s="4206"/>
      <c r="C149" s="4206"/>
      <c r="D149" s="4206"/>
      <c r="E149" s="4206"/>
      <c r="F149" s="4206"/>
      <c r="G149" s="4206"/>
      <c r="H149" s="4206"/>
      <c r="I149" s="4206"/>
      <c r="J149" s="4206"/>
      <c r="K149" s="4206"/>
      <c r="L149" s="4206"/>
      <c r="M149" s="4206"/>
      <c r="N149" s="4206"/>
      <c r="O149" s="4206"/>
      <c r="P149" s="4206"/>
      <c r="Q149" s="420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6531</v>
      </c>
      <c r="O151" s="101" t="s">
        <v>1731</v>
      </c>
      <c r="P151" s="4200"/>
      <c r="Q151" s="4201"/>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4" t="s">
        <v>3234</v>
      </c>
      <c r="D158" s="4194"/>
      <c r="E158" s="4194"/>
      <c r="F158" s="4194"/>
      <c r="G158" s="4194"/>
      <c r="H158" s="4194"/>
      <c r="I158" s="4194"/>
      <c r="J158" s="4194"/>
      <c r="K158" s="4194"/>
      <c r="L158" s="4194"/>
      <c r="M158" s="4194"/>
      <c r="N158" s="419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4" t="s">
        <v>2420</v>
      </c>
      <c r="D160" s="4194"/>
      <c r="E160" s="4194"/>
      <c r="F160" s="4194"/>
      <c r="G160" s="4194"/>
      <c r="H160" s="4194"/>
      <c r="I160" s="4194"/>
      <c r="J160" s="4194"/>
      <c r="K160" s="4194"/>
      <c r="L160" s="4194"/>
      <c r="M160" s="4194"/>
      <c r="N160" s="4194"/>
      <c r="O160" s="128" t="s">
        <v>1448</v>
      </c>
      <c r="P160" s="431"/>
      <c r="Q160" s="422"/>
    </row>
    <row r="161" spans="1:44" s="102" customFormat="1" ht="21.75" customHeight="1">
      <c r="A161" s="110"/>
      <c r="B161" s="372" t="s">
        <v>1449</v>
      </c>
      <c r="C161" s="4194" t="s">
        <v>3305</v>
      </c>
      <c r="D161" s="4194"/>
      <c r="E161" s="4194"/>
      <c r="F161" s="4194"/>
      <c r="G161" s="4194"/>
      <c r="H161" s="4194"/>
      <c r="I161" s="4194"/>
      <c r="J161" s="4194"/>
      <c r="K161" s="4194"/>
      <c r="L161" s="4194"/>
      <c r="M161" s="4194"/>
      <c r="N161" s="4194"/>
      <c r="O161" s="128" t="s">
        <v>1449</v>
      </c>
      <c r="P161" s="431"/>
      <c r="Q161" s="422"/>
    </row>
    <row r="162" spans="1:44" ht="21.75" customHeight="1">
      <c r="A162" s="110" t="s">
        <v>1962</v>
      </c>
      <c r="B162" s="4194" t="s">
        <v>2421</v>
      </c>
      <c r="C162" s="4194"/>
      <c r="D162" s="4194"/>
      <c r="E162" s="4194"/>
      <c r="F162" s="4194"/>
      <c r="G162" s="4194"/>
      <c r="H162" s="4194"/>
      <c r="I162" s="4194"/>
      <c r="J162" s="4194"/>
      <c r="K162" s="4194"/>
      <c r="L162" s="4194"/>
      <c r="M162" s="4194"/>
      <c r="N162" s="419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8"/>
      <c r="B165" s="4209"/>
      <c r="C165" s="4209"/>
      <c r="D165" s="4209"/>
      <c r="E165" s="4209"/>
      <c r="F165" s="4209"/>
      <c r="G165" s="4209"/>
      <c r="H165" s="4209"/>
      <c r="I165" s="4209"/>
      <c r="J165" s="4209"/>
      <c r="K165" s="4209"/>
      <c r="L165" s="4209"/>
      <c r="M165" s="4209"/>
      <c r="N165" s="4209"/>
      <c r="O165" s="4209"/>
      <c r="P165" s="4209"/>
      <c r="Q165" s="4210"/>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5"/>
      <c r="B167" s="4206"/>
      <c r="C167" s="4206"/>
      <c r="D167" s="4206"/>
      <c r="E167" s="4206"/>
      <c r="F167" s="4206"/>
      <c r="G167" s="4206"/>
      <c r="H167" s="4206"/>
      <c r="I167" s="4206"/>
      <c r="J167" s="4206"/>
      <c r="K167" s="4206"/>
      <c r="L167" s="4206"/>
      <c r="M167" s="4206"/>
      <c r="N167" s="4206"/>
      <c r="O167" s="4206"/>
      <c r="P167" s="4206"/>
      <c r="Q167" s="420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00"/>
      <c r="Q169" s="4201"/>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1" t="s">
        <v>1710</v>
      </c>
      <c r="K171" s="4222"/>
      <c r="L171" s="4222"/>
      <c r="M171" s="4222"/>
      <c r="N171" s="4223"/>
      <c r="O171" s="49" t="s">
        <v>1614</v>
      </c>
      <c r="P171" s="175"/>
      <c r="Q171" s="419"/>
    </row>
    <row r="172" spans="1:44" ht="12.75" customHeight="1">
      <c r="A172" s="107"/>
      <c r="B172" s="109" t="s">
        <v>3239</v>
      </c>
      <c r="C172" s="82"/>
      <c r="D172" s="82"/>
      <c r="E172" s="82"/>
      <c r="F172" s="82"/>
      <c r="H172" s="49" t="s">
        <v>1615</v>
      </c>
      <c r="I172" s="29" t="s">
        <v>1491</v>
      </c>
      <c r="J172" s="4248" t="s">
        <v>1710</v>
      </c>
      <c r="K172" s="4249"/>
      <c r="L172" s="4249"/>
      <c r="M172" s="4249"/>
      <c r="N172" s="4250"/>
      <c r="O172" s="49" t="s">
        <v>1615</v>
      </c>
      <c r="P172" s="176"/>
      <c r="Q172" s="421"/>
    </row>
    <row r="173" spans="1:44" ht="12.75" customHeight="1">
      <c r="A173" s="4208"/>
      <c r="B173" s="4209"/>
      <c r="C173" s="4209"/>
      <c r="D173" s="4209"/>
      <c r="E173" s="4209"/>
      <c r="F173" s="4209"/>
      <c r="G173" s="4209"/>
      <c r="H173" s="4209"/>
      <c r="I173" s="4209"/>
      <c r="J173" s="4209"/>
      <c r="K173" s="4209"/>
      <c r="L173" s="4209"/>
      <c r="M173" s="4209"/>
      <c r="N173" s="4209"/>
      <c r="O173" s="4209"/>
      <c r="P173" s="4209"/>
      <c r="Q173" s="4210"/>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5"/>
      <c r="B175" s="4206"/>
      <c r="C175" s="4206"/>
      <c r="D175" s="4206"/>
      <c r="E175" s="4206"/>
      <c r="F175" s="4206"/>
      <c r="G175" s="4206"/>
      <c r="H175" s="4206"/>
      <c r="I175" s="4206"/>
      <c r="J175" s="4206"/>
      <c r="K175" s="4206"/>
      <c r="L175" s="4206"/>
      <c r="M175" s="4206"/>
      <c r="N175" s="4206"/>
      <c r="O175" s="4206"/>
      <c r="P175" s="4206"/>
      <c r="Q175" s="420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00"/>
      <c r="Q177" s="4201"/>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4" t="s">
        <v>1713</v>
      </c>
      <c r="C179" s="4194"/>
      <c r="D179" s="4194"/>
      <c r="E179" s="4194"/>
      <c r="F179" s="4194"/>
      <c r="G179" s="4194"/>
      <c r="H179" s="49" t="s">
        <v>1614</v>
      </c>
      <c r="I179" s="29" t="s">
        <v>592</v>
      </c>
      <c r="J179" s="4221" t="s">
        <v>1710</v>
      </c>
      <c r="K179" s="4222"/>
      <c r="L179" s="4222"/>
      <c r="M179" s="4222"/>
      <c r="N179" s="4223"/>
      <c r="O179" s="128" t="s">
        <v>1391</v>
      </c>
      <c r="P179" s="1287"/>
      <c r="Q179" s="1288"/>
    </row>
    <row r="180" spans="1:44" ht="12.75" customHeight="1">
      <c r="A180" s="118"/>
      <c r="B180" s="4194"/>
      <c r="C180" s="4194"/>
      <c r="D180" s="4194"/>
      <c r="E180" s="4194"/>
      <c r="F180" s="4194"/>
      <c r="G180" s="4194"/>
      <c r="H180" s="49" t="s">
        <v>1615</v>
      </c>
      <c r="I180" s="29" t="s">
        <v>110</v>
      </c>
      <c r="J180" s="4248" t="s">
        <v>1710</v>
      </c>
      <c r="K180" s="4249"/>
      <c r="L180" s="4249"/>
      <c r="M180" s="4249"/>
      <c r="N180" s="4250"/>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8"/>
      <c r="B185" s="4209"/>
      <c r="C185" s="4209"/>
      <c r="D185" s="4209"/>
      <c r="E185" s="4209"/>
      <c r="F185" s="4209"/>
      <c r="G185" s="4209"/>
      <c r="H185" s="4209"/>
      <c r="I185" s="4209"/>
      <c r="J185" s="4209"/>
      <c r="K185" s="4209"/>
      <c r="L185" s="4209"/>
      <c r="M185" s="4209"/>
      <c r="N185" s="4209"/>
      <c r="O185" s="4209"/>
      <c r="P185" s="4209"/>
      <c r="Q185" s="4210"/>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5"/>
      <c r="B187" s="4206"/>
      <c r="C187" s="4206"/>
      <c r="D187" s="4206"/>
      <c r="E187" s="4206"/>
      <c r="F187" s="4206"/>
      <c r="G187" s="4206"/>
      <c r="H187" s="4206"/>
      <c r="I187" s="4206"/>
      <c r="J187" s="4206"/>
      <c r="K187" s="4206"/>
      <c r="L187" s="4206"/>
      <c r="M187" s="4206"/>
      <c r="N187" s="4206"/>
      <c r="O187" s="4206"/>
      <c r="P187" s="4206"/>
      <c r="Q187" s="420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0"/>
      <c r="Q189" s="420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1" t="s">
        <v>1646</v>
      </c>
      <c r="L192" s="4223"/>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4" t="s">
        <v>1646</v>
      </c>
      <c r="L193" s="4355"/>
      <c r="Q193" s="436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0" t="s">
        <v>6192</v>
      </c>
      <c r="D194" s="4361"/>
      <c r="E194" s="4361"/>
      <c r="F194" s="4361"/>
      <c r="G194" s="4361"/>
      <c r="H194" s="4361"/>
      <c r="I194" s="4361"/>
      <c r="J194" s="4361"/>
      <c r="K194" s="4361"/>
      <c r="L194" s="4361"/>
      <c r="M194" s="4361"/>
      <c r="N194" s="4361"/>
      <c r="O194" s="4362"/>
      <c r="Q194" s="436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8" t="s">
        <v>1646</v>
      </c>
      <c r="L195" s="4349"/>
      <c r="M195" s="4349"/>
      <c r="N195" s="435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44</v>
      </c>
      <c r="P197" s="4228" t="s">
        <v>3854</v>
      </c>
      <c r="Q197" s="433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4" t="s">
        <v>950</v>
      </c>
      <c r="D199" s="4335"/>
      <c r="E199" s="4335"/>
      <c r="F199" s="4335"/>
      <c r="G199" s="4336"/>
      <c r="H199" s="48" t="s">
        <v>1963</v>
      </c>
      <c r="I199" s="4337" t="s">
        <v>3400</v>
      </c>
      <c r="J199" s="4338"/>
      <c r="K199" s="4338"/>
      <c r="L199" s="4338"/>
      <c r="M199" s="4338"/>
      <c r="N199" s="4338"/>
      <c r="O199" s="433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1" t="s">
        <v>950</v>
      </c>
      <c r="D200" s="4352"/>
      <c r="E200" s="4352"/>
      <c r="F200" s="4352"/>
      <c r="G200" s="4353"/>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1" t="s">
        <v>950</v>
      </c>
      <c r="D201" s="4352"/>
      <c r="E201" s="4352"/>
      <c r="F201" s="4352"/>
      <c r="G201" s="4353"/>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7" t="s">
        <v>950</v>
      </c>
      <c r="D202" s="4288"/>
      <c r="E202" s="4288"/>
      <c r="F202" s="4288"/>
      <c r="G202" s="4289"/>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4" t="s">
        <v>6743</v>
      </c>
      <c r="D209" s="4194"/>
      <c r="E209" s="4194"/>
      <c r="F209" s="4194"/>
      <c r="G209" s="4194"/>
      <c r="H209" s="4194"/>
      <c r="I209" s="4194"/>
      <c r="J209" s="4194"/>
      <c r="K209" s="4194"/>
      <c r="L209" s="4194"/>
      <c r="M209" s="4194"/>
      <c r="N209" s="419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8"/>
      <c r="B214" s="4209"/>
      <c r="C214" s="4209"/>
      <c r="D214" s="4209"/>
      <c r="E214" s="4209"/>
      <c r="F214" s="4209"/>
      <c r="G214" s="4209"/>
      <c r="H214" s="4209"/>
      <c r="I214" s="4209"/>
      <c r="J214" s="4209"/>
      <c r="K214" s="4209"/>
      <c r="L214" s="4209"/>
      <c r="M214" s="4209"/>
      <c r="N214" s="4209"/>
      <c r="O214" s="4209"/>
      <c r="P214" s="4209"/>
      <c r="Q214" s="4210"/>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5"/>
      <c r="B216" s="4206"/>
      <c r="C216" s="4206"/>
      <c r="D216" s="4206"/>
      <c r="E216" s="4206"/>
      <c r="F216" s="4206"/>
      <c r="G216" s="4206"/>
      <c r="H216" s="4206"/>
      <c r="I216" s="4206"/>
      <c r="J216" s="4206"/>
      <c r="K216" s="4206"/>
      <c r="L216" s="4206"/>
      <c r="M216" s="4206"/>
      <c r="N216" s="4206"/>
      <c r="O216" s="4206"/>
      <c r="P216" s="4206"/>
      <c r="Q216" s="420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00"/>
      <c r="Q217" s="4201"/>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7"/>
      <c r="C220" s="4338"/>
      <c r="D220" s="4338"/>
      <c r="E220" s="4338"/>
      <c r="F220" s="4338"/>
      <c r="G220" s="4338"/>
      <c r="H220" s="4338"/>
      <c r="I220" s="4338"/>
      <c r="J220" s="1972"/>
      <c r="K220" s="4337"/>
      <c r="L220" s="4338"/>
      <c r="M220" s="4338"/>
      <c r="N220" s="4338"/>
      <c r="O220" s="4338"/>
      <c r="P220" s="4338"/>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4" t="s">
        <v>6114</v>
      </c>
      <c r="C229" s="4194"/>
      <c r="D229" s="4194"/>
      <c r="E229" s="4194"/>
      <c r="F229" s="4194"/>
      <c r="G229" s="4194"/>
      <c r="H229" s="4194"/>
      <c r="I229" s="4194"/>
      <c r="J229" s="4194"/>
      <c r="K229" s="4194"/>
      <c r="L229" s="4194"/>
      <c r="M229" s="4194"/>
      <c r="N229" s="419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8"/>
      <c r="B232" s="4209"/>
      <c r="C232" s="4209"/>
      <c r="D232" s="4209"/>
      <c r="E232" s="4209"/>
      <c r="F232" s="4209"/>
      <c r="G232" s="4209"/>
      <c r="H232" s="4209"/>
      <c r="I232" s="4209"/>
      <c r="J232" s="4209"/>
      <c r="K232" s="4209"/>
      <c r="L232" s="4209"/>
      <c r="M232" s="4209"/>
      <c r="N232" s="4209"/>
      <c r="O232" s="4209"/>
      <c r="P232" s="4209"/>
      <c r="Q232" s="4210"/>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5"/>
      <c r="B234" s="4206"/>
      <c r="C234" s="4206"/>
      <c r="D234" s="4206"/>
      <c r="E234" s="4206"/>
      <c r="F234" s="4206"/>
      <c r="G234" s="4206"/>
      <c r="H234" s="4206"/>
      <c r="I234" s="4206"/>
      <c r="J234" s="4206"/>
      <c r="K234" s="4206"/>
      <c r="L234" s="4206"/>
      <c r="M234" s="4206"/>
      <c r="N234" s="4206"/>
      <c r="O234" s="4206"/>
      <c r="P234" s="4206"/>
      <c r="Q234" s="420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00"/>
      <c r="Q236" s="420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7" t="s">
        <v>1646</v>
      </c>
      <c r="L238" s="4218"/>
      <c r="M238" s="4218"/>
      <c r="N238" s="4218"/>
      <c r="O238" s="4296"/>
      <c r="P238" s="4325" t="s">
        <v>1646</v>
      </c>
      <c r="Q238" s="432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4" t="s">
        <v>6194</v>
      </c>
      <c r="C239" s="4194"/>
      <c r="D239" s="4194"/>
      <c r="E239" s="4194"/>
      <c r="F239" s="4194"/>
      <c r="G239" s="4194"/>
      <c r="H239" s="4194"/>
      <c r="I239" s="4194"/>
      <c r="J239" s="4194"/>
      <c r="K239" s="4194"/>
      <c r="L239" s="4194"/>
      <c r="M239" s="4194"/>
      <c r="N239" s="4194"/>
      <c r="O239" s="428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3"/>
      <c r="L240" s="4284"/>
      <c r="M240" s="4284"/>
      <c r="N240" s="4284"/>
      <c r="O240" s="4285"/>
      <c r="P240" s="4279"/>
      <c r="Q240" s="428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8"/>
      <c r="L241" s="4249"/>
      <c r="M241" s="4249"/>
      <c r="N241" s="4249"/>
      <c r="O241" s="4250"/>
      <c r="P241" s="4281"/>
      <c r="Q241" s="428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4" t="s">
        <v>6205</v>
      </c>
      <c r="D243" s="4194"/>
      <c r="E243" s="4194"/>
      <c r="F243" s="4194"/>
      <c r="G243" s="4194"/>
      <c r="H243" s="4194"/>
      <c r="I243" s="4194"/>
      <c r="J243" s="4194"/>
      <c r="K243" s="4194"/>
      <c r="L243" s="4194"/>
      <c r="M243" s="4194"/>
      <c r="N243" s="419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4" t="s">
        <v>6206</v>
      </c>
      <c r="D244" s="4194"/>
      <c r="E244" s="4194"/>
      <c r="F244" s="4194"/>
      <c r="G244" s="4194"/>
      <c r="H244" s="4194"/>
      <c r="I244" s="4194"/>
      <c r="J244" s="4194"/>
      <c r="K244" s="4194"/>
      <c r="L244" s="4194"/>
      <c r="M244" s="4194"/>
      <c r="N244" s="419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4" t="s">
        <v>3244</v>
      </c>
      <c r="C246" s="4224"/>
      <c r="D246" s="4224"/>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4"/>
      <c r="C247" s="4224"/>
      <c r="D247" s="4224"/>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4"/>
      <c r="C248" s="4224"/>
      <c r="D248" s="4224"/>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4"/>
      <c r="C249" s="4224"/>
      <c r="D249" s="4224"/>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4" t="s">
        <v>6501</v>
      </c>
      <c r="F250" s="4194"/>
      <c r="G250" s="4194"/>
      <c r="H250" s="4194"/>
      <c r="I250" s="4194"/>
      <c r="J250" s="4194"/>
      <c r="K250" s="4194"/>
      <c r="L250" s="4194"/>
      <c r="M250" s="4194"/>
      <c r="N250" s="419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8"/>
      <c r="B252" s="4209"/>
      <c r="C252" s="4209"/>
      <c r="D252" s="4209"/>
      <c r="E252" s="4209"/>
      <c r="F252" s="4209"/>
      <c r="G252" s="4209"/>
      <c r="H252" s="4209"/>
      <c r="I252" s="4209"/>
      <c r="J252" s="4209"/>
      <c r="K252" s="4209"/>
      <c r="L252" s="4209"/>
      <c r="M252" s="4209"/>
      <c r="N252" s="4209"/>
      <c r="O252" s="4209"/>
      <c r="P252" s="4209"/>
      <c r="Q252" s="4210"/>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5"/>
      <c r="B254" s="4206"/>
      <c r="C254" s="4206"/>
      <c r="D254" s="4206"/>
      <c r="E254" s="4206"/>
      <c r="F254" s="4206"/>
      <c r="G254" s="4206"/>
      <c r="H254" s="4206"/>
      <c r="I254" s="4206"/>
      <c r="J254" s="4206"/>
      <c r="K254" s="4206"/>
      <c r="L254" s="4206"/>
      <c r="M254" s="4206"/>
      <c r="N254" s="4206"/>
      <c r="O254" s="4206"/>
      <c r="P254" s="4206"/>
      <c r="Q254" s="420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00"/>
      <c r="Q256" s="420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4" t="s">
        <v>4029</v>
      </c>
      <c r="D257" s="4194"/>
      <c r="E257" s="4194"/>
      <c r="F257" s="4194"/>
      <c r="G257" s="4194"/>
      <c r="H257" s="4194"/>
      <c r="I257" s="4194"/>
      <c r="J257" s="4194"/>
      <c r="K257" s="4194"/>
      <c r="L257" s="4194"/>
      <c r="M257" s="4194"/>
      <c r="N257" s="419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4" t="s">
        <v>4055</v>
      </c>
      <c r="D260" s="4194"/>
      <c r="E260" s="4194"/>
      <c r="F260" s="4194"/>
      <c r="G260" s="4194"/>
      <c r="H260" s="4194"/>
      <c r="I260" s="4194"/>
      <c r="J260" s="4194"/>
      <c r="K260" s="4194"/>
      <c r="L260" s="4194"/>
      <c r="M260" s="4194"/>
      <c r="N260" s="4194"/>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4" t="s">
        <v>6119</v>
      </c>
      <c r="C262" s="4194"/>
      <c r="D262" s="4194"/>
      <c r="E262" s="4194"/>
      <c r="F262" s="4194"/>
      <c r="G262" s="4194"/>
      <c r="H262" s="4194"/>
      <c r="I262" s="4194"/>
      <c r="J262" s="4194"/>
      <c r="K262" s="4194"/>
      <c r="L262" s="4194"/>
      <c r="M262" s="4194"/>
      <c r="N262" s="419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8"/>
      <c r="B264" s="4209"/>
      <c r="C264" s="4209"/>
      <c r="D264" s="4209"/>
      <c r="E264" s="4209"/>
      <c r="F264" s="4209"/>
      <c r="G264" s="4209"/>
      <c r="H264" s="4209"/>
      <c r="I264" s="4209"/>
      <c r="J264" s="4209"/>
      <c r="K264" s="4209"/>
      <c r="L264" s="4209"/>
      <c r="M264" s="4209"/>
      <c r="N264" s="4209"/>
      <c r="O264" s="4209"/>
      <c r="P264" s="4209"/>
      <c r="Q264" s="4210"/>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5"/>
      <c r="B266" s="4206"/>
      <c r="C266" s="4206"/>
      <c r="D266" s="4206"/>
      <c r="E266" s="4206"/>
      <c r="F266" s="4206"/>
      <c r="G266" s="4206"/>
      <c r="H266" s="4206"/>
      <c r="I266" s="4206"/>
      <c r="J266" s="4206"/>
      <c r="K266" s="4206"/>
      <c r="L266" s="4206"/>
      <c r="M266" s="4206"/>
      <c r="N266" s="4206"/>
      <c r="O266" s="4206"/>
      <c r="P266" s="4206"/>
      <c r="Q266" s="420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00"/>
      <c r="Q268" s="420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4" t="s">
        <v>3846</v>
      </c>
      <c r="D271" s="4194"/>
      <c r="E271" s="4194"/>
      <c r="F271" s="4194"/>
      <c r="G271" s="4194"/>
      <c r="H271" s="4194"/>
      <c r="I271" s="4194"/>
      <c r="J271" s="4194"/>
      <c r="K271" s="4194"/>
      <c r="L271" s="4194"/>
      <c r="M271" s="4194"/>
      <c r="N271" s="419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4" t="s">
        <v>2507</v>
      </c>
      <c r="D272" s="4194"/>
      <c r="E272" s="4194"/>
      <c r="F272" s="4194"/>
      <c r="G272" s="4194"/>
      <c r="H272" s="4194"/>
      <c r="I272" s="4194"/>
      <c r="J272" s="4194"/>
      <c r="K272" s="4194"/>
      <c r="L272" s="4194"/>
      <c r="M272" s="4194"/>
      <c r="N272" s="419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5" t="s">
        <v>3336</v>
      </c>
      <c r="M273" s="4226"/>
      <c r="N273" s="4226"/>
      <c r="O273" s="4226"/>
      <c r="P273" s="422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8"/>
      <c r="B277" s="4209"/>
      <c r="C277" s="4209"/>
      <c r="D277" s="4209"/>
      <c r="E277" s="4209"/>
      <c r="F277" s="4209"/>
      <c r="G277" s="4209"/>
      <c r="H277" s="4209"/>
      <c r="I277" s="4209"/>
      <c r="J277" s="4209"/>
      <c r="K277" s="4209"/>
      <c r="L277" s="4209"/>
      <c r="M277" s="4209"/>
      <c r="N277" s="4209"/>
      <c r="O277" s="4209"/>
      <c r="P277" s="4209"/>
      <c r="Q277" s="4210"/>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5"/>
      <c r="B279" s="4206"/>
      <c r="C279" s="4206"/>
      <c r="D279" s="4206"/>
      <c r="E279" s="4206"/>
      <c r="F279" s="4206"/>
      <c r="G279" s="4206"/>
      <c r="H279" s="4206"/>
      <c r="I279" s="4206"/>
      <c r="J279" s="4206"/>
      <c r="K279" s="4206"/>
      <c r="L279" s="4206"/>
      <c r="M279" s="4206"/>
      <c r="N279" s="4206"/>
      <c r="O279" s="4206"/>
      <c r="P279" s="4206"/>
      <c r="Q279" s="420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00"/>
      <c r="Q281" s="420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4" t="s">
        <v>6655</v>
      </c>
      <c r="D284" s="4194"/>
      <c r="E284" s="4194"/>
      <c r="F284" s="4194"/>
      <c r="G284" s="4194"/>
      <c r="H284" s="4194"/>
      <c r="I284" s="4194"/>
      <c r="J284" s="4194"/>
      <c r="K284" s="4194"/>
      <c r="L284" s="4194"/>
      <c r="M284" s="4194"/>
      <c r="N284" s="4194"/>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4" t="s">
        <v>6656</v>
      </c>
      <c r="D285" s="4194"/>
      <c r="E285" s="4194"/>
      <c r="F285" s="4194"/>
      <c r="G285" s="4194"/>
      <c r="H285" s="4194"/>
      <c r="I285" s="4194"/>
      <c r="J285" s="4194"/>
      <c r="K285" s="4194"/>
      <c r="L285" s="4194"/>
      <c r="M285" s="4194"/>
      <c r="N285" s="419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4" t="s">
        <v>6200</v>
      </c>
      <c r="D286" s="4194"/>
      <c r="E286" s="4194"/>
      <c r="F286" s="4194"/>
      <c r="G286" s="4194"/>
      <c r="H286" s="4194"/>
      <c r="I286" s="4194"/>
      <c r="J286" s="4194"/>
      <c r="K286" s="4194"/>
      <c r="L286" s="4194"/>
      <c r="M286" s="4194"/>
      <c r="N286" s="419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4" t="s">
        <v>6203</v>
      </c>
      <c r="E288" s="4194"/>
      <c r="F288" s="4194"/>
      <c r="G288" s="4194"/>
      <c r="H288" s="4194"/>
      <c r="I288" s="108"/>
      <c r="J288" s="4202" t="s">
        <v>3265</v>
      </c>
      <c r="K288" s="4228"/>
      <c r="L288" s="4228"/>
      <c r="M288" s="4332" t="s">
        <v>3246</v>
      </c>
      <c r="N288" s="433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4"/>
      <c r="E289" s="4194"/>
      <c r="F289" s="4194"/>
      <c r="G289" s="4194"/>
      <c r="H289" s="4194"/>
      <c r="I289" s="248"/>
      <c r="J289" s="4228"/>
      <c r="K289" s="4228"/>
      <c r="L289" s="4228"/>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4"/>
      <c r="E290" s="4194"/>
      <c r="F290" s="4194"/>
      <c r="G290" s="4194"/>
      <c r="H290" s="4194"/>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4" t="s">
        <v>6204</v>
      </c>
      <c r="E291" s="4194"/>
      <c r="F291" s="4194"/>
      <c r="G291" s="4194"/>
      <c r="H291" s="4194"/>
      <c r="I291" s="370" t="s">
        <v>3387</v>
      </c>
      <c r="J291" s="144"/>
      <c r="K291" s="1596"/>
      <c r="L291" s="795" t="str">
        <f>IF(K291&lt;M291,"Check!!!","")</f>
        <v/>
      </c>
      <c r="M291" s="1598">
        <f>ROUNDUP(K290*'Part VII-Threshold Criteria OLD'!N291,0)</f>
        <v>0</v>
      </c>
      <c r="N291" s="1205">
        <f>'DCA Underwriting Assumptions'!$Q$123</f>
        <v>0.4</v>
      </c>
      <c r="O291" s="48" t="s">
        <v>1964</v>
      </c>
      <c r="P291" s="4231"/>
      <c r="Q291" s="422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4"/>
      <c r="E292" s="4194"/>
      <c r="F292" s="4194"/>
      <c r="G292" s="4194"/>
      <c r="H292" s="4194"/>
      <c r="O292" s="33"/>
      <c r="P292" s="4232"/>
      <c r="Q292" s="423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4" t="s">
        <v>6740</v>
      </c>
      <c r="D293" s="4194"/>
      <c r="E293" s="4194"/>
      <c r="F293" s="4194"/>
      <c r="G293" s="4194"/>
      <c r="H293" s="4194"/>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4"/>
      <c r="D294" s="4194"/>
      <c r="E294" s="4194"/>
      <c r="F294" s="4194"/>
      <c r="G294" s="4194"/>
      <c r="H294" s="419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4"/>
      <c r="D295" s="4194"/>
      <c r="E295" s="4194"/>
      <c r="F295" s="4194"/>
      <c r="G295" s="4194"/>
      <c r="H295" s="419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4" t="s">
        <v>6718</v>
      </c>
      <c r="C297" s="4194"/>
      <c r="D297" s="4194"/>
      <c r="E297" s="4194"/>
      <c r="F297" s="4194"/>
      <c r="G297" s="4194"/>
      <c r="H297" s="4194"/>
      <c r="I297" s="4194"/>
      <c r="J297" s="4194"/>
      <c r="K297" s="4194"/>
      <c r="L297" s="4194"/>
      <c r="M297" s="4194"/>
      <c r="N297" s="419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6"/>
      <c r="M298" s="4277"/>
      <c r="N298" s="4277"/>
      <c r="O298" s="4277"/>
      <c r="P298" s="4277"/>
      <c r="Q298" s="4278"/>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4" t="s">
        <v>6657</v>
      </c>
      <c r="D299" s="4194"/>
      <c r="E299" s="4194"/>
      <c r="F299" s="4194"/>
      <c r="G299" s="4194"/>
      <c r="H299" s="4194"/>
      <c r="I299" s="4194"/>
      <c r="J299" s="4194"/>
      <c r="K299" s="4194"/>
      <c r="L299" s="4194"/>
      <c r="M299" s="4194"/>
      <c r="N299" s="4194"/>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4" t="s">
        <v>3832</v>
      </c>
      <c r="D300" s="4194"/>
      <c r="E300" s="4194"/>
      <c r="F300" s="4194"/>
      <c r="G300" s="4194"/>
      <c r="H300" s="4194"/>
      <c r="I300" s="4194"/>
      <c r="J300" s="4194"/>
      <c r="K300" s="4194"/>
      <c r="L300" s="4194"/>
      <c r="M300" s="4194"/>
      <c r="N300" s="4194"/>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4" t="s">
        <v>3168</v>
      </c>
      <c r="D301" s="4194"/>
      <c r="E301" s="4194"/>
      <c r="F301" s="4194"/>
      <c r="G301" s="4194"/>
      <c r="H301" s="4194"/>
      <c r="I301" s="4194"/>
      <c r="J301" s="4194"/>
      <c r="K301" s="4194"/>
      <c r="L301" s="4194"/>
      <c r="M301" s="4194"/>
      <c r="N301" s="4194"/>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4" t="s">
        <v>3169</v>
      </c>
      <c r="D302" s="4194"/>
      <c r="E302" s="4194"/>
      <c r="F302" s="4194"/>
      <c r="G302" s="4194"/>
      <c r="H302" s="4194"/>
      <c r="I302" s="4194"/>
      <c r="J302" s="4194"/>
      <c r="K302" s="4194"/>
      <c r="L302" s="4194"/>
      <c r="M302" s="4194"/>
      <c r="N302" s="4194"/>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8"/>
      <c r="B304" s="4209"/>
      <c r="C304" s="4209"/>
      <c r="D304" s="4209"/>
      <c r="E304" s="4209"/>
      <c r="F304" s="4209"/>
      <c r="G304" s="4209"/>
      <c r="H304" s="4209"/>
      <c r="I304" s="4209"/>
      <c r="J304" s="4209"/>
      <c r="K304" s="4209"/>
      <c r="L304" s="4209"/>
      <c r="M304" s="4209"/>
      <c r="N304" s="4209"/>
      <c r="O304" s="4209"/>
      <c r="P304" s="4209"/>
      <c r="Q304" s="4210"/>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3"/>
      <c r="B306" s="4234"/>
      <c r="C306" s="4234"/>
      <c r="D306" s="4234"/>
      <c r="E306" s="4234"/>
      <c r="F306" s="4234"/>
      <c r="G306" s="4234"/>
      <c r="H306" s="4234"/>
      <c r="I306" s="4234"/>
      <c r="J306" s="4234"/>
      <c r="K306" s="4234"/>
      <c r="L306" s="4234"/>
      <c r="M306" s="4234"/>
      <c r="N306" s="4234"/>
      <c r="O306" s="4234"/>
      <c r="P306" s="4234"/>
      <c r="Q306" s="423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7"/>
      <c r="Q307" s="4328"/>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7" t="s">
        <v>1646</v>
      </c>
      <c r="L310" s="4218"/>
      <c r="M310" s="4218"/>
      <c r="N310" s="4296"/>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4" t="s">
        <v>6667</v>
      </c>
      <c r="C312" s="4194"/>
      <c r="D312" s="4194"/>
      <c r="E312" s="4194"/>
      <c r="F312" s="4194"/>
      <c r="G312" s="4194"/>
      <c r="H312" s="4194"/>
      <c r="I312" s="4194"/>
      <c r="J312" s="4194"/>
      <c r="K312" s="4194"/>
      <c r="L312" s="4194"/>
      <c r="M312" s="4194"/>
      <c r="N312" s="419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6" t="s">
        <v>2147</v>
      </c>
      <c r="H314" s="4267"/>
      <c r="I314" s="4267"/>
      <c r="J314" s="4267"/>
      <c r="K314" s="4267"/>
      <c r="L314" s="4267"/>
      <c r="M314" s="4267"/>
      <c r="N314" s="4268"/>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4" t="s">
        <v>1066</v>
      </c>
      <c r="D315" s="4194"/>
      <c r="E315" s="4194"/>
      <c r="F315" s="4286"/>
      <c r="G315" s="3124" t="s">
        <v>1018</v>
      </c>
      <c r="H315" s="4290"/>
      <c r="I315" s="4290"/>
      <c r="J315" s="4290"/>
      <c r="K315" s="4290"/>
      <c r="L315" s="4290"/>
      <c r="M315" s="4290"/>
      <c r="N315" s="429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20" t="s">
        <v>6121</v>
      </c>
      <c r="H317" s="4220"/>
      <c r="I317" s="4220"/>
      <c r="J317" s="4220"/>
      <c r="K317" s="4220"/>
      <c r="L317" s="4220"/>
      <c r="M317" s="4220"/>
      <c r="N317" s="4220"/>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3"/>
      <c r="D318" s="4274"/>
      <c r="E318" s="4274"/>
      <c r="F318" s="4274"/>
      <c r="G318" s="4274"/>
      <c r="H318" s="4274"/>
      <c r="I318" s="4274"/>
      <c r="J318" s="4274"/>
      <c r="K318" s="4274"/>
      <c r="L318" s="4274"/>
      <c r="M318" s="4274"/>
      <c r="N318" s="4275"/>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7"/>
      <c r="D319" s="4288"/>
      <c r="E319" s="4288"/>
      <c r="F319" s="4288"/>
      <c r="G319" s="4288"/>
      <c r="H319" s="4288"/>
      <c r="I319" s="4288"/>
      <c r="J319" s="4288"/>
      <c r="K319" s="4288"/>
      <c r="L319" s="4288"/>
      <c r="M319" s="4288"/>
      <c r="N319" s="4289"/>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4" t="s">
        <v>6122</v>
      </c>
      <c r="C320" s="4194"/>
      <c r="D320" s="4194"/>
      <c r="E320" s="4194"/>
      <c r="F320" s="4194"/>
      <c r="G320" s="4194"/>
      <c r="H320" s="4194"/>
      <c r="I320" s="4194"/>
      <c r="J320" s="4194"/>
      <c r="K320" s="4194"/>
      <c r="L320" s="4194"/>
      <c r="M320" s="4194"/>
      <c r="N320" s="419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8"/>
      <c r="B323" s="4209"/>
      <c r="C323" s="4209"/>
      <c r="D323" s="4209"/>
      <c r="E323" s="4209"/>
      <c r="F323" s="4209"/>
      <c r="G323" s="4209"/>
      <c r="H323" s="4209"/>
      <c r="I323" s="4209"/>
      <c r="J323" s="4209"/>
      <c r="K323" s="4209"/>
      <c r="L323" s="4209"/>
      <c r="M323" s="4209"/>
      <c r="N323" s="4209"/>
      <c r="O323" s="4209"/>
      <c r="P323" s="4209"/>
      <c r="Q323" s="4210"/>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5"/>
      <c r="B325" s="4206"/>
      <c r="C325" s="4206"/>
      <c r="D325" s="4206"/>
      <c r="E325" s="4206"/>
      <c r="F325" s="4206"/>
      <c r="G325" s="4206"/>
      <c r="H325" s="4206"/>
      <c r="I325" s="4206"/>
      <c r="J325" s="4206"/>
      <c r="K325" s="4206"/>
      <c r="L325" s="4206"/>
      <c r="M325" s="4206"/>
      <c r="N325" s="4206"/>
      <c r="O325" s="4206"/>
      <c r="P325" s="4206"/>
      <c r="Q325" s="420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00"/>
      <c r="Q326" s="4201"/>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9" t="s">
        <v>1646</v>
      </c>
      <c r="O329" s="4270"/>
      <c r="P329" s="4271" t="s">
        <v>1646</v>
      </c>
      <c r="Q329" s="4272"/>
    </row>
    <row r="330" spans="1:256" ht="11.65" customHeight="1">
      <c r="A330" s="40" t="s">
        <v>1962</v>
      </c>
      <c r="B330" s="44" t="s">
        <v>6536</v>
      </c>
      <c r="O330" s="48" t="s">
        <v>1962</v>
      </c>
      <c r="P330" s="1400"/>
      <c r="Q330" s="1399"/>
    </row>
    <row r="331" spans="1:256" ht="11.65" customHeight="1">
      <c r="A331" s="110" t="s">
        <v>1612</v>
      </c>
      <c r="B331" s="44" t="s">
        <v>6537</v>
      </c>
      <c r="N331" s="128" t="s">
        <v>1612</v>
      </c>
      <c r="O331" s="4263" t="s">
        <v>2559</v>
      </c>
      <c r="P331" s="4264"/>
      <c r="Q331" s="4265"/>
    </row>
    <row r="332" spans="1:256" ht="11.65" customHeight="1">
      <c r="A332" s="110" t="s">
        <v>1613</v>
      </c>
      <c r="B332" s="67" t="s">
        <v>2170</v>
      </c>
      <c r="N332" s="128" t="s">
        <v>1613</v>
      </c>
      <c r="O332" s="4329" t="s">
        <v>2559</v>
      </c>
      <c r="P332" s="4330"/>
      <c r="Q332" s="4331"/>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8"/>
      <c r="B334" s="4209"/>
      <c r="C334" s="4209"/>
      <c r="D334" s="4209"/>
      <c r="E334" s="4209"/>
      <c r="F334" s="4209"/>
      <c r="G334" s="4209"/>
      <c r="H334" s="4209"/>
      <c r="I334" s="4209"/>
      <c r="J334" s="4209"/>
      <c r="K334" s="4209"/>
      <c r="L334" s="4209"/>
      <c r="M334" s="4209"/>
      <c r="N334" s="4209"/>
      <c r="O334" s="4209"/>
      <c r="P334" s="4209"/>
      <c r="Q334" s="4210"/>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5"/>
      <c r="B336" s="4206"/>
      <c r="C336" s="4206"/>
      <c r="D336" s="4206"/>
      <c r="E336" s="4206"/>
      <c r="F336" s="4206"/>
      <c r="G336" s="4206"/>
      <c r="H336" s="4206"/>
      <c r="I336" s="4206"/>
      <c r="J336" s="4206"/>
      <c r="K336" s="4206"/>
      <c r="L336" s="4206"/>
      <c r="M336" s="4206"/>
      <c r="N336" s="4206"/>
      <c r="O336" s="4206"/>
      <c r="P336" s="4206"/>
      <c r="Q336" s="420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4"/>
      <c r="Q338" s="4215"/>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4" t="s">
        <v>6685</v>
      </c>
      <c r="C341" s="4194"/>
      <c r="D341" s="4194"/>
      <c r="E341" s="4194"/>
      <c r="F341" s="4194"/>
      <c r="G341" s="4194"/>
      <c r="H341" s="4194"/>
      <c r="I341" s="4194"/>
      <c r="J341" s="4194"/>
      <c r="K341" s="4194"/>
      <c r="L341" s="4194"/>
      <c r="M341" s="4194"/>
      <c r="N341" s="4194"/>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44</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4" t="s">
        <v>6686</v>
      </c>
      <c r="C344" s="4194"/>
      <c r="D344" s="4194"/>
      <c r="E344" s="4194"/>
      <c r="F344" s="4194"/>
      <c r="G344" s="4194"/>
      <c r="H344" s="4194"/>
      <c r="I344" s="4194"/>
      <c r="J344" s="4194"/>
      <c r="K344" s="4194"/>
      <c r="L344" s="4194"/>
      <c r="M344" s="4194"/>
      <c r="N344" s="4194"/>
      <c r="O344" s="128" t="s">
        <v>1843</v>
      </c>
      <c r="P344" s="905"/>
      <c r="Q344" s="906"/>
    </row>
    <row r="345" spans="1:44" s="115" customFormat="1">
      <c r="A345" s="110"/>
      <c r="B345" s="1220"/>
      <c r="C345" s="29" t="s">
        <v>1667</v>
      </c>
      <c r="D345" s="29"/>
      <c r="E345" s="1540">
        <f>'Part V-Revenues &amp; Expenses'!$P$67</f>
        <v>44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4" t="s">
        <v>6687</v>
      </c>
      <c r="C346" s="4194"/>
      <c r="D346" s="4194"/>
      <c r="E346" s="4194"/>
      <c r="F346" s="4194"/>
      <c r="G346" s="4194"/>
      <c r="H346" s="4194"/>
      <c r="I346" s="4194"/>
      <c r="J346" s="4194"/>
      <c r="K346" s="4194"/>
      <c r="L346" s="4194"/>
      <c r="M346" s="4194"/>
      <c r="N346" s="4194"/>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44</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8"/>
      <c r="B350" s="4209"/>
      <c r="C350" s="4209"/>
      <c r="D350" s="4209"/>
      <c r="E350" s="4209"/>
      <c r="F350" s="4209"/>
      <c r="G350" s="4209"/>
      <c r="H350" s="4209"/>
      <c r="I350" s="4209"/>
      <c r="J350" s="4209"/>
      <c r="K350" s="4209"/>
      <c r="L350" s="4209"/>
      <c r="M350" s="4209"/>
      <c r="N350" s="4209"/>
      <c r="O350" s="4209"/>
      <c r="P350" s="4209"/>
      <c r="Q350" s="4210"/>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5"/>
      <c r="B352" s="4206"/>
      <c r="C352" s="4206"/>
      <c r="D352" s="4206"/>
      <c r="E352" s="4206"/>
      <c r="F352" s="4206"/>
      <c r="G352" s="4206"/>
      <c r="H352" s="4206"/>
      <c r="I352" s="4206"/>
      <c r="J352" s="4206"/>
      <c r="K352" s="4206"/>
      <c r="L352" s="4206"/>
      <c r="M352" s="4206"/>
      <c r="N352" s="4206"/>
      <c r="O352" s="4206"/>
      <c r="P352" s="4206"/>
      <c r="Q352" s="420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0"/>
      <c r="Q354" s="4201"/>
    </row>
    <row r="355" spans="1:31" ht="10.5" customHeight="1">
      <c r="A355" s="40" t="s">
        <v>1841</v>
      </c>
      <c r="B355" s="29" t="s">
        <v>3358</v>
      </c>
      <c r="D355" s="118"/>
      <c r="E355" s="118"/>
      <c r="F355" s="118"/>
      <c r="G355" s="118"/>
      <c r="H355" s="48" t="s">
        <v>1841</v>
      </c>
      <c r="I355" s="4371"/>
      <c r="J355" s="4372"/>
      <c r="K355" s="4372"/>
      <c r="L355" s="4372"/>
      <c r="M355" s="4372"/>
      <c r="N355" s="4372"/>
      <c r="O355" s="4372"/>
      <c r="P355" s="4373"/>
      <c r="Q355" s="419"/>
    </row>
    <row r="356" spans="1:31" ht="10.5" customHeight="1">
      <c r="A356" s="110" t="s">
        <v>1843</v>
      </c>
      <c r="B356" s="29" t="s">
        <v>3359</v>
      </c>
      <c r="D356" s="118"/>
      <c r="E356" s="118"/>
      <c r="F356" s="118"/>
      <c r="G356" s="118"/>
      <c r="H356" s="128" t="s">
        <v>1843</v>
      </c>
      <c r="I356" s="4248"/>
      <c r="J356" s="4249"/>
      <c r="K356" s="4249"/>
      <c r="L356" s="4249"/>
      <c r="M356" s="4249"/>
      <c r="N356" s="4249"/>
      <c r="O356" s="4249"/>
      <c r="P356" s="4250"/>
      <c r="Q356" s="421"/>
    </row>
    <row r="357" spans="1:31" ht="21.75" customHeight="1">
      <c r="A357" s="110" t="s">
        <v>698</v>
      </c>
      <c r="B357" s="4216" t="s">
        <v>3350</v>
      </c>
      <c r="C357" s="4216"/>
      <c r="D357" s="4216"/>
      <c r="E357" s="4216"/>
      <c r="F357" s="4216"/>
      <c r="G357" s="4216"/>
      <c r="H357" s="4216"/>
      <c r="I357" s="4216"/>
      <c r="J357" s="4216"/>
      <c r="K357" s="4216"/>
      <c r="L357" s="4216"/>
      <c r="M357" s="4216"/>
      <c r="N357" s="4216"/>
      <c r="O357" s="128" t="s">
        <v>698</v>
      </c>
      <c r="P357" s="838"/>
      <c r="Q357" s="893"/>
    </row>
    <row r="358" spans="1:31" ht="21.75" customHeight="1">
      <c r="A358" s="110" t="s">
        <v>1962</v>
      </c>
      <c r="B358" s="4194" t="s">
        <v>3351</v>
      </c>
      <c r="C358" s="4194"/>
      <c r="D358" s="4194"/>
      <c r="E358" s="4194"/>
      <c r="F358" s="4194"/>
      <c r="G358" s="4194"/>
      <c r="H358" s="4194"/>
      <c r="I358" s="4194"/>
      <c r="J358" s="4194"/>
      <c r="K358" s="4194"/>
      <c r="L358" s="4194"/>
      <c r="M358" s="4194"/>
      <c r="N358" s="4194"/>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4" t="s">
        <v>3353</v>
      </c>
      <c r="C360" s="4194"/>
      <c r="D360" s="4194"/>
      <c r="E360" s="4194"/>
      <c r="F360" s="4194"/>
      <c r="G360" s="4194"/>
      <c r="H360" s="4194"/>
      <c r="I360" s="4194"/>
      <c r="J360" s="4194"/>
      <c r="K360" s="4194"/>
      <c r="L360" s="4194"/>
      <c r="M360" s="4194"/>
      <c r="N360" s="4194"/>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4" t="s">
        <v>3355</v>
      </c>
      <c r="C363" s="4194"/>
      <c r="D363" s="4194"/>
      <c r="E363" s="4194"/>
      <c r="F363" s="4194"/>
      <c r="G363" s="4194"/>
      <c r="H363" s="4194"/>
      <c r="I363" s="4194"/>
      <c r="J363" s="4194"/>
      <c r="K363" s="4194"/>
      <c r="L363" s="4194"/>
      <c r="M363" s="4194"/>
      <c r="N363" s="4194"/>
      <c r="O363" s="128" t="s">
        <v>3004</v>
      </c>
      <c r="P363" s="894"/>
      <c r="Q363" s="893"/>
    </row>
    <row r="364" spans="1:31" ht="33" customHeight="1">
      <c r="A364" s="110" t="s">
        <v>573</v>
      </c>
      <c r="B364" s="4194" t="s">
        <v>3356</v>
      </c>
      <c r="C364" s="4194"/>
      <c r="D364" s="4194"/>
      <c r="E364" s="4194"/>
      <c r="F364" s="4194"/>
      <c r="G364" s="4194"/>
      <c r="H364" s="4194"/>
      <c r="I364" s="4194"/>
      <c r="J364" s="4194"/>
      <c r="K364" s="4194"/>
      <c r="L364" s="4194"/>
      <c r="M364" s="4194"/>
      <c r="N364" s="419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8"/>
      <c r="B366" s="4209"/>
      <c r="C366" s="4209"/>
      <c r="D366" s="4209"/>
      <c r="E366" s="4209"/>
      <c r="F366" s="4209"/>
      <c r="G366" s="4209"/>
      <c r="H366" s="4209"/>
      <c r="I366" s="4209"/>
      <c r="J366" s="4209"/>
      <c r="K366" s="4209"/>
      <c r="L366" s="4209"/>
      <c r="M366" s="4209"/>
      <c r="N366" s="4209"/>
      <c r="O366" s="4209"/>
      <c r="P366" s="4209"/>
      <c r="Q366" s="4210"/>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5"/>
      <c r="B368" s="4206"/>
      <c r="C368" s="4206"/>
      <c r="D368" s="4206"/>
      <c r="E368" s="4206"/>
      <c r="F368" s="4206"/>
      <c r="G368" s="4206"/>
      <c r="H368" s="4206"/>
      <c r="I368" s="4206"/>
      <c r="J368" s="4206"/>
      <c r="K368" s="4206"/>
      <c r="L368" s="4206"/>
      <c r="M368" s="4206"/>
      <c r="N368" s="4206"/>
      <c r="O368" s="4206"/>
      <c r="P368" s="4206"/>
      <c r="Q368" s="420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0"/>
      <c r="Q371" s="4201"/>
    </row>
    <row r="372" spans="1:31" ht="11.65" customHeight="1">
      <c r="A372" s="40" t="s">
        <v>1841</v>
      </c>
      <c r="B372" s="32" t="s">
        <v>970</v>
      </c>
      <c r="E372" s="4255"/>
      <c r="F372" s="4256"/>
      <c r="G372" s="4256"/>
      <c r="H372" s="4256"/>
      <c r="I372" s="4257"/>
      <c r="J372" s="4258" t="s">
        <v>2437</v>
      </c>
      <c r="K372" s="4259"/>
      <c r="L372" s="4260"/>
      <c r="M372" s="4255"/>
      <c r="N372" s="4256"/>
      <c r="O372" s="4256"/>
      <c r="P372" s="4256"/>
      <c r="Q372" s="4257"/>
    </row>
    <row r="373" spans="1:31" s="102" customFormat="1" ht="22.5" customHeight="1">
      <c r="A373" s="110" t="s">
        <v>1843</v>
      </c>
      <c r="B373" s="4194" t="s">
        <v>3081</v>
      </c>
      <c r="C373" s="4194"/>
      <c r="D373" s="4194"/>
      <c r="E373" s="4194"/>
      <c r="F373" s="4194"/>
      <c r="G373" s="4194"/>
      <c r="H373" s="4194"/>
      <c r="I373" s="4194"/>
      <c r="J373" s="4194"/>
      <c r="K373" s="4194"/>
      <c r="L373" s="4194"/>
      <c r="M373" s="4194"/>
      <c r="N373" s="4194"/>
      <c r="O373" s="128" t="s">
        <v>1843</v>
      </c>
      <c r="P373" s="431"/>
      <c r="Q373" s="422"/>
    </row>
    <row r="374" spans="1:31">
      <c r="A374" s="110" t="s">
        <v>698</v>
      </c>
      <c r="B374" s="44" t="s">
        <v>3201</v>
      </c>
      <c r="G374" s="889"/>
      <c r="H374" s="889"/>
      <c r="I374" s="889"/>
      <c r="J374" s="33" t="s">
        <v>3202</v>
      </c>
      <c r="L374" s="889"/>
      <c r="M374" s="4261">
        <f>'Part II-Sources of Funds'!I6</f>
        <v>0</v>
      </c>
      <c r="N374" s="4262"/>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8"/>
      <c r="B376" s="4209"/>
      <c r="C376" s="4209"/>
      <c r="D376" s="4209"/>
      <c r="E376" s="4209"/>
      <c r="F376" s="4209"/>
      <c r="G376" s="4209"/>
      <c r="H376" s="4209"/>
      <c r="I376" s="4209"/>
      <c r="J376" s="4209"/>
      <c r="K376" s="4209"/>
      <c r="L376" s="4209"/>
      <c r="M376" s="4209"/>
      <c r="N376" s="4209"/>
      <c r="O376" s="4209"/>
      <c r="P376" s="4209"/>
      <c r="Q376" s="4210"/>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5"/>
      <c r="B378" s="4206"/>
      <c r="C378" s="4206"/>
      <c r="D378" s="4206"/>
      <c r="E378" s="4206"/>
      <c r="F378" s="4206"/>
      <c r="G378" s="4206"/>
      <c r="H378" s="4206"/>
      <c r="I378" s="4206"/>
      <c r="J378" s="4206"/>
      <c r="K378" s="4206"/>
      <c r="L378" s="4206"/>
      <c r="M378" s="4206"/>
      <c r="N378" s="4206"/>
      <c r="O378" s="4206"/>
      <c r="P378" s="4206"/>
      <c r="Q378" s="420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00"/>
      <c r="Q380" s="4251"/>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1"/>
      <c r="I385" s="4212"/>
      <c r="J385" s="4212"/>
      <c r="K385" s="4212"/>
      <c r="L385" s="4212"/>
      <c r="M385" s="4212"/>
      <c r="N385" s="4212"/>
      <c r="O385" s="4213"/>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8"/>
      <c r="B387" s="4209"/>
      <c r="C387" s="4209"/>
      <c r="D387" s="4209"/>
      <c r="E387" s="4209"/>
      <c r="F387" s="4209"/>
      <c r="G387" s="4209"/>
      <c r="H387" s="4209"/>
      <c r="I387" s="4209"/>
      <c r="J387" s="4209"/>
      <c r="K387" s="4209"/>
      <c r="L387" s="4209"/>
      <c r="M387" s="4209"/>
      <c r="N387" s="4209"/>
      <c r="O387" s="4209"/>
      <c r="P387" s="4209"/>
      <c r="Q387" s="4210"/>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5"/>
      <c r="B389" s="4206"/>
      <c r="C389" s="4206"/>
      <c r="D389" s="4206"/>
      <c r="E389" s="4206"/>
      <c r="F389" s="4206"/>
      <c r="G389" s="4206"/>
      <c r="H389" s="4206"/>
      <c r="I389" s="4206"/>
      <c r="J389" s="4206"/>
      <c r="K389" s="4206"/>
      <c r="L389" s="4206"/>
      <c r="M389" s="4206"/>
      <c r="N389" s="4206"/>
      <c r="O389" s="4206"/>
      <c r="P389" s="4206"/>
      <c r="Q389" s="420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4"/>
      <c r="Q391" s="4215"/>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4"/>
      <c r="Q395" s="4292"/>
    </row>
    <row r="396" spans="1:31" ht="12" customHeight="1">
      <c r="A396" s="40"/>
      <c r="D396" s="29" t="s">
        <v>6500</v>
      </c>
      <c r="E396" s="29"/>
      <c r="F396" s="29"/>
      <c r="G396" s="29"/>
      <c r="H396" s="29"/>
      <c r="I396" s="29"/>
      <c r="J396" s="29"/>
      <c r="K396" s="29"/>
      <c r="L396" s="29"/>
      <c r="M396" s="29"/>
      <c r="N396" s="35"/>
      <c r="O396" s="1398"/>
      <c r="P396" s="4295"/>
      <c r="Q396" s="429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4" t="s">
        <v>6150</v>
      </c>
      <c r="D400" s="4194"/>
      <c r="E400" s="4194"/>
      <c r="F400" s="4194"/>
      <c r="G400" s="29" t="s">
        <v>3942</v>
      </c>
      <c r="J400" s="718"/>
      <c r="K400" s="426"/>
      <c r="M400" s="29" t="s">
        <v>6224</v>
      </c>
      <c r="P400" s="1760"/>
      <c r="Q400" s="1761"/>
    </row>
    <row r="401" spans="1:44" ht="12" customHeight="1">
      <c r="A401" s="40"/>
      <c r="C401" s="4194"/>
      <c r="D401" s="4194"/>
      <c r="E401" s="4194"/>
      <c r="F401" s="4194"/>
      <c r="G401" s="29" t="s">
        <v>6223</v>
      </c>
      <c r="J401" s="719"/>
      <c r="K401" s="427"/>
      <c r="M401" s="29" t="s">
        <v>6225</v>
      </c>
      <c r="P401" s="719"/>
      <c r="Q401" s="427"/>
    </row>
    <row r="402" spans="1:44" ht="8.25" customHeight="1">
      <c r="A402" s="40"/>
      <c r="C402" s="4194"/>
      <c r="D402" s="4194"/>
      <c r="E402" s="4194"/>
      <c r="F402" s="4194"/>
      <c r="J402" s="1533"/>
      <c r="L402" s="33"/>
      <c r="M402" s="35"/>
      <c r="N402" s="48"/>
    </row>
    <row r="403" spans="1:44" s="72" customFormat="1" ht="12.75" customHeight="1">
      <c r="A403" s="107"/>
      <c r="B403" s="153"/>
      <c r="D403" s="892"/>
      <c r="E403" s="892"/>
      <c r="F403" s="892"/>
      <c r="G403" s="892"/>
      <c r="H403" s="892"/>
      <c r="I403" s="4202" t="s">
        <v>6180</v>
      </c>
      <c r="J403" s="4202" t="s">
        <v>6181</v>
      </c>
      <c r="K403" s="4202" t="s">
        <v>6183</v>
      </c>
      <c r="L403" s="4202"/>
      <c r="M403" s="4202"/>
      <c r="N403" s="4241" t="s">
        <v>6182</v>
      </c>
      <c r="O403" s="48"/>
      <c r="P403" s="4365" t="s">
        <v>6697</v>
      </c>
      <c r="Q403" s="436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4"/>
      <c r="J404" s="4202"/>
      <c r="K404" s="4202"/>
      <c r="L404" s="4202"/>
      <c r="M404" s="4202"/>
      <c r="N404" s="4242"/>
      <c r="O404" s="48"/>
      <c r="P404" s="4366"/>
      <c r="Q404" s="436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4" t="s">
        <v>6294</v>
      </c>
      <c r="D405" s="4194"/>
      <c r="E405" s="4194"/>
      <c r="F405" s="4194"/>
      <c r="G405" s="4194"/>
      <c r="H405" s="4194"/>
      <c r="I405" s="365">
        <f>K290</f>
        <v>0</v>
      </c>
      <c r="J405" s="1762"/>
      <c r="K405" s="4203"/>
      <c r="L405" s="4203"/>
      <c r="M405" s="4204"/>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4"/>
      <c r="D406" s="4194"/>
      <c r="E406" s="4194"/>
      <c r="F406" s="4194"/>
      <c r="G406" s="4194"/>
      <c r="H406" s="4194"/>
      <c r="I406" s="248"/>
      <c r="J406" s="1763"/>
      <c r="K406" s="4243"/>
      <c r="L406" s="4243"/>
      <c r="M406" s="424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3"/>
      <c r="L408" s="4203"/>
      <c r="M408" s="4204"/>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3"/>
      <c r="L409" s="4243"/>
      <c r="M409" s="424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4" t="s">
        <v>6295</v>
      </c>
      <c r="D411" s="4194"/>
      <c r="E411" s="4194"/>
      <c r="F411" s="4194"/>
      <c r="G411" s="4194"/>
      <c r="H411" s="4194"/>
      <c r="I411" s="365">
        <f>K293</f>
        <v>0</v>
      </c>
      <c r="J411" s="1762"/>
      <c r="K411" s="4203"/>
      <c r="L411" s="4203"/>
      <c r="M411" s="4204"/>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4"/>
      <c r="D412" s="4194"/>
      <c r="E412" s="4194"/>
      <c r="F412" s="4194"/>
      <c r="G412" s="4194"/>
      <c r="H412" s="4194"/>
      <c r="J412" s="1763"/>
      <c r="K412" s="4243"/>
      <c r="L412" s="4243"/>
      <c r="M412" s="424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9" t="s">
        <v>6228</v>
      </c>
      <c r="E416" s="352" t="s">
        <v>2263</v>
      </c>
      <c r="F416" s="44" t="s">
        <v>3287</v>
      </c>
      <c r="G416" s="4195"/>
      <c r="H416" s="4196"/>
      <c r="I416" s="4196"/>
      <c r="J416" s="4196"/>
      <c r="K416" s="4197"/>
      <c r="L416" s="352"/>
    </row>
    <row r="417" spans="1:31" ht="12" customHeight="1">
      <c r="B417" s="115"/>
      <c r="D417" s="4199"/>
      <c r="E417" s="352" t="s">
        <v>3939</v>
      </c>
      <c r="F417" s="44" t="s">
        <v>3940</v>
      </c>
      <c r="G417" s="4252" t="s">
        <v>3204</v>
      </c>
      <c r="H417" s="4253"/>
      <c r="I417" s="4254"/>
      <c r="J417" s="44" t="s">
        <v>3801</v>
      </c>
      <c r="K417" s="115"/>
      <c r="M417" s="4195"/>
      <c r="N417" s="4196"/>
      <c r="O417" s="4196"/>
      <c r="P417" s="4196"/>
      <c r="Q417" s="4197"/>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5"/>
      <c r="C419" s="4246"/>
      <c r="D419" s="4246"/>
      <c r="E419" s="4246"/>
      <c r="F419" s="4246"/>
      <c r="G419" s="4246"/>
      <c r="H419" s="4246"/>
      <c r="I419" s="4246"/>
      <c r="J419" s="4246"/>
      <c r="K419" s="4246"/>
      <c r="L419" s="4246"/>
      <c r="M419" s="4246"/>
      <c r="N419" s="4246"/>
      <c r="O419" s="4246"/>
      <c r="P419" s="4246"/>
      <c r="Q419" s="4247"/>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8" t="s">
        <v>4033</v>
      </c>
      <c r="C421" s="4194"/>
      <c r="D421" s="4194"/>
      <c r="E421" s="4194"/>
      <c r="F421" s="4194"/>
      <c r="G421" s="4194"/>
      <c r="H421" s="4194"/>
      <c r="I421" s="4194"/>
      <c r="J421" s="4194"/>
      <c r="K421" s="4194"/>
      <c r="L421" s="4194"/>
      <c r="M421" s="4194"/>
      <c r="N421" s="4194"/>
    </row>
    <row r="422" spans="1:31" s="115" customFormat="1" ht="45" customHeight="1">
      <c r="B422" s="4194" t="s">
        <v>6542</v>
      </c>
      <c r="C422" s="4194"/>
      <c r="D422" s="4194"/>
      <c r="E422" s="4194"/>
      <c r="F422" s="4194"/>
      <c r="G422" s="4194"/>
      <c r="H422" s="4194"/>
      <c r="I422" s="4194"/>
      <c r="J422" s="4194"/>
      <c r="K422" s="4194"/>
      <c r="L422" s="4194"/>
      <c r="M422" s="4194"/>
      <c r="N422" s="4194"/>
      <c r="O422" s="128" t="s">
        <v>1843</v>
      </c>
      <c r="P422" s="905"/>
      <c r="Q422" s="906"/>
    </row>
    <row r="423" spans="1:31" ht="12" customHeight="1">
      <c r="B423" s="109" t="s">
        <v>3239</v>
      </c>
      <c r="D423" s="109"/>
      <c r="E423" s="109"/>
      <c r="F423" s="109"/>
      <c r="G423" s="109"/>
      <c r="H423" s="33"/>
      <c r="I423" s="891"/>
      <c r="J423" s="891"/>
      <c r="K423" s="891"/>
    </row>
    <row r="424" spans="1:31" ht="33.6" customHeight="1">
      <c r="A424" s="4208"/>
      <c r="B424" s="4209"/>
      <c r="C424" s="4209"/>
      <c r="D424" s="4209"/>
      <c r="E424" s="4209"/>
      <c r="F424" s="4209"/>
      <c r="G424" s="4209"/>
      <c r="H424" s="4209"/>
      <c r="I424" s="4209"/>
      <c r="J424" s="4209"/>
      <c r="K424" s="4209"/>
      <c r="L424" s="4209"/>
      <c r="M424" s="4209"/>
      <c r="N424" s="4209"/>
      <c r="O424" s="4209"/>
      <c r="P424" s="4209"/>
      <c r="Q424" s="4210"/>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5"/>
      <c r="B426" s="4206"/>
      <c r="C426" s="4206"/>
      <c r="D426" s="4206"/>
      <c r="E426" s="4206"/>
      <c r="F426" s="4206"/>
      <c r="G426" s="4206"/>
      <c r="H426" s="4206"/>
      <c r="I426" s="4206"/>
      <c r="J426" s="4206"/>
      <c r="K426" s="4206"/>
      <c r="L426" s="4206"/>
      <c r="M426" s="4206"/>
      <c r="N426" s="4206"/>
      <c r="O426" s="4206"/>
      <c r="P426" s="4206"/>
      <c r="Q426" s="420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00"/>
      <c r="Q428" s="4201"/>
    </row>
    <row r="429" spans="1:31" ht="14.1" customHeight="1">
      <c r="B429" s="66" t="s">
        <v>3896</v>
      </c>
      <c r="C429" s="4"/>
      <c r="D429" s="66"/>
      <c r="E429" s="887"/>
      <c r="F429" s="887"/>
      <c r="G429" s="887"/>
      <c r="H429" s="887"/>
    </row>
    <row r="430" spans="1:31" s="102" customFormat="1" ht="21.75" customHeight="1">
      <c r="A430" s="110" t="s">
        <v>1841</v>
      </c>
      <c r="B430" s="4194" t="s">
        <v>3311</v>
      </c>
      <c r="C430" s="4194"/>
      <c r="D430" s="4194"/>
      <c r="E430" s="4194"/>
      <c r="F430" s="4194"/>
      <c r="G430" s="4194"/>
      <c r="H430" s="4194"/>
      <c r="I430" s="4194"/>
      <c r="J430" s="4194"/>
      <c r="K430" s="4194"/>
      <c r="L430" s="4194"/>
      <c r="M430" s="4194"/>
      <c r="N430" s="4194"/>
      <c r="O430" s="128" t="s">
        <v>1841</v>
      </c>
      <c r="P430" s="894"/>
      <c r="Q430" s="893"/>
    </row>
    <row r="431" spans="1:31" s="102" customFormat="1" ht="22.5" customHeight="1">
      <c r="A431" s="110" t="s">
        <v>1843</v>
      </c>
      <c r="B431" s="4194" t="s">
        <v>3310</v>
      </c>
      <c r="C431" s="4194"/>
      <c r="D431" s="4194"/>
      <c r="E431" s="4194"/>
      <c r="F431" s="4194"/>
      <c r="G431" s="4194"/>
      <c r="H431" s="4194"/>
      <c r="I431" s="4194"/>
      <c r="J431" s="4194"/>
      <c r="K431" s="4194"/>
      <c r="L431" s="4194"/>
      <c r="M431" s="4194"/>
      <c r="N431" s="4194"/>
      <c r="O431" s="128" t="s">
        <v>1843</v>
      </c>
      <c r="P431" s="431"/>
      <c r="Q431" s="422"/>
    </row>
    <row r="432" spans="1:31" s="102" customFormat="1" ht="22.5" customHeight="1">
      <c r="B432" s="1220" t="s">
        <v>1614</v>
      </c>
      <c r="C432" s="4194" t="s">
        <v>3866</v>
      </c>
      <c r="D432" s="4194"/>
      <c r="E432" s="4194"/>
      <c r="F432" s="4194"/>
      <c r="G432" s="4194"/>
      <c r="H432" s="4194"/>
      <c r="I432" s="4194"/>
      <c r="J432" s="4194"/>
      <c r="K432" s="4194"/>
      <c r="L432" s="4194"/>
      <c r="M432" s="4194"/>
      <c r="N432" s="4194"/>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4" t="s">
        <v>3868</v>
      </c>
      <c r="D434" s="4194"/>
      <c r="E434" s="4194"/>
      <c r="F434" s="4194"/>
      <c r="G434" s="4194"/>
      <c r="H434" s="4194"/>
      <c r="I434" s="4194"/>
      <c r="J434" s="4194"/>
      <c r="K434" s="4194"/>
      <c r="L434" s="4194"/>
      <c r="M434" s="4194"/>
      <c r="N434" s="4194"/>
      <c r="O434" s="128" t="s">
        <v>1616</v>
      </c>
      <c r="P434" s="431"/>
      <c r="Q434" s="422"/>
    </row>
    <row r="435" spans="1:31" s="102" customFormat="1" ht="22.5" customHeight="1">
      <c r="B435" s="372" t="s">
        <v>2182</v>
      </c>
      <c r="C435" s="4194" t="s">
        <v>3869</v>
      </c>
      <c r="D435" s="4194"/>
      <c r="E435" s="4194"/>
      <c r="F435" s="4194"/>
      <c r="G435" s="4194"/>
      <c r="H435" s="4194"/>
      <c r="I435" s="4194"/>
      <c r="J435" s="4194"/>
      <c r="K435" s="4194"/>
      <c r="L435" s="4194"/>
      <c r="M435" s="4194"/>
      <c r="N435" s="4194"/>
      <c r="O435" s="128" t="s">
        <v>2182</v>
      </c>
      <c r="P435" s="431"/>
      <c r="Q435" s="422"/>
    </row>
    <row r="436" spans="1:31" s="102" customFormat="1" ht="22.5" customHeight="1">
      <c r="A436" s="110" t="s">
        <v>698</v>
      </c>
      <c r="B436" s="4194" t="s">
        <v>3312</v>
      </c>
      <c r="C436" s="4194"/>
      <c r="D436" s="4194"/>
      <c r="E436" s="4194"/>
      <c r="F436" s="4194"/>
      <c r="G436" s="4194"/>
      <c r="H436" s="4194"/>
      <c r="I436" s="4194"/>
      <c r="J436" s="4194"/>
      <c r="K436" s="4194"/>
      <c r="L436" s="4194"/>
      <c r="M436" s="4194"/>
      <c r="N436" s="4194"/>
      <c r="O436" s="128" t="s">
        <v>698</v>
      </c>
      <c r="P436" s="431"/>
      <c r="Q436" s="422"/>
    </row>
    <row r="437" spans="1:31" s="102" customFormat="1" ht="22.5" customHeight="1">
      <c r="A437" s="110" t="s">
        <v>1962</v>
      </c>
      <c r="B437" s="4194" t="s">
        <v>3917</v>
      </c>
      <c r="C437" s="4194"/>
      <c r="D437" s="4194"/>
      <c r="E437" s="4194"/>
      <c r="F437" s="4194"/>
      <c r="G437" s="4194"/>
      <c r="H437" s="4194"/>
      <c r="I437" s="4194"/>
      <c r="J437" s="4194"/>
      <c r="K437" s="4194"/>
      <c r="L437" s="4194"/>
      <c r="M437" s="4194"/>
      <c r="N437" s="4194"/>
      <c r="O437" s="128" t="s">
        <v>1962</v>
      </c>
      <c r="P437" s="431"/>
      <c r="Q437" s="422"/>
    </row>
    <row r="438" spans="1:31" s="102" customFormat="1" ht="21.75" customHeight="1">
      <c r="A438" s="110" t="s">
        <v>1612</v>
      </c>
      <c r="B438" s="4194" t="s">
        <v>3918</v>
      </c>
      <c r="C438" s="4194"/>
      <c r="D438" s="4194"/>
      <c r="E438" s="4194"/>
      <c r="F438" s="4194"/>
      <c r="G438" s="4194"/>
      <c r="H438" s="4194"/>
      <c r="I438" s="4194"/>
      <c r="J438" s="4194"/>
      <c r="K438" s="4194"/>
      <c r="L438" s="4194"/>
      <c r="M438" s="4194"/>
      <c r="N438" s="4194"/>
      <c r="O438" s="128" t="s">
        <v>1612</v>
      </c>
      <c r="P438" s="431"/>
      <c r="Q438" s="422"/>
    </row>
    <row r="439" spans="1:31" s="334" customFormat="1" ht="21.75" customHeight="1">
      <c r="A439" s="110" t="s">
        <v>1613</v>
      </c>
      <c r="B439" s="4194" t="s">
        <v>3951</v>
      </c>
      <c r="C439" s="4194"/>
      <c r="D439" s="4194"/>
      <c r="E439" s="4194"/>
      <c r="F439" s="4194"/>
      <c r="G439" s="4194"/>
      <c r="H439" s="4194"/>
      <c r="I439" s="4194"/>
      <c r="J439" s="4194"/>
      <c r="K439" s="4194"/>
      <c r="L439" s="4194"/>
      <c r="M439" s="4194"/>
      <c r="N439" s="419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8"/>
      <c r="B441" s="4209"/>
      <c r="C441" s="4209"/>
      <c r="D441" s="4209"/>
      <c r="E441" s="4209"/>
      <c r="F441" s="4209"/>
      <c r="G441" s="4209"/>
      <c r="H441" s="4209"/>
      <c r="I441" s="4209"/>
      <c r="J441" s="4209"/>
      <c r="K441" s="4209"/>
      <c r="L441" s="4209"/>
      <c r="M441" s="4209"/>
      <c r="N441" s="4209"/>
      <c r="O441" s="4209"/>
      <c r="P441" s="4209"/>
      <c r="Q441" s="4210"/>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5"/>
      <c r="B443" s="4206"/>
      <c r="C443" s="4206"/>
      <c r="D443" s="4206"/>
      <c r="E443" s="4206"/>
      <c r="F443" s="4206"/>
      <c r="G443" s="4206"/>
      <c r="H443" s="4206"/>
      <c r="I443" s="4206"/>
      <c r="J443" s="4206"/>
      <c r="K443" s="4206"/>
      <c r="L443" s="4206"/>
      <c r="M443" s="4206"/>
      <c r="N443" s="4206"/>
      <c r="O443" s="4206"/>
      <c r="P443" s="4206"/>
      <c r="Q443" s="420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00"/>
      <c r="Q445" s="420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8"/>
      <c r="B447" s="4209"/>
      <c r="C447" s="4209"/>
      <c r="D447" s="4209"/>
      <c r="E447" s="4209"/>
      <c r="F447" s="4209"/>
      <c r="G447" s="4209"/>
      <c r="H447" s="4209"/>
      <c r="I447" s="4209"/>
      <c r="J447" s="4209"/>
      <c r="K447" s="4209"/>
      <c r="L447" s="4209"/>
      <c r="M447" s="4209"/>
      <c r="N447" s="4209"/>
      <c r="O447" s="4209"/>
      <c r="P447" s="4209"/>
      <c r="Q447" s="4210"/>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5"/>
      <c r="B449" s="4206"/>
      <c r="C449" s="4206"/>
      <c r="D449" s="4206"/>
      <c r="E449" s="4206"/>
      <c r="F449" s="4206"/>
      <c r="G449" s="4206"/>
      <c r="H449" s="4206"/>
      <c r="I449" s="4206"/>
      <c r="J449" s="4206"/>
      <c r="K449" s="4206"/>
      <c r="L449" s="4206"/>
      <c r="M449" s="4206"/>
      <c r="N449" s="4206"/>
      <c r="O449" s="4206"/>
      <c r="P449" s="4206"/>
      <c r="Q449" s="420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8" t="s">
        <v>6523</v>
      </c>
      <c r="B2" s="4398"/>
      <c r="C2" s="147"/>
      <c r="D2" s="795">
        <v>2021</v>
      </c>
      <c r="E2" s="144"/>
      <c r="F2" s="4392" t="s">
        <v>2999</v>
      </c>
      <c r="G2" s="4393"/>
      <c r="H2" s="4393"/>
      <c r="I2" s="4393"/>
      <c r="J2" s="4394"/>
      <c r="K2" s="234"/>
      <c r="L2" s="443" t="s">
        <v>3141</v>
      </c>
      <c r="M2" s="234"/>
      <c r="N2" s="4392" t="s">
        <v>2999</v>
      </c>
      <c r="O2" s="4393"/>
      <c r="P2" s="4393"/>
      <c r="Q2" s="4393"/>
      <c r="R2" s="4394"/>
      <c r="S2" s="241"/>
      <c r="T2" s="144"/>
      <c r="U2" s="144"/>
      <c r="V2" s="322"/>
      <c r="W2" s="322"/>
      <c r="X2" s="322"/>
      <c r="AA2" s="68"/>
      <c r="AB2" s="68"/>
    </row>
    <row r="3" spans="1:28" s="145" customFormat="1" ht="11.65" customHeight="1">
      <c r="A3" s="4398"/>
      <c r="B3" s="439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8"/>
      <c r="B4" s="439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0"/>
      <c r="Q44" s="4201"/>
    </row>
    <row r="45" spans="1:295" s="28" customFormat="1" ht="11.25" customHeight="1">
      <c r="A45" s="4408"/>
      <c r="B45" s="4408"/>
      <c r="C45" s="4408"/>
      <c r="D45" s="4408"/>
      <c r="E45" s="4408"/>
      <c r="F45" s="1245"/>
      <c r="G45" s="4421" t="s">
        <v>2465</v>
      </c>
      <c r="H45" s="4422"/>
      <c r="I45" s="66"/>
      <c r="J45" s="35"/>
      <c r="K45" s="4423" t="s">
        <v>3164</v>
      </c>
      <c r="L45" s="4424"/>
      <c r="M45" s="4424"/>
      <c r="N45" s="4425"/>
    </row>
    <row r="46" spans="1:295" s="28" customFormat="1" ht="11.25" customHeight="1">
      <c r="A46" s="4408"/>
      <c r="B46" s="4408"/>
      <c r="C46" s="4408"/>
      <c r="D46" s="4408"/>
      <c r="E46" s="4408"/>
      <c r="F46" s="1245"/>
      <c r="G46" s="4426" t="s">
        <v>333</v>
      </c>
      <c r="H46" s="4427"/>
      <c r="I46" s="66"/>
      <c r="J46" s="35"/>
      <c r="K46" s="4401" t="s">
        <v>3165</v>
      </c>
      <c r="L46" s="4402"/>
      <c r="M46" s="4402"/>
      <c r="N46" s="4403"/>
      <c r="P46" s="405" t="s">
        <v>2474</v>
      </c>
      <c r="Q46" s="74"/>
    </row>
    <row r="47" spans="1:295" s="28" customFormat="1" ht="4.5" customHeight="1">
      <c r="A47" s="1245"/>
      <c r="B47" s="1245"/>
      <c r="C47" s="1245"/>
      <c r="D47" s="1245"/>
      <c r="E47" s="1245"/>
      <c r="F47" s="1245"/>
      <c r="G47" s="66"/>
      <c r="H47" s="66"/>
      <c r="I47" s="66"/>
      <c r="J47" s="35"/>
      <c r="K47" s="4259"/>
      <c r="L47" s="4259"/>
      <c r="M47" s="4259"/>
      <c r="N47" s="4259"/>
      <c r="P47" s="4406" t="s">
        <v>3935</v>
      </c>
      <c r="Q47" s="4406"/>
    </row>
    <row r="48" spans="1:295" s="62" customFormat="1" ht="10.5" customHeight="1">
      <c r="D48" s="491" t="s">
        <v>2464</v>
      </c>
      <c r="E48" s="28"/>
      <c r="F48" s="492" t="s">
        <v>3067</v>
      </c>
      <c r="G48" s="4396" t="s">
        <v>3892</v>
      </c>
      <c r="H48" s="4396"/>
      <c r="I48" s="4396"/>
      <c r="J48" s="28"/>
      <c r="K48" s="492" t="s">
        <v>3067</v>
      </c>
      <c r="L48" s="4396" t="s">
        <v>3891</v>
      </c>
      <c r="M48" s="4396"/>
      <c r="N48" s="4396"/>
      <c r="O48" s="28"/>
      <c r="P48" s="4406"/>
      <c r="Q48" s="440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0" t="s">
        <v>2998</v>
      </c>
      <c r="B49" s="4400"/>
      <c r="C49" s="4400"/>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07"/>
      <c r="Q49" s="440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0"/>
      <c r="B50" s="4400"/>
      <c r="C50" s="4400"/>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13" t="str">
        <f>IF('Part I-Project Identification'!$F$26="","",VLOOKUP('Part I-Project Identification'!$J$26,'DCA Underwriting Assumptions'!$G$141:$N$300,8,FALSE))</f>
        <v>Albany</v>
      </c>
      <c r="Q50" s="441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0"/>
      <c r="B51" s="4400"/>
      <c r="C51" s="4400"/>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15"/>
      <c r="Q51" s="441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0"/>
      <c r="B52" s="4400"/>
      <c r="C52" s="4400"/>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365" t="s">
        <v>3936</v>
      </c>
      <c r="Q52" s="436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04">
        <f>'Part III-A-Uses of Funds'!$G$146</f>
        <v>13821370.115847625</v>
      </c>
      <c r="Q53" s="440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5" t="s">
        <v>3927</v>
      </c>
      <c r="Q54" s="4365"/>
      <c r="R54" s="4395" t="s">
        <v>6299</v>
      </c>
      <c r="S54" s="4395"/>
      <c r="T54" s="439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0" t="s">
        <v>2993</v>
      </c>
      <c r="B56" s="4400"/>
      <c r="C56" s="4400"/>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04">
        <f>'Part III-A-Uses of Funds'!$G$146-'Part III-A-Uses of Funds'!$G$92-'Part III-A-Uses of Funds'!$G$114-'Part III-A-Uses of Funds'!$G$130-'Part III-A-Uses of Funds'!$G$131-'Part III-A-Uses of Funds'!$G$132</f>
        <v>13411874.405665185</v>
      </c>
      <c r="Q56" s="440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0"/>
      <c r="B57" s="4400"/>
      <c r="C57" s="4400"/>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0"/>
      <c r="B58" s="4400"/>
      <c r="C58" s="4400"/>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17"/>
      <c r="Q58" s="4418"/>
      <c r="R58" s="328"/>
      <c r="S58" s="4378" t="s">
        <v>3930</v>
      </c>
      <c r="T58" s="4379"/>
      <c r="U58" s="4379"/>
      <c r="V58" s="438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19"/>
      <c r="Q59" s="4420"/>
      <c r="S59" s="4381"/>
      <c r="T59" s="4382"/>
      <c r="U59" s="4382"/>
      <c r="V59" s="438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399" t="s">
        <v>3160</v>
      </c>
      <c r="Q60" s="4399"/>
      <c r="S60" s="4381"/>
      <c r="T60" s="4382"/>
      <c r="U60" s="4382"/>
      <c r="V60" s="438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1"/>
      <c r="T61" s="4382"/>
      <c r="U61" s="4382"/>
      <c r="V61" s="438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1"/>
      <c r="T62" s="4382"/>
      <c r="U62" s="4382"/>
      <c r="V62" s="438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381"/>
      <c r="T63" s="4382"/>
      <c r="U63" s="4382"/>
      <c r="V63" s="438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6 units = </v>
      </c>
      <c r="I64" s="1244">
        <f>IF(F64="","",F64*G64)</f>
        <v>1041272.0999999999</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399" t="s">
        <v>3161</v>
      </c>
      <c r="Q64" s="4399"/>
      <c r="S64" s="4381"/>
      <c r="T64" s="4382"/>
      <c r="U64" s="4382"/>
      <c r="V64" s="438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24 units = </v>
      </c>
      <c r="I65" s="1244">
        <f>IF(F65="","",F65*G65)</f>
        <v>5272317.5999999996</v>
      </c>
      <c r="J65" s="35"/>
      <c r="K65" s="1243" t="str">
        <f>IF('Part V-Revenues &amp; Expenses'!$M$152 =0,"",'Part V-Revenues &amp; Expenses'!$M$152)</f>
        <v/>
      </c>
      <c r="L65" s="661">
        <f>G65*(1+'DCA Underwriting Assumptions'!$Q$12)</f>
        <v>241647.89</v>
      </c>
      <c r="M65" s="33" t="str">
        <f>CONCATENATE("x ", K65," units = ")</f>
        <v xml:space="preserve">x  units = </v>
      </c>
      <c r="N65" s="1244" t="str">
        <f>IF(K65="","",K65*L65)</f>
        <v/>
      </c>
      <c r="P65" s="876" t="s">
        <v>2889</v>
      </c>
      <c r="Q65" s="876" t="s">
        <v>245</v>
      </c>
      <c r="S65" s="4381"/>
      <c r="T65" s="4382"/>
      <c r="U65" s="4382"/>
      <c r="V65" s="438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14 units = </v>
      </c>
      <c r="I66" s="1244">
        <f>IF(F66="","",F66*G66)</f>
        <v>3875625.6000000006</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381"/>
      <c r="T66" s="4382"/>
      <c r="U66" s="4382"/>
      <c r="V66" s="438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390" t="s">
        <v>2491</v>
      </c>
      <c r="Q67" s="4390"/>
      <c r="S67" s="4381"/>
      <c r="T67" s="4382"/>
      <c r="U67" s="4382"/>
      <c r="V67" s="438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44</v>
      </c>
      <c r="G68" s="493"/>
      <c r="H68" s="871"/>
      <c r="I68" s="872">
        <f>SUM(I63:I67)</f>
        <v>10189215.300000001</v>
      </c>
      <c r="J68" s="873"/>
      <c r="K68" s="870">
        <f>SUM(K63:K67)</f>
        <v>0</v>
      </c>
      <c r="L68" s="873"/>
      <c r="M68" s="871"/>
      <c r="N68" s="872">
        <f>SUM(N63:N67)</f>
        <v>0</v>
      </c>
      <c r="O68" s="441"/>
      <c r="P68" s="4390"/>
      <c r="Q68" s="4390"/>
      <c r="S68" s="4381"/>
      <c r="T68" s="4382"/>
      <c r="U68" s="4382"/>
      <c r="V68" s="438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0"/>
      <c r="Q69" s="4390"/>
      <c r="R69" s="328"/>
      <c r="S69" s="4381"/>
      <c r="T69" s="4382"/>
      <c r="U69" s="4382"/>
      <c r="V69" s="438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391"/>
      <c r="Q70" s="4391"/>
      <c r="R70" s="328"/>
      <c r="S70" s="4384"/>
      <c r="T70" s="4385"/>
      <c r="U70" s="4385"/>
      <c r="V70" s="438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09">
        <f>IF(P58&gt;1,P58, IF(OR('Part VIII Scoring Criteria OLD'!$O$113='Part VIII Scoring Criteria OLD'!$M$113,AND('Part III-A-Uses of Funds'!$T$179="Yes",'Part VIII Scoring Criteria OLD'!$O$378&gt;0)),H77+M77,H77))</f>
        <v>10189215.300000001</v>
      </c>
      <c r="Q71" s="4410"/>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11"/>
      <c r="Q72" s="4412"/>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387" t="s">
        <v>3448</v>
      </c>
      <c r="Q73" s="438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388"/>
      <c r="Q74" s="438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8"/>
      <c r="Q75" s="438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8"/>
      <c r="Q76" s="438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44</v>
      </c>
      <c r="G77" s="258"/>
      <c r="H77" s="4397">
        <f>I54+I61+I68+I75</f>
        <v>10189215.300000001</v>
      </c>
      <c r="I77" s="4397"/>
      <c r="J77" s="4397"/>
      <c r="K77" s="486">
        <f>K54+K61+K68+K75</f>
        <v>0</v>
      </c>
      <c r="L77" s="487"/>
      <c r="M77" s="4397">
        <f>N54+N61+N68+N75</f>
        <v>0</v>
      </c>
      <c r="N77" s="4397"/>
      <c r="O77" s="4397"/>
      <c r="P77" s="4388"/>
      <c r="Q77" s="438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9"/>
      <c r="Q78" s="4389"/>
    </row>
    <row r="79" spans="1:295" s="28" customFormat="1" ht="10.5" customHeight="1">
      <c r="A79" s="4208"/>
      <c r="B79" s="4209"/>
      <c r="C79" s="4209"/>
      <c r="D79" s="4209"/>
      <c r="E79" s="4209"/>
      <c r="F79" s="4209"/>
      <c r="G79" s="4209"/>
      <c r="H79" s="4209"/>
      <c r="I79" s="4209"/>
      <c r="J79" s="4210"/>
      <c r="K79" s="4205"/>
      <c r="L79" s="4206"/>
      <c r="M79" s="4206"/>
      <c r="N79" s="4206"/>
      <c r="O79" s="4206"/>
      <c r="P79" s="4206"/>
      <c r="Q79" s="420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West Pine Residences, Sylvester, Worth County</v>
      </c>
      <c r="B1" s="3324"/>
      <c r="C1" s="3324"/>
      <c r="D1" s="3324"/>
      <c r="E1" s="3324"/>
      <c r="F1" s="3324"/>
      <c r="G1" s="3324"/>
      <c r="H1" s="3324"/>
      <c r="I1" s="3324"/>
      <c r="J1" s="3324"/>
      <c r="K1" s="3324"/>
      <c r="L1" s="3324"/>
      <c r="M1" s="3324"/>
      <c r="N1" s="3324"/>
      <c r="O1" s="3324"/>
      <c r="P1" s="3325"/>
      <c r="Q1" s="4429" t="s">
        <v>6644</v>
      </c>
      <c r="R1" s="4429"/>
      <c r="S1" s="4429"/>
      <c r="T1" s="4429"/>
      <c r="U1" s="4429"/>
      <c r="V1" s="4429"/>
      <c r="W1" s="1969"/>
      <c r="X1" s="1927"/>
    </row>
    <row r="2" spans="1:25" s="28" customFormat="1" ht="4.3499999999999996" customHeight="1">
      <c r="A2" s="29"/>
      <c r="B2" s="29"/>
      <c r="C2" s="30"/>
      <c r="D2" s="29"/>
      <c r="E2" s="29"/>
      <c r="F2" s="29"/>
      <c r="G2" s="29"/>
      <c r="H2" s="29"/>
      <c r="I2" s="29"/>
      <c r="J2" s="29"/>
      <c r="K2" s="29"/>
      <c r="L2" s="29"/>
      <c r="M2" s="31"/>
      <c r="N2" s="53"/>
      <c r="O2" s="119"/>
      <c r="P2" s="119"/>
      <c r="Q2" s="4429"/>
      <c r="R2" s="4429"/>
      <c r="S2" s="4429"/>
      <c r="T2" s="4429"/>
      <c r="U2" s="4429"/>
      <c r="V2" s="4429"/>
      <c r="W2" s="1969"/>
      <c r="X2" s="1927"/>
    </row>
    <row r="3" spans="1:25" s="35" customFormat="1" ht="12" customHeight="1">
      <c r="A3" s="4480" t="s">
        <v>6658</v>
      </c>
      <c r="B3" s="4480"/>
      <c r="C3" s="4480"/>
      <c r="D3" s="4480"/>
      <c r="E3" s="4480"/>
      <c r="F3" s="4480"/>
      <c r="G3" s="4480"/>
      <c r="H3" s="4480"/>
      <c r="I3" s="4480"/>
      <c r="J3" s="4480"/>
      <c r="K3" s="4480"/>
      <c r="L3" s="4480"/>
      <c r="M3" s="670"/>
      <c r="N3" s="54"/>
      <c r="O3" s="63" t="s">
        <v>2050</v>
      </c>
      <c r="P3" s="914" t="s">
        <v>245</v>
      </c>
      <c r="Q3" s="4429"/>
      <c r="R3" s="4429"/>
      <c r="S3" s="4429"/>
      <c r="T3" s="4429"/>
      <c r="U3" s="4429"/>
      <c r="V3" s="4429"/>
      <c r="W3" s="1969"/>
      <c r="X3" s="1927"/>
    </row>
    <row r="4" spans="1:25" s="37" customFormat="1" ht="12" customHeight="1">
      <c r="A4" s="4480"/>
      <c r="B4" s="4480"/>
      <c r="C4" s="4480"/>
      <c r="D4" s="4480"/>
      <c r="E4" s="4480"/>
      <c r="F4" s="4480"/>
      <c r="G4" s="4480"/>
      <c r="H4" s="4480"/>
      <c r="I4" s="4480"/>
      <c r="J4" s="4480"/>
      <c r="K4" s="4480"/>
      <c r="L4" s="4480"/>
      <c r="M4" s="670"/>
      <c r="N4" s="64"/>
      <c r="O4" s="149" t="s">
        <v>2051</v>
      </c>
      <c r="P4" s="149" t="s">
        <v>2051</v>
      </c>
      <c r="Q4" s="4429"/>
      <c r="R4" s="4429"/>
      <c r="S4" s="4429"/>
      <c r="T4" s="4429"/>
      <c r="U4" s="4429"/>
      <c r="V4" s="4429"/>
    </row>
    <row r="5" spans="1:25" s="37" customFormat="1" ht="3" customHeight="1" thickBot="1">
      <c r="A5" s="35"/>
      <c r="B5" s="35"/>
      <c r="C5" s="35"/>
      <c r="D5" s="35"/>
      <c r="E5" s="35"/>
      <c r="F5" s="35"/>
      <c r="G5" s="35"/>
      <c r="H5" s="35"/>
      <c r="I5" s="35"/>
      <c r="J5" s="35"/>
      <c r="K5" s="35"/>
      <c r="M5" s="1633"/>
      <c r="N5" s="4"/>
      <c r="O5" s="119"/>
      <c r="P5" s="24"/>
      <c r="Q5" s="4429"/>
      <c r="R5" s="4429"/>
      <c r="S5" s="4429"/>
      <c r="T5" s="4429"/>
      <c r="U5" s="4429"/>
      <c r="V5" s="4429"/>
    </row>
    <row r="6" spans="1:25" s="37" customFormat="1" ht="13.5" customHeight="1" thickTop="1" thickBot="1">
      <c r="A6" s="35"/>
      <c r="B6" s="4575" t="str">
        <f>'Part I-Project Identification'!$A$6</f>
        <v>April 2023</v>
      </c>
      <c r="C6" s="4575"/>
      <c r="D6" s="4575"/>
      <c r="E6" s="4575"/>
      <c r="F6" s="4575"/>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2" t="s">
        <v>6495</v>
      </c>
      <c r="G12" s="4572"/>
      <c r="H12" s="4572"/>
      <c r="I12" s="4572"/>
      <c r="J12" s="4572"/>
      <c r="K12" s="4572"/>
      <c r="L12" s="4572"/>
      <c r="M12" s="4572"/>
      <c r="N12" s="4572"/>
      <c r="O12" s="1201" t="s">
        <v>3809</v>
      </c>
      <c r="P12" s="1202">
        <f>SUM(P13:P31)</f>
        <v>0</v>
      </c>
      <c r="Q12" s="4428" t="s">
        <v>6544</v>
      </c>
      <c r="R12" s="4428"/>
      <c r="S12" s="4428"/>
      <c r="T12" s="4428"/>
      <c r="U12" s="4428"/>
      <c r="V12" s="1179"/>
    </row>
    <row r="13" spans="1:25" s="35" customFormat="1" ht="10.5" customHeight="1">
      <c r="A13" s="924" t="s">
        <v>1668</v>
      </c>
      <c r="B13" s="921" t="s">
        <v>3393</v>
      </c>
      <c r="C13" s="922"/>
      <c r="D13" s="923"/>
      <c r="E13" s="1195">
        <f>$O$103</f>
        <v>0</v>
      </c>
      <c r="F13" s="4573">
        <f>$A$109</f>
        <v>0</v>
      </c>
      <c r="G13" s="4574"/>
      <c r="H13" s="4574"/>
      <c r="I13" s="4574"/>
      <c r="J13" s="4574"/>
      <c r="K13" s="4574"/>
      <c r="L13" s="4574"/>
      <c r="M13" s="4574"/>
      <c r="N13" s="4574"/>
      <c r="O13" s="4574"/>
      <c r="P13" s="1208"/>
      <c r="Q13" s="4428"/>
      <c r="R13" s="4428"/>
      <c r="S13" s="4428"/>
      <c r="T13" s="4428"/>
      <c r="U13" s="4428"/>
      <c r="V13" s="1179"/>
    </row>
    <row r="14" spans="1:25" s="35" customFormat="1" ht="10.5" customHeight="1">
      <c r="A14" s="924" t="s">
        <v>496</v>
      </c>
      <c r="B14" s="751" t="s">
        <v>4037</v>
      </c>
      <c r="C14" s="866"/>
      <c r="D14" s="925"/>
      <c r="E14" s="1771">
        <f>$O$113</f>
        <v>0</v>
      </c>
      <c r="F14" s="4448">
        <f>$A$147</f>
        <v>0</v>
      </c>
      <c r="G14" s="4449"/>
      <c r="H14" s="4449"/>
      <c r="I14" s="4449"/>
      <c r="J14" s="4449"/>
      <c r="K14" s="4449"/>
      <c r="L14" s="4449"/>
      <c r="M14" s="4449"/>
      <c r="N14" s="4449"/>
      <c r="O14" s="4450"/>
      <c r="P14" s="1209"/>
      <c r="Q14" s="4428"/>
      <c r="R14" s="4428"/>
      <c r="S14" s="4428"/>
      <c r="T14" s="4428"/>
      <c r="U14" s="4428"/>
    </row>
    <row r="15" spans="1:25" s="35" customFormat="1" ht="10.5" customHeight="1">
      <c r="A15" s="924" t="s">
        <v>720</v>
      </c>
      <c r="B15" s="751" t="s">
        <v>3338</v>
      </c>
      <c r="C15" s="866"/>
      <c r="D15" s="925"/>
      <c r="E15" s="1771">
        <f>$O$152</f>
        <v>0</v>
      </c>
      <c r="F15" s="4448">
        <f>$A$165</f>
        <v>0</v>
      </c>
      <c r="G15" s="4449"/>
      <c r="H15" s="4449"/>
      <c r="I15" s="4449"/>
      <c r="J15" s="4449"/>
      <c r="K15" s="4449"/>
      <c r="L15" s="4449"/>
      <c r="M15" s="4449"/>
      <c r="N15" s="4449"/>
      <c r="O15" s="4450"/>
      <c r="P15" s="1209"/>
      <c r="Q15" s="1975"/>
      <c r="R15" s="1975"/>
      <c r="S15" s="1975"/>
      <c r="T15" s="1975"/>
      <c r="U15" s="1975"/>
    </row>
    <row r="16" spans="1:25" s="35" customFormat="1" ht="10.5" customHeight="1">
      <c r="A16" s="1612" t="s">
        <v>280</v>
      </c>
      <c r="B16" s="751" t="s">
        <v>3394</v>
      </c>
      <c r="C16" s="866"/>
      <c r="D16" s="925"/>
      <c r="E16" s="1197">
        <f>$O$169</f>
        <v>0</v>
      </c>
      <c r="F16" s="4448">
        <f>$A$186</f>
        <v>0</v>
      </c>
      <c r="G16" s="4449"/>
      <c r="H16" s="4449"/>
      <c r="I16" s="4449"/>
      <c r="J16" s="4449"/>
      <c r="K16" s="4449"/>
      <c r="L16" s="4449"/>
      <c r="M16" s="4449"/>
      <c r="N16" s="4449"/>
      <c r="O16" s="4450"/>
      <c r="P16" s="1209"/>
      <c r="Q16" s="1975"/>
      <c r="R16" s="1975"/>
      <c r="S16" s="1975"/>
      <c r="T16" s="1975"/>
      <c r="U16" s="1975"/>
    </row>
    <row r="17" spans="1:35" s="35" customFormat="1" ht="10.5" customHeight="1">
      <c r="A17" s="924" t="s">
        <v>401</v>
      </c>
      <c r="B17" s="931" t="s">
        <v>3395</v>
      </c>
      <c r="C17" s="932"/>
      <c r="D17" s="933"/>
      <c r="E17" s="1198" t="s">
        <v>1610</v>
      </c>
      <c r="F17" s="4512">
        <f>$A$201</f>
        <v>0</v>
      </c>
      <c r="G17" s="4513"/>
      <c r="H17" s="4513"/>
      <c r="I17" s="4513"/>
      <c r="J17" s="4513"/>
      <c r="K17" s="4513"/>
      <c r="L17" s="4513"/>
      <c r="M17" s="4513"/>
      <c r="N17" s="4513"/>
      <c r="O17" s="4514"/>
      <c r="P17" s="1209"/>
      <c r="Q17" s="1975"/>
      <c r="R17" s="1975"/>
      <c r="S17" s="1975"/>
      <c r="T17" s="1975"/>
      <c r="U17" s="1975"/>
    </row>
    <row r="18" spans="1:35" s="35" customFormat="1" ht="10.5" customHeight="1">
      <c r="A18" s="924" t="s">
        <v>342</v>
      </c>
      <c r="B18" s="751" t="s">
        <v>4038</v>
      </c>
      <c r="C18" s="866"/>
      <c r="D18" s="925"/>
      <c r="E18" s="1196">
        <f>$O$205</f>
        <v>0</v>
      </c>
      <c r="F18" s="4448">
        <f>$A$220</f>
        <v>0</v>
      </c>
      <c r="G18" s="4449"/>
      <c r="H18" s="4449"/>
      <c r="I18" s="4449"/>
      <c r="J18" s="4449"/>
      <c r="K18" s="4449"/>
      <c r="L18" s="4449"/>
      <c r="M18" s="4449"/>
      <c r="N18" s="4449"/>
      <c r="O18" s="4450"/>
      <c r="P18" s="1209"/>
      <c r="Q18" s="4507" t="str">
        <f>IF(OR($A$109="",$A$147="",$A$165="",$A$186="",$A$201="",$A$220="",$A$238="",$A$248="",$A$257="",$A$281="",$A$306="",$A$314="",$A$338="",$A$374="",$A$393="",$A$414="",$A$420="",$A$430="",$A$438=""),"Some Applicant Scoring Justification boxes are empty! Check to see if points claimed.","")</f>
        <v>Some Applicant Scoring Justification boxes are empty! Check to see if points claimed.</v>
      </c>
      <c r="R18" s="4508"/>
      <c r="S18" s="4508"/>
    </row>
    <row r="19" spans="1:35" s="35" customFormat="1" ht="10.5" customHeight="1">
      <c r="A19" s="924" t="s">
        <v>4040</v>
      </c>
      <c r="B19" s="751" t="s">
        <v>3261</v>
      </c>
      <c r="C19" s="866"/>
      <c r="D19" s="925"/>
      <c r="E19" s="1196">
        <f>$O$233</f>
        <v>0</v>
      </c>
      <c r="F19" s="4448">
        <f>$A$238</f>
        <v>0</v>
      </c>
      <c r="G19" s="4449"/>
      <c r="H19" s="4449"/>
      <c r="I19" s="4449"/>
      <c r="J19" s="4449"/>
      <c r="K19" s="4449"/>
      <c r="L19" s="4449"/>
      <c r="M19" s="4449"/>
      <c r="N19" s="4449"/>
      <c r="O19" s="4450"/>
      <c r="P19" s="1209"/>
      <c r="Q19" s="4507"/>
      <c r="R19" s="4508"/>
      <c r="S19" s="4508"/>
    </row>
    <row r="20" spans="1:35" s="35" customFormat="1" ht="10.5" customHeight="1">
      <c r="A20" s="924" t="s">
        <v>4052</v>
      </c>
      <c r="B20" s="751" t="s">
        <v>4041</v>
      </c>
      <c r="C20" s="866"/>
      <c r="D20" s="925"/>
      <c r="E20" s="1198">
        <f>$O$242</f>
        <v>0</v>
      </c>
      <c r="F20" s="4448">
        <f>$A$248</f>
        <v>0</v>
      </c>
      <c r="G20" s="4449"/>
      <c r="H20" s="4449"/>
      <c r="I20" s="4449"/>
      <c r="J20" s="4449"/>
      <c r="K20" s="4449"/>
      <c r="L20" s="4449"/>
      <c r="M20" s="4449"/>
      <c r="N20" s="4449"/>
      <c r="O20" s="4450"/>
      <c r="P20" s="1209"/>
      <c r="Q20" s="4507"/>
      <c r="R20" s="4508"/>
      <c r="S20" s="4508"/>
    </row>
    <row r="21" spans="1:35" s="35" customFormat="1" ht="10.5" customHeight="1">
      <c r="A21" s="930" t="s">
        <v>6242</v>
      </c>
      <c r="B21" s="931" t="s">
        <v>4042</v>
      </c>
      <c r="C21" s="932"/>
      <c r="D21" s="933"/>
      <c r="E21" s="1199">
        <f>$O$252</f>
        <v>0</v>
      </c>
      <c r="F21" s="4512">
        <f>$A$257</f>
        <v>0</v>
      </c>
      <c r="G21" s="4513"/>
      <c r="H21" s="4513"/>
      <c r="I21" s="4513"/>
      <c r="J21" s="4513"/>
      <c r="K21" s="4513"/>
      <c r="L21" s="4513"/>
      <c r="M21" s="4513"/>
      <c r="N21" s="4513"/>
      <c r="O21" s="4514"/>
      <c r="P21" s="1209"/>
      <c r="Q21" s="4507"/>
      <c r="R21" s="4508"/>
      <c r="S21" s="4508"/>
    </row>
    <row r="22" spans="1:35" s="35" customFormat="1" ht="10.5" customHeight="1">
      <c r="A22" s="924" t="s">
        <v>6636</v>
      </c>
      <c r="B22" s="751" t="s">
        <v>6548</v>
      </c>
      <c r="C22" s="866"/>
      <c r="D22" s="925"/>
      <c r="E22" s="1196">
        <f>$O$274</f>
        <v>0</v>
      </c>
      <c r="F22" s="4448">
        <f>$A$281</f>
        <v>0</v>
      </c>
      <c r="G22" s="4449"/>
      <c r="H22" s="4449"/>
      <c r="I22" s="4449"/>
      <c r="J22" s="4449"/>
      <c r="K22" s="4449"/>
      <c r="L22" s="4449"/>
      <c r="M22" s="4449"/>
      <c r="N22" s="4449"/>
      <c r="O22" s="4450"/>
      <c r="P22" s="1209"/>
      <c r="Q22" s="4507"/>
      <c r="R22" s="4508"/>
      <c r="S22" s="4508"/>
    </row>
    <row r="23" spans="1:35" s="35" customFormat="1" ht="10.5" customHeight="1">
      <c r="A23" s="924" t="s">
        <v>6638</v>
      </c>
      <c r="B23" s="751" t="s">
        <v>6637</v>
      </c>
      <c r="C23" s="866"/>
      <c r="D23" s="925"/>
      <c r="E23" s="1196">
        <f>$O$285</f>
        <v>0</v>
      </c>
      <c r="F23" s="4448">
        <f>$A$306</f>
        <v>0</v>
      </c>
      <c r="G23" s="4449"/>
      <c r="H23" s="4449"/>
      <c r="I23" s="4449"/>
      <c r="J23" s="4449"/>
      <c r="K23" s="4449"/>
      <c r="L23" s="4449"/>
      <c r="M23" s="4449"/>
      <c r="N23" s="4449"/>
      <c r="O23" s="4450"/>
      <c r="P23" s="1209"/>
      <c r="Q23" s="4507"/>
      <c r="R23" s="4508"/>
      <c r="S23" s="4508"/>
    </row>
    <row r="24" spans="1:35" s="35" customFormat="1" ht="10.5" customHeight="1">
      <c r="A24" s="1612" t="s">
        <v>3368</v>
      </c>
      <c r="B24" s="1887" t="s">
        <v>6554</v>
      </c>
      <c r="C24" s="1888"/>
      <c r="D24" s="1889"/>
      <c r="E24" s="1197">
        <f>$O$310</f>
        <v>0</v>
      </c>
      <c r="F24" s="4501">
        <f>$A$314</f>
        <v>0</v>
      </c>
      <c r="G24" s="4502"/>
      <c r="H24" s="4502"/>
      <c r="I24" s="4502"/>
      <c r="J24" s="4502"/>
      <c r="K24" s="4502"/>
      <c r="L24" s="4502"/>
      <c r="M24" s="4502"/>
      <c r="N24" s="4502"/>
      <c r="O24" s="4503"/>
      <c r="P24" s="1209"/>
      <c r="Q24" s="4507"/>
      <c r="R24" s="4508"/>
      <c r="S24" s="4508"/>
    </row>
    <row r="25" spans="1:35" s="35" customFormat="1" ht="10.5" customHeight="1">
      <c r="A25" s="924" t="s">
        <v>3372</v>
      </c>
      <c r="B25" s="751" t="s">
        <v>3396</v>
      </c>
      <c r="C25" s="866"/>
      <c r="D25" s="925"/>
      <c r="E25" s="1196">
        <f>$O$334</f>
        <v>0</v>
      </c>
      <c r="F25" s="4448">
        <f>$A$338</f>
        <v>0</v>
      </c>
      <c r="G25" s="4449"/>
      <c r="H25" s="4449"/>
      <c r="I25" s="4449"/>
      <c r="J25" s="4449"/>
      <c r="K25" s="4449"/>
      <c r="L25" s="4449"/>
      <c r="M25" s="4449"/>
      <c r="N25" s="4449"/>
      <c r="O25" s="4450"/>
      <c r="P25" s="1209"/>
      <c r="Q25" s="4507"/>
      <c r="R25" s="4508"/>
      <c r="S25" s="4508"/>
    </row>
    <row r="26" spans="1:35" s="35" customFormat="1" ht="10.5" customHeight="1">
      <c r="A26" s="924" t="s">
        <v>3375</v>
      </c>
      <c r="B26" s="751" t="s">
        <v>3397</v>
      </c>
      <c r="C26" s="866"/>
      <c r="D26" s="925"/>
      <c r="E26" s="1196">
        <f>$O$342</f>
        <v>0</v>
      </c>
      <c r="F26" s="4448">
        <f>$A$374</f>
        <v>0</v>
      </c>
      <c r="G26" s="4449"/>
      <c r="H26" s="4449"/>
      <c r="I26" s="4449"/>
      <c r="J26" s="4449"/>
      <c r="K26" s="4449"/>
      <c r="L26" s="4449"/>
      <c r="M26" s="4449"/>
      <c r="N26" s="4449"/>
      <c r="O26" s="4450"/>
      <c r="P26" s="1209"/>
      <c r="Q26" s="4507"/>
      <c r="R26" s="4508"/>
      <c r="S26" s="4508"/>
    </row>
    <row r="27" spans="1:35" s="35" customFormat="1" ht="10.5" customHeight="1">
      <c r="A27" s="924" t="s">
        <v>3376</v>
      </c>
      <c r="B27" s="751" t="s">
        <v>3398</v>
      </c>
      <c r="C27" s="866"/>
      <c r="D27" s="925"/>
      <c r="E27" s="1198">
        <f>$O$378</f>
        <v>0</v>
      </c>
      <c r="F27" s="4448">
        <f>$A$393</f>
        <v>0</v>
      </c>
      <c r="G27" s="4449"/>
      <c r="H27" s="4449"/>
      <c r="I27" s="4449"/>
      <c r="J27" s="4449"/>
      <c r="K27" s="4449"/>
      <c r="L27" s="4449"/>
      <c r="M27" s="4449"/>
      <c r="N27" s="4449"/>
      <c r="O27" s="4450"/>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3">
        <f>$A$414</f>
        <v>0</v>
      </c>
      <c r="G28" s="4464"/>
      <c r="H28" s="4464"/>
      <c r="I28" s="4464"/>
      <c r="J28" s="4464"/>
      <c r="K28" s="4464"/>
      <c r="L28" s="4464"/>
      <c r="M28" s="4464"/>
      <c r="N28" s="4464"/>
      <c r="O28" s="4465"/>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8">
        <f>$A$420</f>
        <v>0</v>
      </c>
      <c r="G29" s="4449"/>
      <c r="H29" s="4449"/>
      <c r="I29" s="4449"/>
      <c r="J29" s="4449"/>
      <c r="K29" s="4449"/>
      <c r="L29" s="4449"/>
      <c r="M29" s="4449"/>
      <c r="N29" s="4449"/>
      <c r="O29" s="4450"/>
      <c r="P29" s="1209"/>
      <c r="Q29" s="1964"/>
      <c r="R29" s="1628"/>
      <c r="S29" s="1628"/>
    </row>
    <row r="30" spans="1:35" s="35" customFormat="1" ht="10.5" customHeight="1">
      <c r="A30" s="924" t="s">
        <v>3802</v>
      </c>
      <c r="B30" s="751" t="s">
        <v>6552</v>
      </c>
      <c r="C30" s="866"/>
      <c r="D30" s="925"/>
      <c r="E30" s="1196">
        <f>$O$428</f>
        <v>0</v>
      </c>
      <c r="F30" s="4448">
        <f>$A$430</f>
        <v>0</v>
      </c>
      <c r="G30" s="4449"/>
      <c r="H30" s="4449"/>
      <c r="I30" s="4449"/>
      <c r="J30" s="4449"/>
      <c r="K30" s="4449"/>
      <c r="L30" s="4449"/>
      <c r="M30" s="4449"/>
      <c r="N30" s="4449"/>
      <c r="O30" s="4450"/>
      <c r="P30" s="1209"/>
      <c r="Q30" s="1964"/>
      <c r="R30" s="1628"/>
      <c r="S30" s="1628"/>
      <c r="AA30" s="3591" t="s">
        <v>6562</v>
      </c>
      <c r="AB30" s="3591"/>
      <c r="AC30" s="3591"/>
      <c r="AD30" s="3591"/>
      <c r="AE30" s="3591"/>
      <c r="AF30" s="3591"/>
    </row>
    <row r="31" spans="1:35" s="35" customFormat="1" ht="10.5" customHeight="1">
      <c r="A31" s="926" t="s">
        <v>6555</v>
      </c>
      <c r="B31" s="927" t="s">
        <v>6553</v>
      </c>
      <c r="C31" s="928"/>
      <c r="D31" s="929"/>
      <c r="E31" s="1624">
        <f>$O$434</f>
        <v>0</v>
      </c>
      <c r="F31" s="4463">
        <f>$A$438</f>
        <v>0</v>
      </c>
      <c r="G31" s="4464"/>
      <c r="H31" s="4464"/>
      <c r="I31" s="4464"/>
      <c r="J31" s="4464"/>
      <c r="K31" s="4464"/>
      <c r="L31" s="4464"/>
      <c r="M31" s="4464"/>
      <c r="N31" s="4464"/>
      <c r="O31" s="4465"/>
      <c r="P31" s="1210"/>
      <c r="Q31" s="1964"/>
      <c r="R31" s="1628"/>
      <c r="S31" s="1628"/>
      <c r="X31" s="3591" t="s">
        <v>6563</v>
      </c>
      <c r="Y31" s="3591"/>
      <c r="Z31" s="3591"/>
      <c r="AA31" s="3591"/>
      <c r="AB31" s="3591"/>
      <c r="AC31" s="3591"/>
      <c r="AD31" s="3591" t="s">
        <v>6564</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5" t="s">
        <v>6124</v>
      </c>
      <c r="H33" s="4515"/>
      <c r="I33" s="4509" t="s">
        <v>6505</v>
      </c>
      <c r="J33" s="4510"/>
      <c r="K33" s="4510"/>
      <c r="L33" s="4511"/>
      <c r="M33" s="4576" t="s">
        <v>6137</v>
      </c>
      <c r="N33" s="4576"/>
      <c r="O33" s="4576"/>
      <c r="P33" s="4576"/>
      <c r="Q33" s="436"/>
      <c r="R33" s="436"/>
      <c r="S33" s="83" t="s">
        <v>6136</v>
      </c>
      <c r="T33" s="436"/>
      <c r="U33" s="436"/>
      <c r="V33" s="436"/>
      <c r="X33" s="4495" t="s">
        <v>6124</v>
      </c>
      <c r="Y33" s="4497"/>
      <c r="Z33" s="4495" t="s">
        <v>6505</v>
      </c>
      <c r="AA33" s="4496"/>
      <c r="AB33" s="4496"/>
      <c r="AC33" s="4497"/>
      <c r="AD33" s="4504" t="s">
        <v>6124</v>
      </c>
      <c r="AE33" s="4505"/>
      <c r="AF33" s="4506" t="s">
        <v>6505</v>
      </c>
      <c r="AG33" s="4504"/>
      <c r="AH33" s="4504"/>
      <c r="AI33" s="4505"/>
    </row>
    <row r="34" spans="1:46" s="115" customFormat="1" ht="11.25" customHeight="1">
      <c r="A34" s="44"/>
      <c r="B34" s="29"/>
      <c r="C34" s="44"/>
      <c r="D34" s="44"/>
      <c r="E34" s="44"/>
      <c r="F34" s="44"/>
      <c r="G34" s="1723">
        <v>0.09</v>
      </c>
      <c r="H34" s="1723">
        <v>0.04</v>
      </c>
      <c r="I34" s="1723">
        <v>0.04</v>
      </c>
      <c r="J34" s="1723" t="s">
        <v>6545</v>
      </c>
      <c r="K34" s="1723" t="s">
        <v>6546</v>
      </c>
      <c r="L34" s="1723" t="s">
        <v>6547</v>
      </c>
      <c r="M34" s="4498" t="str">
        <f>'Part I-Project Identification'!F12</f>
        <v>9% Credit Competitive Round only</v>
      </c>
      <c r="N34" s="4499"/>
      <c r="O34" s="4499"/>
      <c r="P34" s="4500"/>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7" t="s">
        <v>6561</v>
      </c>
      <c r="N40" s="4578"/>
      <c r="O40" s="4578"/>
      <c r="P40" s="4578"/>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7"/>
      <c r="N41" s="4578"/>
      <c r="O41" s="4578"/>
      <c r="P41" s="4578"/>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44</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1" t="s">
        <v>6736</v>
      </c>
      <c r="N52" s="4712"/>
      <c r="O52" s="4712"/>
      <c r="P52" s="4712"/>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1"/>
      <c r="N53" s="4712"/>
      <c r="O53" s="4712"/>
      <c r="P53" s="4712"/>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3"/>
      <c r="N54" s="4714"/>
      <c r="O54" s="4714"/>
      <c r="P54" s="4714"/>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9" t="s">
        <v>6711</v>
      </c>
      <c r="N55" s="4580"/>
      <c r="O55" s="4580"/>
      <c r="P55" s="4581"/>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2"/>
      <c r="N56" s="4583"/>
      <c r="O56" s="4583"/>
      <c r="P56" s="4584"/>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7" t="s">
        <v>6139</v>
      </c>
      <c r="N58" s="4578"/>
      <c r="O58" s="4578"/>
      <c r="P58" s="4578"/>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9"/>
      <c r="N59" s="4710"/>
      <c r="O59" s="4710"/>
      <c r="P59" s="4710"/>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40" t="s">
        <v>6712</v>
      </c>
      <c r="N60" s="4441"/>
      <c r="O60" s="4441"/>
      <c r="P60" s="4442"/>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3"/>
      <c r="N61" s="4444"/>
      <c r="O61" s="4444"/>
      <c r="P61" s="4445"/>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2" t="s">
        <v>3894</v>
      </c>
      <c r="D70" s="4493"/>
      <c r="E70" s="4493"/>
      <c r="F70" s="4493"/>
      <c r="G70" s="4493"/>
      <c r="H70" s="4493"/>
      <c r="I70" s="4493"/>
      <c r="J70" s="4493"/>
      <c r="K70" s="4493"/>
      <c r="L70" s="4493"/>
      <c r="M70" s="4493"/>
      <c r="N70" s="4493"/>
      <c r="O70" s="4493"/>
      <c r="P70" s="449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6" t="s">
        <v>6072</v>
      </c>
      <c r="B74" s="4406"/>
      <c r="C74" s="4406"/>
      <c r="D74" s="4406"/>
      <c r="E74" s="4406"/>
      <c r="F74" s="1176" t="s">
        <v>3390</v>
      </c>
      <c r="G74" s="4564" t="s">
        <v>6074</v>
      </c>
      <c r="H74" s="4564"/>
      <c r="I74" s="4564"/>
      <c r="J74" s="1176" t="s">
        <v>3390</v>
      </c>
      <c r="K74" s="4568" t="s">
        <v>6073</v>
      </c>
      <c r="L74" s="4568"/>
      <c r="M74" s="4568"/>
      <c r="N74" s="4568"/>
      <c r="O74" s="4562" t="s">
        <v>3390</v>
      </c>
      <c r="P74" s="4563"/>
      <c r="R74" s="356"/>
      <c r="S74" s="125"/>
    </row>
    <row r="75" spans="1:20" s="35" customFormat="1" ht="12.75" customHeight="1">
      <c r="A75" s="4561"/>
      <c r="B75" s="4561"/>
      <c r="C75" s="4561"/>
      <c r="D75" s="4561"/>
      <c r="E75" s="4561"/>
      <c r="F75" s="57">
        <f>SUM(F76:F87)</f>
        <v>0</v>
      </c>
      <c r="G75" s="4565"/>
      <c r="H75" s="4566"/>
      <c r="I75" s="4567"/>
      <c r="J75" s="57">
        <f>SUM(J76:J87)</f>
        <v>0</v>
      </c>
      <c r="K75" s="4569"/>
      <c r="L75" s="4570"/>
      <c r="M75" s="4570"/>
      <c r="N75" s="4571"/>
      <c r="O75" s="4552">
        <f>SUM(O76:O87)</f>
        <v>0</v>
      </c>
      <c r="P75" s="4553"/>
      <c r="Q75" s="356"/>
      <c r="R75" s="125"/>
    </row>
    <row r="76" spans="1:20" s="35" customFormat="1" ht="24.75" customHeight="1">
      <c r="A76" s="4554">
        <v>1</v>
      </c>
      <c r="B76" s="4555"/>
      <c r="C76" s="4555"/>
      <c r="D76" s="4555"/>
      <c r="E76" s="4556"/>
      <c r="F76" s="679"/>
      <c r="G76" s="4554">
        <v>1</v>
      </c>
      <c r="H76" s="4555"/>
      <c r="I76" s="4556"/>
      <c r="J76" s="682" t="s">
        <v>1610</v>
      </c>
      <c r="K76" s="4557">
        <v>1</v>
      </c>
      <c r="L76" s="4558"/>
      <c r="M76" s="4558"/>
      <c r="N76" s="4558"/>
      <c r="O76" s="4559" t="s">
        <v>1610</v>
      </c>
      <c r="P76" s="4560"/>
      <c r="Q76" s="354" t="s">
        <v>1180</v>
      </c>
      <c r="R76" s="125"/>
    </row>
    <row r="77" spans="1:20" s="35" customFormat="1" ht="24.75" customHeight="1">
      <c r="A77" s="4451">
        <v>2</v>
      </c>
      <c r="B77" s="4452"/>
      <c r="C77" s="4452"/>
      <c r="D77" s="4452"/>
      <c r="E77" s="4453"/>
      <c r="F77" s="680"/>
      <c r="G77" s="4451">
        <v>2</v>
      </c>
      <c r="H77" s="4452"/>
      <c r="I77" s="4453"/>
      <c r="J77" s="680"/>
      <c r="K77" s="4485">
        <v>2</v>
      </c>
      <c r="L77" s="4486"/>
      <c r="M77" s="4486"/>
      <c r="N77" s="4486"/>
      <c r="O77" s="4446"/>
      <c r="P77" s="4447"/>
      <c r="Q77" s="355"/>
      <c r="R77" s="125"/>
    </row>
    <row r="78" spans="1:20" s="35" customFormat="1" ht="24.75" customHeight="1">
      <c r="A78" s="4451">
        <v>3</v>
      </c>
      <c r="B78" s="4452"/>
      <c r="C78" s="4452"/>
      <c r="D78" s="4452"/>
      <c r="E78" s="4453"/>
      <c r="F78" s="680"/>
      <c r="G78" s="4451">
        <v>3</v>
      </c>
      <c r="H78" s="4452"/>
      <c r="I78" s="4453"/>
      <c r="J78" s="934" t="s">
        <v>2576</v>
      </c>
      <c r="K78" s="4485">
        <v>3</v>
      </c>
      <c r="L78" s="4486"/>
      <c r="M78" s="4486"/>
      <c r="N78" s="4486"/>
      <c r="O78" s="4672" t="s">
        <v>2576</v>
      </c>
      <c r="P78" s="4673"/>
      <c r="Q78" s="4715" t="s">
        <v>3808</v>
      </c>
      <c r="R78" s="4716"/>
      <c r="S78" s="1179"/>
      <c r="T78" s="1179"/>
    </row>
    <row r="79" spans="1:20" s="35" customFormat="1" ht="24.75" customHeight="1">
      <c r="A79" s="4451">
        <v>4</v>
      </c>
      <c r="B79" s="4452"/>
      <c r="C79" s="4452"/>
      <c r="D79" s="4452"/>
      <c r="E79" s="4453"/>
      <c r="F79" s="680"/>
      <c r="G79" s="4451">
        <v>4</v>
      </c>
      <c r="H79" s="4452"/>
      <c r="I79" s="4453"/>
      <c r="J79" s="680"/>
      <c r="K79" s="4485">
        <v>4</v>
      </c>
      <c r="L79" s="4486"/>
      <c r="M79" s="4486"/>
      <c r="N79" s="4486"/>
      <c r="O79" s="4672" t="s">
        <v>2576</v>
      </c>
      <c r="P79" s="4673"/>
      <c r="Q79" s="4715"/>
      <c r="R79" s="4716"/>
      <c r="S79" s="1179"/>
      <c r="T79" s="1179"/>
    </row>
    <row r="80" spans="1:20" s="35" customFormat="1" ht="24.75" customHeight="1">
      <c r="A80" s="4451">
        <v>5</v>
      </c>
      <c r="B80" s="4452"/>
      <c r="C80" s="4452"/>
      <c r="D80" s="4452"/>
      <c r="E80" s="4453"/>
      <c r="F80" s="680"/>
      <c r="G80" s="4451">
        <v>5</v>
      </c>
      <c r="H80" s="4452"/>
      <c r="I80" s="4453"/>
      <c r="J80" s="934" t="s">
        <v>3144</v>
      </c>
      <c r="K80" s="4485">
        <v>5</v>
      </c>
      <c r="L80" s="4486"/>
      <c r="M80" s="4486"/>
      <c r="N80" s="4486"/>
      <c r="O80" s="4446"/>
      <c r="P80" s="4447"/>
      <c r="Q80" s="4715"/>
      <c r="R80" s="4716"/>
      <c r="S80" s="1179"/>
      <c r="T80" s="1179"/>
    </row>
    <row r="81" spans="1:19" s="35" customFormat="1" ht="24" customHeight="1">
      <c r="A81" s="4451">
        <v>6</v>
      </c>
      <c r="B81" s="4452"/>
      <c r="C81" s="4452"/>
      <c r="D81" s="4452"/>
      <c r="E81" s="4453"/>
      <c r="F81" s="680"/>
      <c r="G81" s="4451">
        <v>6</v>
      </c>
      <c r="H81" s="4452"/>
      <c r="I81" s="4453"/>
      <c r="J81" s="680"/>
      <c r="K81" s="4485">
        <v>6</v>
      </c>
      <c r="L81" s="4486"/>
      <c r="M81" s="4486"/>
      <c r="N81" s="4486"/>
      <c r="O81" s="4446"/>
      <c r="P81" s="4447"/>
      <c r="Q81" s="4715"/>
      <c r="R81" s="4716"/>
    </row>
    <row r="82" spans="1:19" s="35" customFormat="1" ht="24.75" customHeight="1">
      <c r="A82" s="4451">
        <v>7</v>
      </c>
      <c r="B82" s="4452"/>
      <c r="C82" s="4452"/>
      <c r="D82" s="4452"/>
      <c r="E82" s="4453"/>
      <c r="F82" s="680"/>
      <c r="G82" s="4451">
        <v>7</v>
      </c>
      <c r="H82" s="4452"/>
      <c r="I82" s="4453"/>
      <c r="J82" s="934" t="s">
        <v>3145</v>
      </c>
      <c r="K82" s="4485">
        <v>7</v>
      </c>
      <c r="L82" s="4486"/>
      <c r="M82" s="4486"/>
      <c r="N82" s="4486"/>
      <c r="O82" s="4446"/>
      <c r="P82" s="4447"/>
      <c r="Q82" s="125"/>
      <c r="R82" s="125"/>
    </row>
    <row r="83" spans="1:19" s="35" customFormat="1" ht="24.75" customHeight="1">
      <c r="A83" s="4451">
        <v>8</v>
      </c>
      <c r="B83" s="4452"/>
      <c r="C83" s="4452"/>
      <c r="D83" s="4452"/>
      <c r="E83" s="4453"/>
      <c r="F83" s="680"/>
      <c r="G83" s="4451">
        <v>8</v>
      </c>
      <c r="H83" s="4452"/>
      <c r="I83" s="4453"/>
      <c r="J83" s="680"/>
      <c r="K83" s="4485">
        <v>8</v>
      </c>
      <c r="L83" s="4486"/>
      <c r="M83" s="4486"/>
      <c r="N83" s="4486"/>
      <c r="O83" s="4446"/>
      <c r="P83" s="4447"/>
      <c r="Q83" s="125"/>
      <c r="R83" s="125"/>
    </row>
    <row r="84" spans="1:19" s="35" customFormat="1" ht="24.75" customHeight="1">
      <c r="A84" s="4451">
        <v>9</v>
      </c>
      <c r="B84" s="4452"/>
      <c r="C84" s="4452"/>
      <c r="D84" s="4452"/>
      <c r="E84" s="4453"/>
      <c r="F84" s="680"/>
      <c r="G84" s="4451">
        <v>9</v>
      </c>
      <c r="H84" s="4452"/>
      <c r="I84" s="4453"/>
      <c r="J84" s="934" t="s">
        <v>3146</v>
      </c>
      <c r="K84" s="4485">
        <v>9</v>
      </c>
      <c r="L84" s="4486"/>
      <c r="M84" s="4486"/>
      <c r="N84" s="4486"/>
      <c r="O84" s="4446"/>
      <c r="P84" s="4447"/>
      <c r="Q84" s="125"/>
      <c r="R84" s="125"/>
    </row>
    <row r="85" spans="1:19" s="35" customFormat="1" ht="24.75" customHeight="1">
      <c r="A85" s="4451">
        <v>10</v>
      </c>
      <c r="B85" s="4452"/>
      <c r="C85" s="4452"/>
      <c r="D85" s="4452"/>
      <c r="E85" s="4453"/>
      <c r="F85" s="680"/>
      <c r="G85" s="4451">
        <v>10</v>
      </c>
      <c r="H85" s="4452"/>
      <c r="I85" s="4453"/>
      <c r="J85" s="680"/>
      <c r="K85" s="4485">
        <v>10</v>
      </c>
      <c r="L85" s="4486"/>
      <c r="M85" s="4486"/>
      <c r="N85" s="4486"/>
      <c r="O85" s="4446"/>
      <c r="P85" s="4447"/>
      <c r="Q85" s="125"/>
    </row>
    <row r="86" spans="1:19" s="35" customFormat="1" ht="24.75" customHeight="1">
      <c r="A86" s="4451">
        <v>11</v>
      </c>
      <c r="B86" s="4452"/>
      <c r="C86" s="4452"/>
      <c r="D86" s="4452"/>
      <c r="E86" s="4453"/>
      <c r="F86" s="680"/>
      <c r="G86" s="4451">
        <v>11</v>
      </c>
      <c r="H86" s="4452"/>
      <c r="I86" s="4453"/>
      <c r="J86" s="934" t="s">
        <v>3147</v>
      </c>
      <c r="K86" s="4451">
        <v>11</v>
      </c>
      <c r="L86" s="4452"/>
      <c r="M86" s="4452"/>
      <c r="N86" s="4453"/>
      <c r="O86" s="4446"/>
      <c r="P86" s="4447"/>
      <c r="Q86" s="125"/>
      <c r="R86" s="125"/>
    </row>
    <row r="87" spans="1:19" s="35" customFormat="1" ht="24.75" customHeight="1">
      <c r="A87" s="4471">
        <v>12</v>
      </c>
      <c r="B87" s="4472"/>
      <c r="C87" s="4472"/>
      <c r="D87" s="4472"/>
      <c r="E87" s="4473"/>
      <c r="F87" s="681"/>
      <c r="G87" s="4471">
        <v>12</v>
      </c>
      <c r="H87" s="4472"/>
      <c r="I87" s="4473"/>
      <c r="J87" s="681"/>
      <c r="K87" s="4471">
        <v>12</v>
      </c>
      <c r="L87" s="4472"/>
      <c r="M87" s="4472"/>
      <c r="N87" s="4473"/>
      <c r="O87" s="4474"/>
      <c r="P87" s="447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6" t="s">
        <v>3811</v>
      </c>
      <c r="C92" s="4706"/>
      <c r="D92" s="4706"/>
      <c r="E92" s="4706"/>
      <c r="F92" s="4706"/>
      <c r="G92" s="4706"/>
      <c r="H92" s="4706"/>
      <c r="I92" s="4706"/>
      <c r="J92" s="4706"/>
      <c r="K92" s="4706"/>
      <c r="L92" s="4706"/>
      <c r="M92" s="119"/>
      <c r="N92" s="5"/>
      <c r="Q92" s="5"/>
      <c r="R92" s="307"/>
    </row>
    <row r="93" spans="1:19" s="70" customFormat="1" ht="13.5" customHeight="1">
      <c r="B93" s="4706"/>
      <c r="C93" s="4706"/>
      <c r="D93" s="4706"/>
      <c r="E93" s="4706"/>
      <c r="F93" s="4706"/>
      <c r="G93" s="4706"/>
      <c r="H93" s="4706"/>
      <c r="I93" s="4706"/>
      <c r="J93" s="4706"/>
      <c r="K93" s="4706"/>
      <c r="L93" s="4706"/>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57.954545454545453</v>
      </c>
      <c r="L94" s="4655"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5"/>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6" t="s">
        <v>3815</v>
      </c>
      <c r="I97" s="4457"/>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5"/>
      <c r="B101" s="4206"/>
      <c r="C101" s="4206"/>
      <c r="D101" s="4206"/>
      <c r="E101" s="4206"/>
      <c r="F101" s="4206"/>
      <c r="G101" s="4206"/>
      <c r="H101" s="4206"/>
      <c r="I101" s="4206"/>
      <c r="J101" s="4206"/>
      <c r="K101" s="4206"/>
      <c r="L101" s="4206"/>
      <c r="M101" s="4206"/>
      <c r="N101" s="4206"/>
      <c r="O101" s="4206"/>
      <c r="P101" s="4207"/>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6" t="s">
        <v>4043</v>
      </c>
      <c r="J106" s="4477"/>
      <c r="K106" s="4477"/>
      <c r="L106" s="4478"/>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9"/>
      <c r="J107" s="4480"/>
      <c r="K107" s="4480"/>
      <c r="L107" s="4481"/>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2"/>
      <c r="J108" s="4483"/>
      <c r="K108" s="4483"/>
      <c r="L108" s="4484"/>
      <c r="M108" s="39"/>
      <c r="N108" s="47"/>
      <c r="O108" s="3"/>
      <c r="P108" s="24"/>
    </row>
    <row r="109" spans="1:18" s="36" customFormat="1" ht="90" customHeight="1" thickTop="1" thickBot="1">
      <c r="A109" s="4433"/>
      <c r="B109" s="4434"/>
      <c r="C109" s="4434"/>
      <c r="D109" s="4434"/>
      <c r="E109" s="4434"/>
      <c r="F109" s="4434"/>
      <c r="G109" s="4434"/>
      <c r="H109" s="4434"/>
      <c r="I109" s="4434"/>
      <c r="J109" s="4434"/>
      <c r="K109" s="4434"/>
      <c r="L109" s="4434"/>
      <c r="M109" s="4434"/>
      <c r="N109" s="4434"/>
      <c r="O109" s="4434"/>
      <c r="P109" s="443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5"/>
      <c r="B111" s="4206"/>
      <c r="C111" s="4206"/>
      <c r="D111" s="4206"/>
      <c r="E111" s="4206"/>
      <c r="F111" s="4206"/>
      <c r="G111" s="4206"/>
      <c r="H111" s="4206"/>
      <c r="I111" s="4206"/>
      <c r="J111" s="4206"/>
      <c r="K111" s="4206"/>
      <c r="L111" s="4206"/>
      <c r="M111" s="4206"/>
      <c r="N111" s="4206"/>
      <c r="O111" s="4206"/>
      <c r="P111" s="420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8" t="s">
        <v>3215</v>
      </c>
      <c r="G123" s="4538"/>
      <c r="H123" s="4538"/>
      <c r="I123" s="4538"/>
      <c r="J123" s="4538" t="s">
        <v>3216</v>
      </c>
      <c r="K123" s="4538"/>
      <c r="L123" s="4538"/>
      <c r="M123" s="4538"/>
      <c r="N123" s="48"/>
      <c r="O123" s="4539" t="s">
        <v>3884</v>
      </c>
      <c r="P123" s="4540"/>
      <c r="Q123" s="86"/>
      <c r="R123" s="879"/>
      <c r="S123" s="879"/>
      <c r="T123" s="879"/>
      <c r="U123" s="879"/>
    </row>
    <row r="124" spans="1:21" s="36" customFormat="1" ht="12" customHeight="1">
      <c r="B124" s="1839"/>
      <c r="C124" s="1182" t="s">
        <v>6570</v>
      </c>
      <c r="E124" s="223"/>
      <c r="F124" s="4489"/>
      <c r="G124" s="4490"/>
      <c r="H124" s="4454"/>
      <c r="I124" s="4455"/>
      <c r="J124" s="4489"/>
      <c r="K124" s="4490"/>
      <c r="L124" s="4454"/>
      <c r="M124" s="4455"/>
      <c r="N124" s="48"/>
      <c r="Q124" s="86"/>
      <c r="R124" s="879"/>
      <c r="S124" s="879"/>
      <c r="T124" s="879"/>
      <c r="U124" s="879"/>
    </row>
    <row r="125" spans="1:21" s="36" customFormat="1" ht="12" customHeight="1">
      <c r="A125" s="1839"/>
      <c r="B125" s="1839"/>
      <c r="C125" s="1839"/>
      <c r="D125" s="236"/>
      <c r="E125" s="1838" t="s">
        <v>6146</v>
      </c>
      <c r="F125" s="4656"/>
      <c r="G125" s="4657"/>
      <c r="H125" s="4663"/>
      <c r="I125" s="4664"/>
      <c r="J125" s="4656"/>
      <c r="K125" s="4657"/>
      <c r="L125" s="4663"/>
      <c r="M125" s="4664"/>
      <c r="N125" s="48"/>
      <c r="O125" s="1292"/>
      <c r="P125" s="916"/>
      <c r="Q125" s="86"/>
      <c r="R125" s="879"/>
      <c r="S125" s="879"/>
      <c r="T125" s="879"/>
      <c r="U125" s="879"/>
    </row>
    <row r="126" spans="1:21" s="36" customFormat="1" ht="12" customHeight="1">
      <c r="A126" s="4669" t="s">
        <v>6679</v>
      </c>
      <c r="B126" s="4669"/>
      <c r="C126" s="1182" t="s">
        <v>6569</v>
      </c>
      <c r="E126" s="223"/>
      <c r="F126" s="4658"/>
      <c r="G126" s="4659"/>
      <c r="H126" s="4674"/>
      <c r="I126" s="4675"/>
      <c r="J126" s="4658"/>
      <c r="K126" s="4659"/>
      <c r="L126" s="4674"/>
      <c r="M126" s="4675"/>
      <c r="N126" s="48"/>
      <c r="O126" s="48"/>
      <c r="P126" s="48"/>
      <c r="Q126" s="86"/>
      <c r="R126" s="879"/>
      <c r="S126" s="879"/>
      <c r="T126" s="879"/>
      <c r="U126" s="879"/>
    </row>
    <row r="127" spans="1:21" s="36" customFormat="1" ht="12" customHeight="1">
      <c r="A127" s="4669"/>
      <c r="B127" s="4669"/>
      <c r="C127" s="236"/>
      <c r="D127" s="236"/>
      <c r="E127" s="1838" t="s">
        <v>3365</v>
      </c>
      <c r="F127" s="4535"/>
      <c r="G127" s="4536"/>
      <c r="H127" s="4661"/>
      <c r="I127" s="4662"/>
      <c r="J127" s="4535"/>
      <c r="K127" s="4536"/>
      <c r="L127" s="4661"/>
      <c r="M127" s="4662"/>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5" t="str">
        <f>IF(AND(O131&gt;0,O138&gt;0),"Pick A or B, not both!","")</f>
        <v/>
      </c>
      <c r="J129" s="4665"/>
      <c r="K129" s="4665" t="str">
        <f>IF(AND(P131&gt;0,P138&gt;0),"Pick A or B, not both!","")</f>
        <v/>
      </c>
      <c r="L129" s="466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7" t="s">
        <v>6677</v>
      </c>
      <c r="D133" s="4537"/>
      <c r="E133" s="4537"/>
      <c r="F133" s="4537"/>
      <c r="G133" s="4537"/>
      <c r="H133" s="4537"/>
      <c r="I133" s="4537"/>
      <c r="J133" s="4537"/>
      <c r="K133" s="4537"/>
      <c r="L133" s="4537"/>
      <c r="M133" s="1848">
        <v>6</v>
      </c>
      <c r="N133" s="374" t="s">
        <v>1844</v>
      </c>
      <c r="O133" s="1910"/>
      <c r="P133" s="1911"/>
      <c r="Q133" s="1212"/>
      <c r="R133" s="795" t="s">
        <v>4058</v>
      </c>
    </row>
    <row r="134" spans="1:21" s="332" customFormat="1" ht="12" customHeight="1">
      <c r="A134" s="456" t="s">
        <v>1275</v>
      </c>
      <c r="B134" s="350" t="s">
        <v>1846</v>
      </c>
      <c r="C134" s="3576" t="s">
        <v>6678</v>
      </c>
      <c r="D134" s="3576"/>
      <c r="E134" s="3576"/>
      <c r="F134" s="3576"/>
      <c r="G134" s="866"/>
      <c r="J134" s="4541" t="s">
        <v>6674</v>
      </c>
      <c r="K134" s="4542"/>
      <c r="L134" s="4543"/>
      <c r="M134" s="458">
        <v>5</v>
      </c>
      <c r="N134" s="348" t="s">
        <v>1846</v>
      </c>
      <c r="O134" s="1923"/>
      <c r="P134" s="1924"/>
      <c r="Q134" s="1810" t="s">
        <v>6670</v>
      </c>
      <c r="R134" s="1176" t="s">
        <v>6263</v>
      </c>
      <c r="S134" s="1176" t="s">
        <v>6144</v>
      </c>
    </row>
    <row r="135" spans="1:21" s="332" customFormat="1" ht="12" customHeight="1">
      <c r="B135" s="350"/>
      <c r="C135" s="3576"/>
      <c r="D135" s="3576"/>
      <c r="E135" s="3576"/>
      <c r="F135" s="3576"/>
      <c r="G135" s="866"/>
      <c r="H135" s="3368" t="s">
        <v>6672</v>
      </c>
      <c r="I135" s="3368"/>
      <c r="J135" s="4544"/>
      <c r="K135" s="4545"/>
      <c r="L135" s="4546"/>
      <c r="M135" s="4259" t="str">
        <f>IF(AND(O134&gt;0,O133&gt;0),"Pick A1 or A2!","")</f>
        <v/>
      </c>
      <c r="N135" s="4259"/>
      <c r="O135" s="4259"/>
      <c r="P135" s="4259"/>
      <c r="Q135" s="798"/>
      <c r="R135" s="1549">
        <v>0.25</v>
      </c>
      <c r="S135" s="1549">
        <v>5</v>
      </c>
    </row>
    <row r="136" spans="1:21" s="332" customFormat="1" ht="12" customHeight="1">
      <c r="B136" s="350"/>
      <c r="C136" s="3576"/>
      <c r="D136" s="3576"/>
      <c r="E136" s="3576"/>
      <c r="F136" s="3576"/>
      <c r="G136" s="866"/>
      <c r="H136" s="1769"/>
      <c r="I136" s="1904"/>
      <c r="J136" s="4544"/>
      <c r="K136" s="4545"/>
      <c r="L136" s="4546"/>
      <c r="Q136" s="798"/>
      <c r="R136" s="1549">
        <v>0.5</v>
      </c>
      <c r="S136" s="1549">
        <v>4.5</v>
      </c>
    </row>
    <row r="137" spans="1:21" s="332" customFormat="1" ht="12" customHeight="1">
      <c r="B137" s="350"/>
      <c r="C137" s="3576"/>
      <c r="D137" s="3576"/>
      <c r="E137" s="3576"/>
      <c r="F137" s="3576"/>
      <c r="G137" s="866"/>
      <c r="J137" s="4544"/>
      <c r="K137" s="4545"/>
      <c r="L137" s="4546"/>
      <c r="M137" s="70"/>
      <c r="N137" s="70"/>
      <c r="O137" s="70"/>
      <c r="P137" s="70"/>
      <c r="Q137" s="397"/>
      <c r="R137" s="1550">
        <v>1</v>
      </c>
      <c r="S137" s="1550">
        <v>4</v>
      </c>
    </row>
    <row r="138" spans="1:21" s="332" customFormat="1" ht="12" customHeight="1">
      <c r="A138" s="112" t="s">
        <v>1843</v>
      </c>
      <c r="B138" s="897" t="s">
        <v>3238</v>
      </c>
      <c r="C138" s="503"/>
      <c r="D138" s="503"/>
      <c r="F138" s="1902" t="s">
        <v>6669</v>
      </c>
      <c r="J138" s="4466" t="s">
        <v>3235</v>
      </c>
      <c r="K138" s="4467"/>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6" t="s">
        <v>6684</v>
      </c>
      <c r="D139" s="3576"/>
      <c r="E139" s="3576"/>
      <c r="F139" s="3576"/>
      <c r="G139" s="866"/>
      <c r="H139" s="3368" t="s">
        <v>6673</v>
      </c>
      <c r="I139" s="3368"/>
      <c r="J139" s="4468" t="s">
        <v>6689</v>
      </c>
      <c r="K139" s="4469"/>
      <c r="L139" s="4470"/>
      <c r="M139" s="458">
        <v>3</v>
      </c>
      <c r="N139" s="348" t="s">
        <v>1844</v>
      </c>
      <c r="O139" s="4704"/>
      <c r="P139" s="4707"/>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1" t="s">
        <v>6565</v>
      </c>
      <c r="K140" s="4692"/>
      <c r="L140" s="4693"/>
      <c r="M140" s="70"/>
      <c r="O140" s="4705"/>
      <c r="P140" s="4708"/>
      <c r="Q140" s="86"/>
      <c r="R140" s="1550">
        <v>1</v>
      </c>
      <c r="S140" s="1550">
        <v>1</v>
      </c>
      <c r="U140" s="332"/>
    </row>
    <row r="141" spans="1:21" s="36" customFormat="1" ht="11.25" customHeight="1">
      <c r="A141" s="456" t="s">
        <v>1275</v>
      </c>
      <c r="B141" s="1632" t="s">
        <v>1846</v>
      </c>
      <c r="C141" s="3576" t="s">
        <v>6676</v>
      </c>
      <c r="D141" s="3576"/>
      <c r="E141" s="3576"/>
      <c r="F141" s="3576"/>
      <c r="G141" s="3576"/>
      <c r="H141" s="3576"/>
      <c r="I141" s="1903"/>
      <c r="J141" s="4694"/>
      <c r="K141" s="4695"/>
      <c r="L141" s="4696"/>
      <c r="M141" s="458">
        <v>1</v>
      </c>
      <c r="N141" s="348" t="s">
        <v>1846</v>
      </c>
      <c r="O141" s="4491"/>
      <c r="P141" s="4668"/>
      <c r="U141" s="332"/>
    </row>
    <row r="142" spans="1:21" s="36" customFormat="1" ht="11.25" customHeight="1">
      <c r="B142" s="1906"/>
      <c r="C142" s="3576"/>
      <c r="D142" s="3576"/>
      <c r="E142" s="3576"/>
      <c r="F142" s="3576"/>
      <c r="G142" s="3576"/>
      <c r="H142" s="3576"/>
      <c r="I142" s="1903"/>
      <c r="J142" s="4697"/>
      <c r="K142" s="4698"/>
      <c r="L142" s="4699"/>
      <c r="O142" s="4491"/>
      <c r="P142" s="4668"/>
      <c r="T142" s="332"/>
      <c r="U142" s="332"/>
    </row>
    <row r="143" spans="1:21" s="332" customFormat="1" ht="12" customHeight="1">
      <c r="A143" s="1631" t="s">
        <v>1275</v>
      </c>
      <c r="B143" s="1632" t="s">
        <v>2332</v>
      </c>
      <c r="C143" s="3576" t="s">
        <v>6675</v>
      </c>
      <c r="D143" s="3576"/>
      <c r="E143" s="3576"/>
      <c r="F143" s="3576"/>
      <c r="G143" s="3576"/>
      <c r="H143" s="3576"/>
      <c r="I143" s="4703"/>
      <c r="J143" s="4691" t="s">
        <v>6566</v>
      </c>
      <c r="K143" s="4692"/>
      <c r="L143" s="4693"/>
      <c r="M143" s="1848">
        <v>2</v>
      </c>
      <c r="N143" s="374" t="s">
        <v>2332</v>
      </c>
      <c r="O143" s="4666"/>
      <c r="P143" s="4487"/>
      <c r="Q143" s="798"/>
      <c r="R143" s="795"/>
    </row>
    <row r="144" spans="1:21" s="36" customFormat="1" ht="36.75" customHeight="1">
      <c r="C144" s="3576"/>
      <c r="D144" s="3576"/>
      <c r="E144" s="3576"/>
      <c r="F144" s="3576"/>
      <c r="G144" s="3576"/>
      <c r="H144" s="3576"/>
      <c r="I144" s="4703"/>
      <c r="J144" s="4700"/>
      <c r="K144" s="4701"/>
      <c r="L144" s="4702"/>
      <c r="O144" s="4667"/>
      <c r="P144" s="4488"/>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3"/>
      <c r="B147" s="4434"/>
      <c r="C147" s="4434"/>
      <c r="D147" s="4434"/>
      <c r="E147" s="4434"/>
      <c r="F147" s="4434"/>
      <c r="G147" s="4434"/>
      <c r="H147" s="4434"/>
      <c r="I147" s="4434"/>
      <c r="J147" s="4434"/>
      <c r="K147" s="4434"/>
      <c r="L147" s="4434"/>
      <c r="M147" s="4434"/>
      <c r="N147" s="4434"/>
      <c r="O147" s="4434"/>
      <c r="P147" s="443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5"/>
      <c r="B149" s="4206"/>
      <c r="C149" s="4206"/>
      <c r="D149" s="4206"/>
      <c r="E149" s="4206"/>
      <c r="F149" s="4206"/>
      <c r="G149" s="4206"/>
      <c r="H149" s="4206"/>
      <c r="I149" s="4206"/>
      <c r="J149" s="4206"/>
      <c r="K149" s="4206"/>
      <c r="L149" s="4206"/>
      <c r="M149" s="4206"/>
      <c r="N149" s="4206"/>
      <c r="O149" s="4206"/>
      <c r="P149" s="420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8" t="s">
        <v>6889</v>
      </c>
      <c r="K154" s="4689"/>
      <c r="L154" s="4689"/>
      <c r="M154" s="4690"/>
      <c r="N154"/>
      <c r="O154"/>
      <c r="P154"/>
    </row>
    <row r="155" spans="1:19" ht="12.75" customHeight="1">
      <c r="B155" s="430"/>
      <c r="C155" s="430"/>
      <c r="D155" s="430"/>
      <c r="F155" s="4202" t="s">
        <v>6627</v>
      </c>
      <c r="G155" s="4202"/>
      <c r="H155" s="4202" t="s">
        <v>6269</v>
      </c>
      <c r="I155" s="4202"/>
      <c r="J155" s="4676" t="s">
        <v>6628</v>
      </c>
      <c r="K155" s="4677"/>
      <c r="L155" s="4679" t="s">
        <v>6888</v>
      </c>
      <c r="M155" s="4680"/>
      <c r="N155" s="44"/>
      <c r="O155" s="1866"/>
      <c r="P155" s="1867"/>
    </row>
    <row r="156" spans="1:19" ht="30.75" customHeight="1">
      <c r="B156" s="430"/>
      <c r="C156" s="430"/>
      <c r="D156" s="430"/>
      <c r="F156" s="4202"/>
      <c r="G156" s="4202"/>
      <c r="H156" s="4202"/>
      <c r="I156" s="4202"/>
      <c r="J156" s="4678"/>
      <c r="K156" s="4677"/>
      <c r="L156" s="4202"/>
      <c r="M156" s="4681"/>
      <c r="N156" s="44"/>
      <c r="O156" s="1868"/>
      <c r="P156" s="1867"/>
    </row>
    <row r="157" spans="1:19" ht="12" customHeight="1">
      <c r="B157" s="81" t="s">
        <v>6629</v>
      </c>
      <c r="C157" s="889"/>
      <c r="D157" s="36"/>
      <c r="F157" s="4324"/>
      <c r="G157" s="4324"/>
      <c r="H157" s="4324"/>
      <c r="I157" s="4324"/>
      <c r="J157" s="4678"/>
      <c r="K157" s="4677"/>
      <c r="L157" s="4324"/>
      <c r="M157" s="4682"/>
      <c r="N157" s="44"/>
      <c r="O157" s="1868"/>
      <c r="P157" s="1867"/>
    </row>
    <row r="158" spans="1:19">
      <c r="B158" s="4683"/>
      <c r="C158" s="4684"/>
      <c r="D158" s="4684"/>
      <c r="E158" s="4685"/>
      <c r="F158" s="4683"/>
      <c r="G158" s="4685"/>
      <c r="H158" s="4683"/>
      <c r="I158" s="4685"/>
      <c r="J158" s="4686"/>
      <c r="K158" s="4687"/>
      <c r="L158" s="4686"/>
      <c r="M158" s="4687"/>
      <c r="N158" s="4725"/>
      <c r="O158" s="4726"/>
    </row>
    <row r="159" spans="1:19">
      <c r="B159" s="4516"/>
      <c r="C159" s="4517"/>
      <c r="D159" s="4517"/>
      <c r="E159" s="4518"/>
      <c r="F159" s="4516"/>
      <c r="G159" s="4518"/>
      <c r="H159" s="4516"/>
      <c r="I159" s="4518"/>
      <c r="J159" s="4670"/>
      <c r="K159" s="4671"/>
      <c r="L159" s="4670"/>
      <c r="M159" s="4671"/>
      <c r="N159" s="4547"/>
      <c r="O159" s="4548"/>
    </row>
    <row r="160" spans="1:19">
      <c r="B160" s="4516"/>
      <c r="C160" s="4517"/>
      <c r="D160" s="4517"/>
      <c r="E160" s="4518"/>
      <c r="F160" s="4516"/>
      <c r="G160" s="4518"/>
      <c r="H160" s="4516"/>
      <c r="I160" s="4518"/>
      <c r="J160" s="4670"/>
      <c r="K160" s="4671"/>
      <c r="L160" s="4670"/>
      <c r="M160" s="4671"/>
      <c r="N160" s="4547"/>
      <c r="O160" s="4548"/>
    </row>
    <row r="161" spans="1:26">
      <c r="B161" s="4516"/>
      <c r="C161" s="4517"/>
      <c r="D161" s="4517"/>
      <c r="E161" s="4518"/>
      <c r="F161" s="4516"/>
      <c r="G161" s="4518"/>
      <c r="H161" s="4516"/>
      <c r="I161" s="4518"/>
      <c r="J161" s="4670"/>
      <c r="K161" s="4671"/>
      <c r="L161" s="4670"/>
      <c r="M161" s="4671"/>
      <c r="N161" s="4547"/>
      <c r="O161" s="4548"/>
    </row>
    <row r="162" spans="1:26">
      <c r="B162" s="4516"/>
      <c r="C162" s="4517"/>
      <c r="D162" s="4517"/>
      <c r="E162" s="4518"/>
      <c r="F162" s="4516"/>
      <c r="G162" s="4518"/>
      <c r="H162" s="4516"/>
      <c r="I162" s="4518"/>
      <c r="J162" s="4670"/>
      <c r="K162" s="4671"/>
      <c r="L162" s="4670"/>
      <c r="M162" s="4671"/>
      <c r="N162" s="4547"/>
      <c r="O162" s="4548"/>
    </row>
    <row r="163" spans="1:26">
      <c r="B163" s="4718"/>
      <c r="C163" s="4719"/>
      <c r="D163" s="4719"/>
      <c r="E163" s="4720"/>
      <c r="F163" s="4718"/>
      <c r="G163" s="4720"/>
      <c r="H163" s="4718"/>
      <c r="I163" s="4720"/>
      <c r="J163" s="4721"/>
      <c r="K163" s="4722"/>
      <c r="L163" s="4721"/>
      <c r="M163" s="4722"/>
      <c r="N163" s="4723"/>
      <c r="O163" s="4724"/>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3"/>
      <c r="B165" s="4434"/>
      <c r="C165" s="4434"/>
      <c r="D165" s="4434"/>
      <c r="E165" s="4434"/>
      <c r="F165" s="4434"/>
      <c r="G165" s="4434"/>
      <c r="H165" s="4434"/>
      <c r="I165" s="4434"/>
      <c r="J165" s="4434"/>
      <c r="K165" s="4434"/>
      <c r="L165" s="4434"/>
      <c r="M165" s="4434"/>
      <c r="N165" s="4434"/>
      <c r="O165" s="4434"/>
      <c r="P165" s="443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3"/>
      <c r="B167" s="4234"/>
      <c r="C167" s="4234"/>
      <c r="D167" s="4234"/>
      <c r="E167" s="4234"/>
      <c r="F167" s="4234"/>
      <c r="G167" s="4234"/>
      <c r="H167" s="4234"/>
      <c r="I167" s="4234"/>
      <c r="J167" s="4234"/>
      <c r="K167" s="4234"/>
      <c r="L167" s="4234"/>
      <c r="M167" s="4234"/>
      <c r="N167" s="4234"/>
      <c r="O167" s="4234"/>
      <c r="P167" s="423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4" t="s">
        <v>6680</v>
      </c>
      <c r="D173" s="4194"/>
      <c r="E173" s="4194"/>
      <c r="F173" s="4194"/>
      <c r="G173" s="4194"/>
      <c r="H173" s="4194"/>
      <c r="I173" s="4194"/>
      <c r="J173" s="4194"/>
      <c r="K173" s="4194"/>
      <c r="L173" s="128"/>
      <c r="M173" s="4660" t="s">
        <v>6090</v>
      </c>
      <c r="N173" s="4660"/>
      <c r="O173" s="4660"/>
      <c r="P173" s="4660"/>
      <c r="S173" s="1628"/>
      <c r="T173" s="1628"/>
      <c r="U173" s="1628"/>
      <c r="V173" s="334"/>
      <c r="W173" s="334"/>
      <c r="X173" s="334"/>
      <c r="Y173" s="334"/>
      <c r="Z173" s="334"/>
    </row>
    <row r="174" spans="1:26" s="36" customFormat="1" ht="12.75" customHeight="1">
      <c r="A174" s="305"/>
      <c r="B174" s="49"/>
      <c r="C174" s="4194"/>
      <c r="D174" s="4194"/>
      <c r="E174" s="4194"/>
      <c r="F174" s="4194"/>
      <c r="G174" s="4194"/>
      <c r="H174" s="4194"/>
      <c r="I174" s="4194"/>
      <c r="J174" s="4194"/>
      <c r="K174" s="4194"/>
      <c r="L174" s="128" t="s">
        <v>2240</v>
      </c>
      <c r="M174" s="4652" t="s">
        <v>3286</v>
      </c>
      <c r="N174" s="4653"/>
      <c r="O174" s="4653"/>
      <c r="P174" s="4654"/>
      <c r="S174" s="1628"/>
      <c r="T174" s="1628"/>
      <c r="U174" s="1628"/>
    </row>
    <row r="175" spans="1:26" s="26" customFormat="1" ht="12.75" customHeight="1">
      <c r="B175" s="49" t="s">
        <v>2241</v>
      </c>
      <c r="C175" s="29" t="s">
        <v>3956</v>
      </c>
      <c r="D175" s="29"/>
      <c r="E175" s="29"/>
      <c r="F175" s="29"/>
      <c r="G175" s="29"/>
      <c r="H175" s="29"/>
      <c r="L175" s="49" t="s">
        <v>2241</v>
      </c>
      <c r="M175" s="4468" t="s">
        <v>3286</v>
      </c>
      <c r="N175" s="4469"/>
      <c r="O175" s="4469"/>
      <c r="P175" s="4470"/>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8" t="s">
        <v>3286</v>
      </c>
      <c r="N176" s="4469"/>
      <c r="O176" s="4469"/>
      <c r="P176" s="4470"/>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7" t="s">
        <v>3286</v>
      </c>
      <c r="N177" s="4608"/>
      <c r="O177" s="4608"/>
      <c r="P177" s="460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4" t="s">
        <v>6178</v>
      </c>
      <c r="D180" s="4194"/>
      <c r="E180" s="4194"/>
      <c r="F180" s="4194"/>
      <c r="G180" s="4194"/>
      <c r="H180" s="4194"/>
      <c r="I180" s="4194"/>
      <c r="J180" s="4194"/>
      <c r="K180" s="4194"/>
      <c r="L180" s="4194"/>
      <c r="M180" s="1848">
        <v>1</v>
      </c>
      <c r="N180" s="128" t="s">
        <v>4076</v>
      </c>
      <c r="O180" s="1636"/>
      <c r="P180" s="1640"/>
      <c r="Q180" s="1212" t="str">
        <f>IF(OR($O180=$M180,$O180=0,$O180=""),"","*CHECK!*")</f>
        <v/>
      </c>
      <c r="R180" s="795" t="s">
        <v>4058</v>
      </c>
    </row>
    <row r="181" spans="1:26" ht="36.75" customHeight="1">
      <c r="A181" s="396"/>
      <c r="B181" s="117" t="s">
        <v>2241</v>
      </c>
      <c r="C181" s="4194" t="s">
        <v>6179</v>
      </c>
      <c r="D181" s="4194"/>
      <c r="E181" s="4194"/>
      <c r="F181" s="4194"/>
      <c r="G181" s="4194"/>
      <c r="H181" s="4194"/>
      <c r="I181" s="4194"/>
      <c r="J181" s="4194"/>
      <c r="K181" s="4194"/>
      <c r="L181" s="4194"/>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3"/>
      <c r="B186" s="4434"/>
      <c r="C186" s="4434"/>
      <c r="D186" s="4434"/>
      <c r="E186" s="4434"/>
      <c r="F186" s="4434"/>
      <c r="G186" s="4434"/>
      <c r="H186" s="4434"/>
      <c r="I186" s="4434"/>
      <c r="J186" s="4434"/>
      <c r="K186" s="4434"/>
      <c r="L186" s="4434"/>
      <c r="M186" s="4434"/>
      <c r="N186" s="4434"/>
      <c r="O186" s="4434"/>
      <c r="P186" s="443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3"/>
      <c r="B188" s="4234"/>
      <c r="C188" s="4234"/>
      <c r="D188" s="4234"/>
      <c r="E188" s="4234"/>
      <c r="F188" s="4234"/>
      <c r="G188" s="4234"/>
      <c r="H188" s="4234"/>
      <c r="I188" s="4234"/>
      <c r="J188" s="4234"/>
      <c r="K188" s="4234"/>
      <c r="L188" s="4234"/>
      <c r="M188" s="4234"/>
      <c r="N188" s="4234"/>
      <c r="O188" s="4234"/>
      <c r="P188" s="423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4" t="s">
        <v>6207</v>
      </c>
      <c r="D194" s="4194"/>
      <c r="E194" s="4194"/>
      <c r="F194" s="4194"/>
      <c r="G194" s="4194"/>
      <c r="H194" s="4194"/>
      <c r="I194" s="4194"/>
      <c r="J194" s="4194"/>
      <c r="K194" s="4194"/>
      <c r="L194" s="4194"/>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4" t="s">
        <v>6211</v>
      </c>
      <c r="D196" s="4194"/>
      <c r="E196" s="4194"/>
      <c r="F196" s="4194"/>
      <c r="G196" s="4194"/>
      <c r="H196" s="4194"/>
      <c r="I196" s="4194"/>
      <c r="J196" s="4194"/>
      <c r="K196" s="4194"/>
      <c r="L196" s="4194"/>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4" t="s">
        <v>6212</v>
      </c>
      <c r="D198" s="4194"/>
      <c r="E198" s="4194"/>
      <c r="F198" s="4194"/>
      <c r="G198" s="4194"/>
      <c r="H198" s="4194"/>
      <c r="I198" s="4194"/>
      <c r="J198" s="4194"/>
      <c r="K198" s="4194"/>
      <c r="L198" s="4194"/>
      <c r="M198" s="884" t="s">
        <v>1962</v>
      </c>
      <c r="N198" s="317" t="s">
        <v>1844</v>
      </c>
      <c r="O198" s="894"/>
      <c r="P198" s="893"/>
      <c r="Q198" s="947"/>
      <c r="V198" s="1599"/>
      <c r="W198" s="1599"/>
    </row>
    <row r="199" spans="1:24" s="26" customFormat="1" ht="23.25" customHeight="1">
      <c r="A199" s="396"/>
      <c r="B199" s="350" t="s">
        <v>1846</v>
      </c>
      <c r="C199" s="4194" t="s">
        <v>6253</v>
      </c>
      <c r="D199" s="4194"/>
      <c r="E199" s="4194"/>
      <c r="F199" s="4194"/>
      <c r="G199" s="4194"/>
      <c r="H199" s="4194"/>
      <c r="I199" s="4194"/>
      <c r="J199" s="4194"/>
      <c r="K199" s="4194"/>
      <c r="L199" s="4194"/>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6"/>
      <c r="B201" s="4587"/>
      <c r="C201" s="4587"/>
      <c r="D201" s="4587"/>
      <c r="E201" s="4587"/>
      <c r="F201" s="4587"/>
      <c r="G201" s="4587"/>
      <c r="H201" s="4587"/>
      <c r="I201" s="4587"/>
      <c r="J201" s="4587"/>
      <c r="K201" s="4587"/>
      <c r="L201" s="4587"/>
      <c r="M201" s="4587"/>
      <c r="N201" s="4587"/>
      <c r="O201" s="4587"/>
      <c r="P201" s="458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2"/>
      <c r="B203" s="4493"/>
      <c r="C203" s="4493"/>
      <c r="D203" s="4493"/>
      <c r="E203" s="4493"/>
      <c r="F203" s="4493"/>
      <c r="G203" s="4493"/>
      <c r="H203" s="4493"/>
      <c r="I203" s="4493"/>
      <c r="J203" s="4493"/>
      <c r="K203" s="4493"/>
      <c r="L203" s="4493"/>
      <c r="M203" s="4493"/>
      <c r="N203" s="4493"/>
      <c r="O203" s="4493"/>
      <c r="P203" s="449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1" t="s">
        <v>3204</v>
      </c>
      <c r="K208" s="4632"/>
      <c r="L208" s="4633"/>
      <c r="M208" s="4634"/>
      <c r="N208" s="53"/>
      <c r="R208" s="86"/>
      <c r="S208" s="70"/>
    </row>
    <row r="209" spans="1:27" ht="12.75" customHeight="1">
      <c r="C209" s="685" t="s">
        <v>6255</v>
      </c>
      <c r="D209" s="44"/>
      <c r="J209" s="4604"/>
      <c r="K209" s="4605"/>
      <c r="L209" s="4605"/>
      <c r="M209" s="4606"/>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6" t="s">
        <v>6218</v>
      </c>
      <c r="F212" s="4436"/>
      <c r="G212" s="4436"/>
      <c r="H212" s="4436"/>
      <c r="I212" s="1203" t="s">
        <v>6245</v>
      </c>
      <c r="J212" s="4436" t="s">
        <v>6218</v>
      </c>
      <c r="K212" s="4436"/>
      <c r="L212" s="4436"/>
      <c r="M212" s="4436"/>
      <c r="N212"/>
      <c r="O212"/>
      <c r="P212"/>
    </row>
    <row r="213" spans="1:27" ht="13.5" customHeight="1">
      <c r="B213" s="400"/>
      <c r="C213" s="29" t="s">
        <v>6216</v>
      </c>
      <c r="E213" s="4437"/>
      <c r="F213" s="4438"/>
      <c r="G213" s="4438"/>
      <c r="H213" s="4439"/>
      <c r="I213" s="1869" t="s">
        <v>906</v>
      </c>
      <c r="J213" s="4601"/>
      <c r="K213" s="4602"/>
      <c r="L213" s="4602"/>
      <c r="M213" s="4603"/>
      <c r="N213"/>
      <c r="Q213" s="24"/>
      <c r="R213" s="24"/>
      <c r="S213" s="24"/>
      <c r="T213" s="24"/>
      <c r="U213" s="24"/>
      <c r="V213" s="24"/>
      <c r="W213" s="24"/>
      <c r="X213" s="24"/>
      <c r="Y213" s="24"/>
      <c r="Z213" s="24"/>
      <c r="AA213" s="1870"/>
    </row>
    <row r="214" spans="1:27" ht="13.5" customHeight="1">
      <c r="C214" s="29" t="s">
        <v>6217</v>
      </c>
      <c r="E214" s="4549"/>
      <c r="F214" s="4550"/>
      <c r="G214" s="4550"/>
      <c r="H214" s="4551"/>
      <c r="I214" s="1908"/>
      <c r="J214" s="4430"/>
      <c r="K214" s="4431"/>
      <c r="L214" s="4431"/>
      <c r="M214" s="4432"/>
      <c r="N214" s="1212" t="str">
        <f>IF(P211&lt;=N211,"","*CHECK!*")</f>
        <v/>
      </c>
      <c r="Q214" s="24"/>
      <c r="R214" s="24"/>
      <c r="S214" s="24"/>
      <c r="T214" s="24"/>
      <c r="U214" s="24"/>
      <c r="V214" s="24"/>
      <c r="W214" s="24"/>
      <c r="X214" s="24"/>
      <c r="Y214" s="24"/>
      <c r="Z214" s="24"/>
      <c r="AA214" s="1870"/>
    </row>
    <row r="215" spans="1:27" ht="13.5" customHeight="1">
      <c r="B215" s="400"/>
      <c r="C215" s="29" t="s">
        <v>6214</v>
      </c>
      <c r="E215" s="4549"/>
      <c r="F215" s="4550"/>
      <c r="G215" s="4550"/>
      <c r="H215" s="4551"/>
      <c r="I215" s="1908"/>
      <c r="J215" s="4430"/>
      <c r="K215" s="4431"/>
      <c r="L215" s="4431"/>
      <c r="M215" s="4432"/>
      <c r="N215"/>
      <c r="Q215" s="24"/>
      <c r="R215" s="24"/>
      <c r="S215" s="24"/>
      <c r="T215" s="24"/>
      <c r="U215" s="24"/>
      <c r="V215" s="24"/>
      <c r="W215" s="24"/>
      <c r="X215" s="24"/>
      <c r="Y215" s="24"/>
      <c r="Z215" s="24"/>
      <c r="AA215" s="1870"/>
    </row>
    <row r="216" spans="1:27" ht="13.5" customHeight="1">
      <c r="B216" s="44"/>
      <c r="C216" s="29" t="s">
        <v>6215</v>
      </c>
      <c r="E216" s="4592"/>
      <c r="F216" s="4593"/>
      <c r="G216" s="4593"/>
      <c r="H216" s="4594"/>
      <c r="I216" s="1909"/>
      <c r="J216" s="4598"/>
      <c r="K216" s="4599"/>
      <c r="L216" s="4599"/>
      <c r="M216" s="4600"/>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3"/>
      <c r="B220" s="4434"/>
      <c r="C220" s="4434"/>
      <c r="D220" s="4434"/>
      <c r="E220" s="4434"/>
      <c r="F220" s="4434"/>
      <c r="G220" s="4434"/>
      <c r="H220" s="4434"/>
      <c r="I220" s="4434"/>
      <c r="J220" s="4434"/>
      <c r="K220" s="4434"/>
      <c r="L220" s="4434"/>
      <c r="M220" s="4434"/>
      <c r="N220" s="4434"/>
      <c r="O220" s="4434"/>
      <c r="P220" s="443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2"/>
      <c r="B223" s="4493"/>
      <c r="C223" s="4493"/>
      <c r="D223" s="4493"/>
      <c r="E223" s="4493"/>
      <c r="F223" s="4493"/>
      <c r="G223" s="4493"/>
      <c r="H223" s="4493"/>
      <c r="I223" s="4493"/>
      <c r="J223" s="4493"/>
      <c r="K223" s="4493"/>
      <c r="L223" s="4493"/>
      <c r="M223" s="4493"/>
      <c r="N223" s="4493"/>
      <c r="O223" s="4493"/>
      <c r="P223" s="449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6" t="str">
        <f>M55</f>
        <v>&lt;&lt; Select Activity Type &gt;&gt;</v>
      </c>
      <c r="L225" s="462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6" t="str">
        <f>'Part V-Revenues &amp; Expenses'!$O$53</f>
        <v>Income Averaging</v>
      </c>
      <c r="L226" s="4597"/>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2"/>
      <c r="B231" s="4493"/>
      <c r="C231" s="4493"/>
      <c r="D231" s="4493"/>
      <c r="E231" s="4493"/>
      <c r="F231" s="4493"/>
      <c r="G231" s="4493"/>
      <c r="H231" s="4493"/>
      <c r="I231" s="4493"/>
      <c r="J231" s="4493"/>
      <c r="K231" s="4493"/>
      <c r="L231" s="4493"/>
      <c r="M231" s="4493"/>
      <c r="N231" s="4493"/>
      <c r="O231" s="4493"/>
      <c r="P231" s="449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9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90"/>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3"/>
      <c r="B238" s="4434"/>
      <c r="C238" s="4434"/>
      <c r="D238" s="4434"/>
      <c r="E238" s="4434"/>
      <c r="F238" s="4434"/>
      <c r="G238" s="4434"/>
      <c r="H238" s="4434"/>
      <c r="I238" s="4434"/>
      <c r="J238" s="4434"/>
      <c r="K238" s="4434"/>
      <c r="L238" s="4434"/>
      <c r="M238" s="4434"/>
      <c r="N238" s="4434"/>
      <c r="O238" s="4434"/>
      <c r="P238" s="443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2"/>
      <c r="B240" s="4493"/>
      <c r="C240" s="4493"/>
      <c r="D240" s="4493"/>
      <c r="E240" s="4493"/>
      <c r="F240" s="4493"/>
      <c r="G240" s="4493"/>
      <c r="H240" s="4493"/>
      <c r="I240" s="4493"/>
      <c r="J240" s="4493"/>
      <c r="K240" s="4493"/>
      <c r="L240" s="4493"/>
      <c r="M240" s="4493"/>
      <c r="N240" s="4493"/>
      <c r="O240" s="4493"/>
      <c r="P240" s="449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1"/>
      <c r="J244" s="4461"/>
      <c r="L244" s="1662" t="s">
        <v>6259</v>
      </c>
      <c r="M244" s="4462"/>
      <c r="N244" s="4462"/>
    </row>
    <row r="245" spans="1:27" s="32" customFormat="1" ht="11.25" customHeight="1">
      <c r="A245" s="306"/>
      <c r="B245" s="350" t="s">
        <v>1846</v>
      </c>
      <c r="C245" s="29" t="s">
        <v>6258</v>
      </c>
      <c r="E245" s="33" t="s">
        <v>3309</v>
      </c>
      <c r="G245" s="1644"/>
      <c r="H245" s="48" t="s">
        <v>574</v>
      </c>
      <c r="I245" s="4591"/>
      <c r="J245" s="4591"/>
      <c r="L245" s="1662" t="s">
        <v>6259</v>
      </c>
      <c r="M245" s="4595"/>
      <c r="N245" s="459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3"/>
      <c r="B248" s="4434"/>
      <c r="C248" s="4434"/>
      <c r="D248" s="4434"/>
      <c r="E248" s="4434"/>
      <c r="F248" s="4434"/>
      <c r="G248" s="4434"/>
      <c r="H248" s="4434"/>
      <c r="I248" s="4434"/>
      <c r="J248" s="4434"/>
      <c r="K248" s="4434"/>
      <c r="L248" s="4434"/>
      <c r="M248" s="4434"/>
      <c r="N248" s="4434"/>
      <c r="O248" s="4434"/>
      <c r="P248" s="443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3"/>
      <c r="B250" s="4234"/>
      <c r="C250" s="4234"/>
      <c r="D250" s="4234"/>
      <c r="E250" s="4234"/>
      <c r="F250" s="4234"/>
      <c r="G250" s="4234"/>
      <c r="H250" s="4234"/>
      <c r="I250" s="4234"/>
      <c r="J250" s="4234"/>
      <c r="K250" s="4234"/>
      <c r="L250" s="4234"/>
      <c r="M250" s="4234"/>
      <c r="N250" s="4234"/>
      <c r="O250" s="4234"/>
      <c r="P250" s="423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3"/>
      <c r="B257" s="4434"/>
      <c r="C257" s="4434"/>
      <c r="D257" s="4434"/>
      <c r="E257" s="4434"/>
      <c r="F257" s="4434"/>
      <c r="G257" s="4434"/>
      <c r="H257" s="4434"/>
      <c r="I257" s="4434"/>
      <c r="J257" s="4434"/>
      <c r="K257" s="4434"/>
      <c r="L257" s="4434"/>
      <c r="M257" s="4434"/>
      <c r="N257" s="4434"/>
      <c r="O257" s="4434"/>
      <c r="P257" s="443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3"/>
      <c r="B259" s="4234"/>
      <c r="C259" s="4234"/>
      <c r="D259" s="4234"/>
      <c r="E259" s="4234"/>
      <c r="F259" s="4234"/>
      <c r="G259" s="4234"/>
      <c r="H259" s="4234"/>
      <c r="I259" s="4234"/>
      <c r="J259" s="4234"/>
      <c r="K259" s="4234"/>
      <c r="L259" s="4234"/>
      <c r="M259" s="4234"/>
      <c r="N259" s="4234"/>
      <c r="O259" s="4234"/>
      <c r="P259" s="423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6" t="s">
        <v>6615</v>
      </c>
      <c r="C267" s="4216"/>
      <c r="D267" s="4216"/>
      <c r="E267" s="4216"/>
      <c r="F267" s="4216"/>
      <c r="G267" s="4216"/>
      <c r="H267" s="4216"/>
      <c r="I267" s="4216"/>
      <c r="J267" s="4216"/>
      <c r="K267" s="4216"/>
      <c r="L267" s="4216"/>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4" t="s">
        <v>6616</v>
      </c>
      <c r="C269" s="4194"/>
      <c r="D269" s="4194"/>
      <c r="E269" s="4194"/>
      <c r="F269" s="4194"/>
      <c r="G269" s="4194"/>
      <c r="H269" s="4194"/>
      <c r="I269" s="4194"/>
      <c r="J269" s="4194"/>
      <c r="K269" s="4194"/>
      <c r="L269" s="4194"/>
      <c r="M269" s="5"/>
      <c r="N269" s="48"/>
      <c r="O269" s="896"/>
      <c r="P269" s="895"/>
      <c r="Q269" s="236"/>
      <c r="R269" s="307"/>
      <c r="T269" s="845"/>
      <c r="U269" s="845"/>
    </row>
    <row r="270" spans="1:21" s="36" customFormat="1" ht="22.5" customHeight="1">
      <c r="B270" s="4194" t="s">
        <v>6230</v>
      </c>
      <c r="C270" s="4194"/>
      <c r="D270" s="4194"/>
      <c r="E270" s="4194"/>
      <c r="F270" s="4194"/>
      <c r="G270" s="4194"/>
      <c r="H270" s="4194"/>
      <c r="I270" s="4194"/>
      <c r="J270" s="4194"/>
      <c r="K270" s="4194"/>
      <c r="L270" s="419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3"/>
      <c r="B272" s="4234"/>
      <c r="C272" s="4234"/>
      <c r="D272" s="4234"/>
      <c r="E272" s="4234"/>
      <c r="F272" s="4234"/>
      <c r="G272" s="4234"/>
      <c r="H272" s="4234"/>
      <c r="I272" s="4234"/>
      <c r="J272" s="4234"/>
      <c r="K272" s="4234"/>
      <c r="L272" s="4234"/>
      <c r="M272" s="4234"/>
      <c r="N272" s="4234"/>
      <c r="O272" s="4234"/>
      <c r="P272" s="423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2"/>
      <c r="C279" s="4613"/>
      <c r="D279" s="4613"/>
      <c r="E279" s="4613"/>
      <c r="F279" s="4613"/>
      <c r="G279" s="4613"/>
      <c r="H279" s="4613"/>
      <c r="I279" s="4613"/>
      <c r="J279" s="4613"/>
      <c r="K279" s="4613"/>
      <c r="L279" s="4613"/>
      <c r="M279" s="4613"/>
      <c r="N279" s="4613"/>
      <c r="O279" s="4613"/>
      <c r="P279" s="4614"/>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3"/>
      <c r="B281" s="4434"/>
      <c r="C281" s="4434"/>
      <c r="D281" s="4434"/>
      <c r="E281" s="4434"/>
      <c r="F281" s="4434"/>
      <c r="G281" s="4434"/>
      <c r="H281" s="4434"/>
      <c r="I281" s="4434"/>
      <c r="J281" s="4434"/>
      <c r="K281" s="4434"/>
      <c r="L281" s="4434"/>
      <c r="M281" s="4434"/>
      <c r="N281" s="4434"/>
      <c r="O281" s="4434"/>
      <c r="P281" s="443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2"/>
      <c r="B283" s="4493"/>
      <c r="C283" s="4493"/>
      <c r="D283" s="4493"/>
      <c r="E283" s="4493"/>
      <c r="F283" s="4493"/>
      <c r="G283" s="4493"/>
      <c r="H283" s="4493"/>
      <c r="I283" s="4493"/>
      <c r="J283" s="4493"/>
      <c r="K283" s="4493"/>
      <c r="L283" s="4493"/>
      <c r="M283" s="4493"/>
      <c r="N283" s="4493"/>
      <c r="O283" s="4493"/>
      <c r="P283" s="449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40"/>
      <c r="J287" s="4641"/>
      <c r="K287" s="4642"/>
      <c r="L287" s="4643"/>
      <c r="M287" s="456"/>
      <c r="O287" s="1919"/>
      <c r="P287" s="1920"/>
      <c r="Q287" s="86"/>
      <c r="R287" s="1630"/>
      <c r="S287" s="1630"/>
      <c r="T287" s="1630"/>
      <c r="U287" s="1630"/>
      <c r="V287" s="1630"/>
      <c r="W287" s="36"/>
      <c r="X287" s="36"/>
    </row>
    <row r="288" spans="1:24" s="70" customFormat="1" ht="11.25" customHeight="1">
      <c r="A288" s="120"/>
      <c r="C288" s="29" t="s">
        <v>6691</v>
      </c>
      <c r="G288" s="147"/>
      <c r="I288" s="4644"/>
      <c r="J288" s="4645"/>
      <c r="M288" s="456"/>
      <c r="O288" s="1919"/>
      <c r="P288" s="1920"/>
      <c r="Q288" s="86"/>
      <c r="R288" s="1630"/>
      <c r="S288" s="1630"/>
      <c r="T288" s="1630"/>
      <c r="U288" s="1630"/>
      <c r="V288" s="1630"/>
      <c r="W288" s="36"/>
      <c r="X288" s="36"/>
    </row>
    <row r="289" spans="1:24" s="70" customFormat="1" ht="11.25" customHeight="1">
      <c r="A289" s="120"/>
      <c r="C289" s="29" t="s">
        <v>6693</v>
      </c>
      <c r="G289" s="147"/>
      <c r="I289" s="4646" t="s">
        <v>6694</v>
      </c>
      <c r="J289" s="4647"/>
      <c r="K289" s="4648"/>
      <c r="L289" s="4649"/>
      <c r="M289" s="456"/>
      <c r="O289" s="4650" t="s">
        <v>3149</v>
      </c>
      <c r="P289" s="4650" t="s">
        <v>3150</v>
      </c>
      <c r="Q289" s="86"/>
      <c r="R289" s="1630"/>
      <c r="S289" s="1630"/>
      <c r="T289" s="1630"/>
      <c r="U289" s="1630"/>
      <c r="V289" s="1630"/>
      <c r="W289" s="36"/>
      <c r="X289" s="36"/>
    </row>
    <row r="290" spans="1:24" s="36" customFormat="1" ht="11.25" customHeight="1">
      <c r="A290" s="120"/>
      <c r="B290" s="29" t="s">
        <v>6581</v>
      </c>
      <c r="D290" s="34"/>
      <c r="H290" s="141"/>
      <c r="M290" s="119"/>
      <c r="N290" s="48"/>
      <c r="O290" s="4651"/>
      <c r="P290" s="4651"/>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4" t="s">
        <v>6587</v>
      </c>
      <c r="D296" s="4194"/>
      <c r="E296" s="4194"/>
      <c r="F296" s="4194"/>
      <c r="G296" s="4194"/>
      <c r="H296" s="4194"/>
      <c r="I296" s="4194"/>
      <c r="J296" s="4194"/>
      <c r="K296" s="4194"/>
      <c r="L296" s="4194"/>
      <c r="M296" s="4194"/>
      <c r="N296" s="150" t="s">
        <v>1844</v>
      </c>
      <c r="O296" s="1287"/>
      <c r="P296" s="1288"/>
      <c r="Q296" s="331"/>
      <c r="R296" s="1840"/>
      <c r="S296" s="1840"/>
      <c r="T296" s="1840"/>
      <c r="U296" s="1840"/>
    </row>
    <row r="297" spans="1:24" s="332" customFormat="1" ht="21.75" customHeight="1" thickBot="1">
      <c r="A297" s="1608"/>
      <c r="B297" s="350" t="s">
        <v>1846</v>
      </c>
      <c r="C297" s="4194" t="s">
        <v>6588</v>
      </c>
      <c r="D297" s="4194"/>
      <c r="E297" s="4194"/>
      <c r="F297" s="4194"/>
      <c r="G297" s="4194"/>
      <c r="H297" s="4194"/>
      <c r="I297" s="4194"/>
      <c r="J297" s="4194"/>
      <c r="K297" s="4194"/>
      <c r="L297" s="4194"/>
      <c r="M297" s="4194"/>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4" t="s">
        <v>6590</v>
      </c>
      <c r="D299" s="4194"/>
      <c r="E299" s="4194"/>
      <c r="F299" s="4194"/>
      <c r="G299" s="4194"/>
      <c r="H299" s="4194"/>
      <c r="I299" s="4194"/>
      <c r="J299" s="4194"/>
      <c r="K299" s="4194"/>
      <c r="L299" s="4194"/>
      <c r="M299" s="4194"/>
      <c r="N299" s="150" t="s">
        <v>1844</v>
      </c>
      <c r="O299" s="1287"/>
      <c r="P299" s="1288"/>
      <c r="Q299" s="331"/>
      <c r="R299" s="1840"/>
      <c r="S299" s="1840"/>
      <c r="T299" s="1840"/>
      <c r="U299" s="1840"/>
    </row>
    <row r="300" spans="1:24" s="332" customFormat="1" ht="10.5" customHeight="1">
      <c r="A300" s="1608"/>
      <c r="B300" s="350" t="s">
        <v>1846</v>
      </c>
      <c r="C300" s="4194" t="s">
        <v>6591</v>
      </c>
      <c r="D300" s="4194"/>
      <c r="E300" s="4194"/>
      <c r="F300" s="4194"/>
      <c r="G300" s="4194"/>
      <c r="H300" s="4194"/>
      <c r="I300" s="4194"/>
      <c r="J300" s="4194"/>
      <c r="K300" s="4194"/>
      <c r="L300" s="4194"/>
      <c r="M300" s="4194"/>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4" t="s">
        <v>6594</v>
      </c>
      <c r="D304" s="4194"/>
      <c r="E304" s="4194"/>
      <c r="F304" s="4194"/>
      <c r="G304" s="4194"/>
      <c r="H304" s="4194"/>
      <c r="I304" s="4194"/>
      <c r="J304" s="4194"/>
      <c r="K304" s="4194"/>
      <c r="L304" s="4194"/>
      <c r="M304" s="4194"/>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3"/>
      <c r="B306" s="4434"/>
      <c r="C306" s="4434"/>
      <c r="D306" s="4434"/>
      <c r="E306" s="4434"/>
      <c r="F306" s="4434"/>
      <c r="G306" s="4434"/>
      <c r="H306" s="4434"/>
      <c r="I306" s="4434"/>
      <c r="J306" s="4434"/>
      <c r="K306" s="4434"/>
      <c r="L306" s="4434"/>
      <c r="M306" s="4434"/>
      <c r="N306" s="4434"/>
      <c r="O306" s="4434"/>
      <c r="P306" s="443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2"/>
      <c r="B308" s="4493"/>
      <c r="C308" s="4493"/>
      <c r="D308" s="4493"/>
      <c r="E308" s="4493"/>
      <c r="F308" s="4493"/>
      <c r="G308" s="4493"/>
      <c r="H308" s="4493"/>
      <c r="I308" s="4493"/>
      <c r="J308" s="4493"/>
      <c r="K308" s="4493"/>
      <c r="L308" s="4493"/>
      <c r="M308" s="4493"/>
      <c r="N308" s="4493"/>
      <c r="O308" s="4493"/>
      <c r="P308" s="449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8"/>
      <c r="J311" s="4459"/>
      <c r="K311" s="4459"/>
      <c r="L311" s="446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3"/>
      <c r="B314" s="4434"/>
      <c r="C314" s="4434"/>
      <c r="D314" s="4434"/>
      <c r="E314" s="4434"/>
      <c r="F314" s="4434"/>
      <c r="G314" s="4434"/>
      <c r="H314" s="4434"/>
      <c r="I314" s="4434"/>
      <c r="J314" s="4434"/>
      <c r="K314" s="4434"/>
      <c r="L314" s="4434"/>
      <c r="M314" s="4434"/>
      <c r="N314" s="4434"/>
      <c r="O314" s="4434"/>
      <c r="P314" s="443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2"/>
      <c r="B316" s="4493"/>
      <c r="C316" s="4493"/>
      <c r="D316" s="4493"/>
      <c r="E316" s="4493"/>
      <c r="F316" s="4493"/>
      <c r="G316" s="4493"/>
      <c r="H316" s="4493"/>
      <c r="I316" s="4493"/>
      <c r="J316" s="4493"/>
      <c r="K316" s="4493"/>
      <c r="L316" s="4493"/>
      <c r="M316" s="4493"/>
      <c r="N316" s="4493"/>
      <c r="O316" s="4493"/>
      <c r="P316" s="449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3"/>
      <c r="B332" s="4234"/>
      <c r="C332" s="4234"/>
      <c r="D332" s="4234"/>
      <c r="E332" s="4234"/>
      <c r="F332" s="4234"/>
      <c r="G332" s="4234"/>
      <c r="H332" s="4234"/>
      <c r="I332" s="4234"/>
      <c r="J332" s="4234"/>
      <c r="K332" s="4234"/>
      <c r="L332" s="4234"/>
      <c r="M332" s="4234"/>
      <c r="N332" s="4234"/>
      <c r="O332" s="4234"/>
      <c r="P332" s="4235"/>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3"/>
      <c r="B338" s="4434"/>
      <c r="C338" s="4434"/>
      <c r="D338" s="4434"/>
      <c r="E338" s="4434"/>
      <c r="F338" s="4434"/>
      <c r="G338" s="4434"/>
      <c r="H338" s="4434"/>
      <c r="I338" s="4434"/>
      <c r="J338" s="4434"/>
      <c r="K338" s="4434"/>
      <c r="L338" s="4434"/>
      <c r="M338" s="4434"/>
      <c r="N338" s="4434"/>
      <c r="O338" s="4434"/>
      <c r="P338" s="443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3"/>
      <c r="B340" s="4234"/>
      <c r="C340" s="4234"/>
      <c r="D340" s="4234"/>
      <c r="E340" s="4234"/>
      <c r="F340" s="4234"/>
      <c r="G340" s="4234"/>
      <c r="H340" s="4234"/>
      <c r="I340" s="4234"/>
      <c r="J340" s="4234"/>
      <c r="K340" s="4234"/>
      <c r="L340" s="4234"/>
      <c r="M340" s="4234"/>
      <c r="N340" s="4234"/>
      <c r="O340" s="4234"/>
      <c r="P340" s="4235"/>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9" t="str">
        <f>IF(OR(O344="No",O344="",O345="No",O345="",O346="No",O346="",O347="No",O347=""),"Unmet criterion results in no points!","")</f>
        <v>Unmet criterion results in no points!</v>
      </c>
      <c r="M344" s="4589"/>
      <c r="N344" s="49" t="s">
        <v>2240</v>
      </c>
      <c r="O344" s="175"/>
      <c r="P344" s="419"/>
      <c r="R344" s="4585" t="str">
        <f>IF(OR(P344="No",P344="",P345="No",P345="",P346="No",P346="",P347="No",P347=""),"Unmet criterion results in no points!","")</f>
        <v>Unmet criterion results in no points!</v>
      </c>
      <c r="S344" s="4585" t="e">
        <f>IF(OR(V344="No",V344="",V345="No",V345="",V346="No",V346="",V347="No",V347="",#REF!="No",#REF!="",#REF!="No",#REF!=""),"Unmet criterion results in no points!","")</f>
        <v>#REF!</v>
      </c>
    </row>
    <row r="345" spans="1:20" s="79" customFormat="1" ht="12.75" customHeight="1">
      <c r="B345" s="49" t="s">
        <v>2241</v>
      </c>
      <c r="C345" s="29" t="s">
        <v>3274</v>
      </c>
      <c r="L345" s="4589"/>
      <c r="M345" s="4589"/>
      <c r="N345" s="49" t="s">
        <v>2241</v>
      </c>
      <c r="O345" s="299"/>
      <c r="P345" s="420"/>
      <c r="R345" s="4585"/>
      <c r="S345" s="4585"/>
    </row>
    <row r="346" spans="1:20" s="79" customFormat="1" ht="12.75" customHeight="1">
      <c r="B346" s="49" t="s">
        <v>2242</v>
      </c>
      <c r="C346" s="29" t="s">
        <v>3273</v>
      </c>
      <c r="L346" s="4589"/>
      <c r="M346" s="4589"/>
      <c r="N346" s="49" t="s">
        <v>2242</v>
      </c>
      <c r="O346" s="299"/>
      <c r="P346" s="420"/>
      <c r="R346" s="4585"/>
      <c r="S346" s="4585"/>
    </row>
    <row r="347" spans="1:20" s="79" customFormat="1" ht="33.75" customHeight="1">
      <c r="B347" s="117" t="s">
        <v>2243</v>
      </c>
      <c r="C347" s="4194" t="s">
        <v>6596</v>
      </c>
      <c r="D347" s="4194"/>
      <c r="E347" s="4194"/>
      <c r="F347" s="4194"/>
      <c r="G347" s="4194"/>
      <c r="H347" s="4194"/>
      <c r="I347" s="4194"/>
      <c r="J347" s="4194"/>
      <c r="K347" s="4194"/>
      <c r="L347" s="4194"/>
      <c r="M347" s="4194"/>
      <c r="N347" s="117" t="s">
        <v>2243</v>
      </c>
      <c r="O347" s="896"/>
      <c r="P347" s="895"/>
    </row>
    <row r="348" spans="1:20" ht="3" customHeight="1" thickBot="1">
      <c r="C348" s="4194"/>
      <c r="D348" s="4194"/>
      <c r="E348" s="4194"/>
      <c r="F348" s="4194"/>
      <c r="G348" s="4194"/>
      <c r="H348" s="4194"/>
      <c r="I348" s="4194"/>
      <c r="J348" s="4194"/>
      <c r="K348" s="4194"/>
      <c r="L348" s="4194"/>
      <c r="M348" s="4194"/>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4" t="s">
        <v>1848</v>
      </c>
      <c r="K351" s="4534"/>
      <c r="M351" s="4534" t="s">
        <v>1848</v>
      </c>
      <c r="N351" s="4534"/>
      <c r="O351" s="4534"/>
      <c r="P351" s="4534"/>
      <c r="R351" s="1836"/>
      <c r="S351" s="1836"/>
      <c r="T351" s="1426"/>
    </row>
    <row r="352" spans="1:20" s="36" customFormat="1" ht="12.75" customHeight="1">
      <c r="A352" s="151"/>
      <c r="B352" s="150" t="s">
        <v>6598</v>
      </c>
      <c r="C352" s="29" t="s">
        <v>1388</v>
      </c>
      <c r="I352" s="49" t="s">
        <v>2240</v>
      </c>
      <c r="J352" s="4524"/>
      <c r="K352" s="4525"/>
      <c r="L352" s="49" t="s">
        <v>2240</v>
      </c>
      <c r="M352" s="4628"/>
      <c r="N352" s="4629"/>
      <c r="O352" s="4629"/>
      <c r="P352" s="4630"/>
      <c r="R352" s="307"/>
    </row>
    <row r="353" spans="1:18" ht="12.75" customHeight="1">
      <c r="A353" s="152"/>
      <c r="B353" s="117" t="s">
        <v>2241</v>
      </c>
      <c r="C353" s="29" t="s">
        <v>3155</v>
      </c>
      <c r="I353" s="117" t="s">
        <v>2241</v>
      </c>
      <c r="J353" s="4529"/>
      <c r="K353" s="4530"/>
      <c r="L353" s="117" t="s">
        <v>2241</v>
      </c>
      <c r="M353" s="4531"/>
      <c r="N353" s="4532"/>
      <c r="O353" s="4532"/>
      <c r="P353" s="4533"/>
      <c r="R353" s="307"/>
    </row>
    <row r="354" spans="1:18" ht="12.75" customHeight="1">
      <c r="B354" s="49" t="s">
        <v>2242</v>
      </c>
      <c r="C354" s="29" t="s">
        <v>3953</v>
      </c>
      <c r="I354" s="49" t="s">
        <v>2242</v>
      </c>
      <c r="J354" s="4529"/>
      <c r="K354" s="4530"/>
      <c r="L354" s="49" t="s">
        <v>2242</v>
      </c>
      <c r="M354" s="4531"/>
      <c r="N354" s="4532"/>
      <c r="O354" s="4532"/>
      <c r="P354" s="4533"/>
      <c r="R354" s="307"/>
    </row>
    <row r="355" spans="1:18" ht="12.75" customHeight="1">
      <c r="A355" s="152"/>
      <c r="B355" s="49" t="s">
        <v>2243</v>
      </c>
      <c r="C355" s="29" t="s">
        <v>3071</v>
      </c>
      <c r="I355" s="49" t="s">
        <v>2243</v>
      </c>
      <c r="J355" s="4529"/>
      <c r="K355" s="4530"/>
      <c r="L355" s="49" t="s">
        <v>2243</v>
      </c>
      <c r="M355" s="4531"/>
      <c r="N355" s="4532"/>
      <c r="O355" s="4532"/>
      <c r="P355" s="4533"/>
      <c r="R355" s="307"/>
    </row>
    <row r="356" spans="1:18" s="36" customFormat="1" ht="12.75" customHeight="1">
      <c r="A356" s="151"/>
      <c r="B356" s="117" t="s">
        <v>2244</v>
      </c>
      <c r="C356" s="29" t="s">
        <v>2473</v>
      </c>
      <c r="I356" s="117" t="s">
        <v>2244</v>
      </c>
      <c r="J356" s="4529"/>
      <c r="K356" s="4530"/>
      <c r="L356" s="117" t="s">
        <v>2244</v>
      </c>
      <c r="M356" s="4531"/>
      <c r="N356" s="4532"/>
      <c r="O356" s="4532"/>
      <c r="P356" s="4533"/>
      <c r="R356" s="307"/>
    </row>
    <row r="357" spans="1:18" ht="12.75" customHeight="1">
      <c r="B357" s="49" t="s">
        <v>2260</v>
      </c>
      <c r="C357" s="29" t="s">
        <v>1387</v>
      </c>
      <c r="I357" s="49" t="s">
        <v>2260</v>
      </c>
      <c r="J357" s="4529"/>
      <c r="K357" s="4530"/>
      <c r="L357" s="49" t="s">
        <v>2260</v>
      </c>
      <c r="M357" s="4531"/>
      <c r="N357" s="4532"/>
      <c r="O357" s="4532"/>
      <c r="P357" s="4533"/>
      <c r="R357" s="307"/>
    </row>
    <row r="358" spans="1:18" ht="12.75" customHeight="1">
      <c r="B358" s="49" t="s">
        <v>2261</v>
      </c>
      <c r="C358" s="29" t="s">
        <v>6232</v>
      </c>
      <c r="I358" s="49" t="s">
        <v>2261</v>
      </c>
      <c r="J358" s="4529"/>
      <c r="K358" s="4530"/>
      <c r="L358" s="49" t="s">
        <v>2261</v>
      </c>
      <c r="M358" s="1601"/>
      <c r="N358" s="1602"/>
      <c r="O358" s="1602"/>
      <c r="P358" s="1603"/>
      <c r="R358" s="307"/>
    </row>
    <row r="359" spans="1:18" ht="12.75" customHeight="1">
      <c r="A359" s="152"/>
      <c r="B359" s="48" t="s">
        <v>2262</v>
      </c>
      <c r="C359" s="29" t="s">
        <v>3154</v>
      </c>
      <c r="I359" s="48" t="s">
        <v>2262</v>
      </c>
      <c r="J359" s="4529"/>
      <c r="K359" s="4530"/>
      <c r="L359" s="48" t="s">
        <v>2262</v>
      </c>
      <c r="M359" s="4531"/>
      <c r="N359" s="4532"/>
      <c r="O359" s="4532"/>
      <c r="P359" s="4533"/>
      <c r="R359" s="307"/>
    </row>
    <row r="360" spans="1:18" ht="12.75" customHeight="1">
      <c r="B360" s="48" t="s">
        <v>2263</v>
      </c>
      <c r="C360" s="29" t="s">
        <v>6599</v>
      </c>
      <c r="I360" s="48" t="s">
        <v>2263</v>
      </c>
      <c r="J360" s="4529"/>
      <c r="K360" s="4530"/>
      <c r="L360" s="48" t="s">
        <v>2263</v>
      </c>
      <c r="M360" s="4531"/>
      <c r="N360" s="4532"/>
      <c r="O360" s="4532"/>
      <c r="P360" s="4533"/>
      <c r="R360" s="307"/>
    </row>
    <row r="361" spans="1:18" ht="12.75" customHeight="1">
      <c r="B361" s="48" t="s">
        <v>3156</v>
      </c>
      <c r="C361" s="29" t="s">
        <v>3825</v>
      </c>
      <c r="I361" s="48" t="s">
        <v>3156</v>
      </c>
      <c r="J361" s="4529"/>
      <c r="K361" s="4530"/>
      <c r="L361" s="48" t="s">
        <v>3156</v>
      </c>
      <c r="M361" s="4531"/>
      <c r="N361" s="4532"/>
      <c r="O361" s="4532"/>
      <c r="P361" s="4533"/>
      <c r="R361" s="307"/>
    </row>
    <row r="362" spans="1:18" ht="12.75" customHeight="1" thickBot="1">
      <c r="B362" s="48" t="s">
        <v>6233</v>
      </c>
      <c r="C362" s="29" t="s">
        <v>6234</v>
      </c>
      <c r="I362" s="48" t="s">
        <v>6233</v>
      </c>
      <c r="J362" s="4529"/>
      <c r="K362" s="4530"/>
      <c r="L362" s="48" t="s">
        <v>6233</v>
      </c>
      <c r="M362" s="4619"/>
      <c r="N362" s="4620"/>
      <c r="O362" s="4620"/>
      <c r="P362" s="4621"/>
      <c r="R362" s="307"/>
    </row>
    <row r="363" spans="1:18" ht="12.75" customHeight="1" thickBot="1">
      <c r="B363" s="919" t="s">
        <v>6600</v>
      </c>
      <c r="H363" s="89" t="s">
        <v>2413</v>
      </c>
      <c r="J363" s="4520">
        <f>SUM(J352:K362)</f>
        <v>0</v>
      </c>
      <c r="K363" s="4521"/>
      <c r="M363" s="4520">
        <f>SUM($M352:$M362)</f>
        <v>0</v>
      </c>
      <c r="N363" s="4523"/>
      <c r="O363" s="4523"/>
      <c r="P363" s="4521"/>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8">
        <f>'Part V-Revenues &amp; Expenses'!$P$67</f>
        <v>44</v>
      </c>
      <c r="K365" s="4639"/>
      <c r="L365" s="430"/>
      <c r="M365" s="393"/>
      <c r="N365" s="393"/>
      <c r="O365" s="881"/>
      <c r="P365" s="393"/>
    </row>
    <row r="366" spans="1:18" ht="13.5" customHeight="1">
      <c r="C366" s="230"/>
      <c r="D366" s="230"/>
      <c r="E366" s="230"/>
      <c r="F366" s="349" t="s">
        <v>6236</v>
      </c>
      <c r="J366" s="4636">
        <f>IF(J365=0,0,J363/J365)</f>
        <v>0</v>
      </c>
      <c r="K366" s="4637"/>
      <c r="M366" s="4526">
        <f>IF($J365=0,0,$M363/$J365)</f>
        <v>0</v>
      </c>
      <c r="N366" s="4527"/>
      <c r="O366" s="4527"/>
      <c r="P366" s="4528"/>
    </row>
    <row r="367" spans="1:18" s="36" customFormat="1" ht="12.75" customHeight="1">
      <c r="C367" s="230"/>
      <c r="D367" s="230"/>
      <c r="E367" s="230"/>
      <c r="F367" s="44" t="s">
        <v>6237</v>
      </c>
      <c r="I367"/>
      <c r="J367" s="4610">
        <f>IF(L344="", IF($J366&gt;=30000, 3,IF($J366&gt;=20000, 2,IF($J366&gt;=10000,1,0))),0)</f>
        <v>0</v>
      </c>
      <c r="K367" s="4611"/>
      <c r="L367" s="398"/>
      <c r="M367" s="4610">
        <f>IF(R344="", IF($M366&gt;=30000, 3,IF($M366&gt;=20000, 2,IF($M366&gt;=10000,1,0))),0)</f>
        <v>0</v>
      </c>
      <c r="N367" s="4635"/>
      <c r="O367" s="4635"/>
      <c r="P367" s="4611"/>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4" t="s">
        <v>6601</v>
      </c>
      <c r="D370" s="4194"/>
      <c r="E370" s="4194"/>
      <c r="F370" s="4194"/>
      <c r="G370" s="4194"/>
      <c r="H370" s="4194"/>
      <c r="I370" s="4194"/>
      <c r="J370" s="4194"/>
      <c r="K370" s="4194"/>
      <c r="L370" s="4194"/>
      <c r="M370" s="4194"/>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3"/>
      <c r="B374" s="4434"/>
      <c r="C374" s="4434"/>
      <c r="D374" s="4434"/>
      <c r="E374" s="4434"/>
      <c r="F374" s="4434"/>
      <c r="G374" s="4434"/>
      <c r="H374" s="4434"/>
      <c r="I374" s="4434"/>
      <c r="J374" s="4434"/>
      <c r="K374" s="4434"/>
      <c r="L374" s="4434"/>
      <c r="M374" s="4434"/>
      <c r="N374" s="4434"/>
      <c r="O374" s="4434"/>
      <c r="P374" s="443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3"/>
      <c r="B376" s="4234"/>
      <c r="C376" s="4234"/>
      <c r="D376" s="4234"/>
      <c r="E376" s="4234"/>
      <c r="F376" s="4234"/>
      <c r="G376" s="4234"/>
      <c r="H376" s="4234"/>
      <c r="I376" s="4234"/>
      <c r="J376" s="4234"/>
      <c r="K376" s="4234"/>
      <c r="L376" s="4234"/>
      <c r="M376" s="4234"/>
      <c r="N376" s="4234"/>
      <c r="O376" s="4234"/>
      <c r="P376" s="423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6" t="s">
        <v>6602</v>
      </c>
      <c r="C383" s="4216"/>
      <c r="D383" s="4216"/>
      <c r="E383" s="4216"/>
      <c r="F383" s="4216"/>
      <c r="G383" s="4216"/>
      <c r="H383" s="4216"/>
      <c r="I383" s="4216"/>
      <c r="J383" s="4216"/>
      <c r="K383" s="4216"/>
      <c r="L383" s="4216"/>
      <c r="M383" s="4618" t="s">
        <v>3886</v>
      </c>
      <c r="N383" s="4618"/>
      <c r="Q383" s="147"/>
    </row>
    <row r="384" spans="1:22" s="332" customFormat="1" ht="12" customHeight="1">
      <c r="B384" s="4216"/>
      <c r="C384" s="4216"/>
      <c r="D384" s="4216"/>
      <c r="E384" s="4216"/>
      <c r="F384" s="4216"/>
      <c r="G384" s="4216"/>
      <c r="H384" s="4216"/>
      <c r="I384" s="4216"/>
      <c r="J384" s="4216"/>
      <c r="K384" s="4216"/>
      <c r="L384" s="4216"/>
      <c r="M384" s="4618"/>
      <c r="N384" s="4618"/>
      <c r="O384" s="4624">
        <f>'Part V-Revenues &amp; Expenses'!$P$123</f>
        <v>0</v>
      </c>
      <c r="P384" s="4625"/>
      <c r="Q384" s="147"/>
    </row>
    <row r="385" spans="1:19" s="332" customFormat="1" ht="12" customHeight="1">
      <c r="B385" s="4216"/>
      <c r="C385" s="4216"/>
      <c r="D385" s="4216"/>
      <c r="E385" s="4216"/>
      <c r="F385" s="4216"/>
      <c r="G385" s="4216"/>
      <c r="H385" s="4216"/>
      <c r="I385" s="4216"/>
      <c r="J385" s="4216"/>
      <c r="K385" s="4216"/>
      <c r="L385" s="4216"/>
      <c r="M385" s="241" t="s">
        <v>2517</v>
      </c>
      <c r="N385" s="333"/>
      <c r="O385" s="4622">
        <f>'Part V-Revenues &amp; Expenses'!$P$67</f>
        <v>44</v>
      </c>
      <c r="P385" s="4623"/>
      <c r="Q385" s="147"/>
    </row>
    <row r="386" spans="1:19" s="332" customFormat="1" ht="12" customHeight="1">
      <c r="B386" s="4615"/>
      <c r="C386" s="4615"/>
      <c r="D386" s="4615"/>
      <c r="E386" s="4615"/>
      <c r="F386" s="4615"/>
      <c r="G386" s="4615"/>
      <c r="H386" s="4615"/>
      <c r="I386" s="4615"/>
      <c r="J386" s="4615"/>
      <c r="K386" s="4615"/>
      <c r="L386" s="4615"/>
      <c r="M386" s="1194" t="s">
        <v>2518</v>
      </c>
      <c r="N386" s="333"/>
      <c r="O386" s="4616">
        <f>IF(O385=0,0,O384/O385)</f>
        <v>0</v>
      </c>
      <c r="P386" s="4617"/>
      <c r="Q386" s="147"/>
    </row>
    <row r="387" spans="1:19" s="36" customFormat="1" ht="105.75" customHeight="1">
      <c r="A387" s="411"/>
      <c r="B387" s="4245" t="s">
        <v>3414</v>
      </c>
      <c r="C387" s="4246"/>
      <c r="D387" s="4246"/>
      <c r="E387" s="4246"/>
      <c r="F387" s="4246"/>
      <c r="G387" s="4246"/>
      <c r="H387" s="4246"/>
      <c r="I387" s="4246"/>
      <c r="J387" s="4246"/>
      <c r="K387" s="4246"/>
      <c r="L387" s="4246"/>
      <c r="M387" s="4246"/>
      <c r="N387" s="4246"/>
      <c r="O387" s="4246"/>
      <c r="P387" s="424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44</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3"/>
      <c r="B393" s="4434"/>
      <c r="C393" s="4434"/>
      <c r="D393" s="4434"/>
      <c r="E393" s="4434"/>
      <c r="F393" s="4434"/>
      <c r="G393" s="4434"/>
      <c r="H393" s="4434"/>
      <c r="I393" s="4434"/>
      <c r="J393" s="4434"/>
      <c r="K393" s="4434"/>
      <c r="L393" s="4434"/>
      <c r="M393" s="4434"/>
      <c r="N393" s="4434"/>
      <c r="O393" s="4434"/>
      <c r="P393" s="443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3"/>
      <c r="B395" s="4234"/>
      <c r="C395" s="4234"/>
      <c r="D395" s="4234"/>
      <c r="E395" s="4234"/>
      <c r="F395" s="4234"/>
      <c r="G395" s="4234"/>
      <c r="H395" s="4234"/>
      <c r="I395" s="4234"/>
      <c r="J395" s="4234"/>
      <c r="K395" s="4234"/>
      <c r="L395" s="4234"/>
      <c r="M395" s="4234"/>
      <c r="N395" s="4234"/>
      <c r="O395" s="4234"/>
      <c r="P395" s="423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3"/>
      <c r="B403" s="4234"/>
      <c r="C403" s="4234"/>
      <c r="D403" s="4234"/>
      <c r="E403" s="4234"/>
      <c r="F403" s="4234"/>
      <c r="G403" s="4234"/>
      <c r="H403" s="4234"/>
      <c r="I403" s="4234"/>
      <c r="J403" s="4234"/>
      <c r="K403" s="4234"/>
      <c r="L403" s="4234"/>
      <c r="M403" s="4234"/>
      <c r="N403" s="4234"/>
      <c r="O403" s="4234"/>
      <c r="P403" s="423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3"/>
      <c r="B414" s="4434"/>
      <c r="C414" s="4434"/>
      <c r="D414" s="4434"/>
      <c r="E414" s="4434"/>
      <c r="F414" s="4434"/>
      <c r="G414" s="4434"/>
      <c r="H414" s="4434"/>
      <c r="I414" s="4434"/>
      <c r="J414" s="4434"/>
      <c r="K414" s="4434"/>
      <c r="L414" s="4434"/>
      <c r="M414" s="4434"/>
      <c r="N414" s="4434"/>
      <c r="O414" s="4434"/>
      <c r="P414" s="443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3"/>
      <c r="B416" s="4234"/>
      <c r="C416" s="4234"/>
      <c r="D416" s="4234"/>
      <c r="E416" s="4234"/>
      <c r="F416" s="4234"/>
      <c r="G416" s="4234"/>
      <c r="H416" s="4234"/>
      <c r="I416" s="4234"/>
      <c r="J416" s="4234"/>
      <c r="K416" s="4234"/>
      <c r="L416" s="4234"/>
      <c r="M416" s="4234"/>
      <c r="N416" s="4234"/>
      <c r="O416" s="4234"/>
      <c r="P416" s="423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3"/>
      <c r="B420" s="4434"/>
      <c r="C420" s="4434"/>
      <c r="D420" s="4434"/>
      <c r="E420" s="4434"/>
      <c r="F420" s="4434"/>
      <c r="G420" s="4434"/>
      <c r="H420" s="4434"/>
      <c r="I420" s="4434"/>
      <c r="J420" s="4434"/>
      <c r="K420" s="4434"/>
      <c r="L420" s="4434"/>
      <c r="M420" s="4434"/>
      <c r="N420" s="4434"/>
      <c r="O420" s="4434"/>
      <c r="P420" s="443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3"/>
      <c r="B422" s="4234"/>
      <c r="C422" s="4234"/>
      <c r="D422" s="4234"/>
      <c r="E422" s="4234"/>
      <c r="F422" s="4234"/>
      <c r="G422" s="4234"/>
      <c r="H422" s="4234"/>
      <c r="I422" s="4234"/>
      <c r="J422" s="4234"/>
      <c r="K422" s="4234"/>
      <c r="L422" s="4234"/>
      <c r="M422" s="4234"/>
      <c r="N422" s="4234"/>
      <c r="O422" s="4234"/>
      <c r="P422" s="423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3"/>
      <c r="B426" s="4234"/>
      <c r="C426" s="4234"/>
      <c r="D426" s="4234"/>
      <c r="E426" s="4234"/>
      <c r="F426" s="4234"/>
      <c r="G426" s="4234"/>
      <c r="H426" s="4234"/>
      <c r="I426" s="4234"/>
      <c r="J426" s="4234"/>
      <c r="K426" s="4234"/>
      <c r="L426" s="4234"/>
      <c r="M426" s="4234"/>
      <c r="N426" s="4234"/>
      <c r="O426" s="4234"/>
      <c r="P426" s="423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3"/>
      <c r="B430" s="4434"/>
      <c r="C430" s="4434"/>
      <c r="D430" s="4434"/>
      <c r="E430" s="4434"/>
      <c r="F430" s="4434"/>
      <c r="G430" s="4434"/>
      <c r="H430" s="4434"/>
      <c r="I430" s="4434"/>
      <c r="J430" s="4434"/>
      <c r="K430" s="4434"/>
      <c r="L430" s="4434"/>
      <c r="M430" s="4434"/>
      <c r="N430" s="4434"/>
      <c r="O430" s="4434"/>
      <c r="P430" s="443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3"/>
      <c r="B432" s="4234"/>
      <c r="C432" s="4234"/>
      <c r="D432" s="4234"/>
      <c r="E432" s="4234"/>
      <c r="F432" s="4234"/>
      <c r="G432" s="4234"/>
      <c r="H432" s="4234"/>
      <c r="I432" s="4234"/>
      <c r="J432" s="4234"/>
      <c r="K432" s="4234"/>
      <c r="L432" s="4234"/>
      <c r="M432" s="4234"/>
      <c r="N432" s="4234"/>
      <c r="O432" s="4234"/>
      <c r="P432" s="423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3"/>
      <c r="B438" s="4434"/>
      <c r="C438" s="4434"/>
      <c r="D438" s="4434"/>
      <c r="E438" s="4434"/>
      <c r="F438" s="4434"/>
      <c r="G438" s="4434"/>
      <c r="H438" s="4434"/>
      <c r="I438" s="4434"/>
      <c r="J438" s="4434"/>
      <c r="K438" s="4434"/>
      <c r="L438" s="4434"/>
      <c r="M438" s="4434"/>
      <c r="N438" s="4434"/>
      <c r="O438" s="4434"/>
      <c r="P438" s="443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3"/>
      <c r="B440" s="4234"/>
      <c r="C440" s="4234"/>
      <c r="D440" s="4234"/>
      <c r="E440" s="4234"/>
      <c r="F440" s="4234"/>
      <c r="G440" s="4234"/>
      <c r="H440" s="4234"/>
      <c r="I440" s="4234"/>
      <c r="J440" s="4234"/>
      <c r="K440" s="4234"/>
      <c r="L440" s="4234"/>
      <c r="M440" s="4234"/>
      <c r="N440" s="4234"/>
      <c r="O440" s="4234"/>
      <c r="P440" s="4235"/>
      <c r="Q440" s="355"/>
      <c r="R440" s="355"/>
    </row>
    <row r="441" spans="1:27" ht="13.5" customHeight="1" thickBot="1">
      <c r="Q441" s="4717" t="s">
        <v>6744</v>
      </c>
      <c r="R441" s="4717"/>
      <c r="S441" s="4717"/>
      <c r="T441" s="4717"/>
      <c r="U441" s="4717"/>
      <c r="V441" s="4717"/>
      <c r="W441" s="4717"/>
      <c r="X441" s="4717"/>
      <c r="Y441" s="4717"/>
      <c r="Z441" s="4717"/>
      <c r="AA441" s="4717"/>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7"/>
      <c r="R442" s="4717"/>
      <c r="S442" s="4717"/>
      <c r="T442" s="4717"/>
      <c r="U442" s="4717"/>
      <c r="V442" s="4717"/>
      <c r="W442" s="4717"/>
      <c r="X442" s="4717"/>
      <c r="Y442" s="4717"/>
      <c r="Z442" s="4717"/>
      <c r="AA442" s="4717"/>
    </row>
    <row r="443" spans="1:27" s="36" customFormat="1" ht="15.75" thickTop="1">
      <c r="A443" s="35"/>
      <c r="C443" s="887"/>
      <c r="D443" s="887"/>
      <c r="E443" s="887"/>
      <c r="F443" s="887"/>
      <c r="G443" s="887"/>
      <c r="H443" s="887"/>
      <c r="I443" s="887"/>
      <c r="J443" s="887"/>
      <c r="K443" s="887"/>
      <c r="L443" s="887"/>
      <c r="M443" s="887"/>
      <c r="N443" s="887"/>
      <c r="O443" s="887"/>
      <c r="P443" s="887"/>
      <c r="Q443" s="4717"/>
      <c r="R443" s="4717"/>
      <c r="S443" s="4717"/>
      <c r="T443" s="4717"/>
      <c r="U443" s="4717"/>
      <c r="V443" s="4717"/>
      <c r="W443" s="4717"/>
      <c r="X443" s="4717"/>
      <c r="Y443" s="4717"/>
      <c r="Z443" s="4717"/>
      <c r="AA443" s="4717"/>
    </row>
    <row r="444" spans="1:27" s="115" customFormat="1" ht="6.75" customHeight="1">
      <c r="A444" s="36"/>
      <c r="B444" s="50"/>
      <c r="C444" s="36"/>
      <c r="F444" s="33"/>
      <c r="G444" s="33"/>
      <c r="H444" s="51"/>
      <c r="I444" s="51"/>
      <c r="L444" s="36"/>
      <c r="N444" s="119"/>
      <c r="O444" s="119"/>
      <c r="P444" s="3"/>
      <c r="Q444" s="4717"/>
      <c r="R444" s="4717"/>
      <c r="S444" s="4717"/>
      <c r="T444" s="4717"/>
      <c r="U444" s="4717"/>
      <c r="V444" s="4717"/>
      <c r="W444" s="4717"/>
      <c r="X444" s="4717"/>
      <c r="Y444" s="4717"/>
      <c r="Z444" s="4717"/>
      <c r="AA444" s="4717"/>
    </row>
    <row r="445" spans="1:27" s="36" customFormat="1" ht="22.5" customHeight="1">
      <c r="A445" s="4522" t="s">
        <v>6698</v>
      </c>
      <c r="B445" s="4522"/>
      <c r="C445" s="4522"/>
      <c r="D445" s="4522"/>
      <c r="E445" s="4522"/>
      <c r="F445" s="4522"/>
      <c r="G445" s="4522"/>
      <c r="H445" s="4522"/>
      <c r="I445" s="4522"/>
      <c r="J445" s="4522"/>
      <c r="K445" s="4522"/>
      <c r="L445" s="4522"/>
      <c r="M445" s="4522"/>
      <c r="N445" s="4522"/>
      <c r="O445" s="4522"/>
      <c r="P445" s="4522"/>
      <c r="Q445" s="4717"/>
      <c r="R445" s="4717"/>
      <c r="S445" s="4717"/>
      <c r="T445" s="4717"/>
      <c r="U445" s="4717"/>
      <c r="V445" s="4717"/>
      <c r="W445" s="4717"/>
      <c r="X445" s="4717"/>
      <c r="Y445" s="4717"/>
      <c r="Z445" s="4717"/>
      <c r="AA445" s="4717"/>
    </row>
    <row r="446" spans="1:27" s="36" customFormat="1" ht="409.15" customHeight="1">
      <c r="A446" s="4208"/>
      <c r="B446" s="4209"/>
      <c r="C446" s="4209"/>
      <c r="D446" s="4209"/>
      <c r="E446" s="4209"/>
      <c r="F446" s="4209"/>
      <c r="G446" s="4209"/>
      <c r="H446" s="4209"/>
      <c r="I446" s="4209"/>
      <c r="J446" s="4209"/>
      <c r="K446" s="4209"/>
      <c r="L446" s="4209"/>
      <c r="M446" s="4209"/>
      <c r="N446" s="4209"/>
      <c r="O446" s="4209"/>
      <c r="P446" s="4210"/>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9" t="s">
        <v>1407</v>
      </c>
      <c r="H466" s="4519"/>
      <c r="I466" s="4519"/>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7" t="s">
        <v>2581</v>
      </c>
      <c r="B1" s="4727"/>
      <c r="C1" s="4727"/>
      <c r="D1" s="4727"/>
      <c r="E1" s="4727"/>
      <c r="F1" s="4727"/>
      <c r="G1" s="4727"/>
      <c r="H1" s="4727"/>
      <c r="I1" s="4727"/>
      <c r="J1" s="4727"/>
    </row>
    <row r="2" spans="1:16" ht="15.75">
      <c r="A2" s="4727" t="str">
        <f>'Sensitivity Analysis'!C8</f>
        <v>West Pine Residences</v>
      </c>
      <c r="B2" s="4727"/>
      <c r="C2" s="4727"/>
      <c r="D2" s="4727"/>
      <c r="E2" s="4727"/>
      <c r="F2" s="4727"/>
      <c r="G2" s="4727"/>
      <c r="H2" s="4727"/>
      <c r="I2" s="4727"/>
      <c r="J2" s="4727"/>
    </row>
    <row r="3" spans="1:16" ht="15.75">
      <c r="A3" s="4727" t="str">
        <f>'Subsidy Layering Memo'!F14</f>
        <v>Sylvester, Worth</v>
      </c>
      <c r="B3" s="4727"/>
      <c r="C3" s="4727"/>
      <c r="D3" s="4727"/>
      <c r="E3" s="4727"/>
      <c r="F3" s="4727"/>
      <c r="G3" s="4727"/>
      <c r="H3" s="4727"/>
      <c r="I3" s="4727"/>
      <c r="J3" s="4727"/>
    </row>
    <row r="4" spans="1:16" ht="15.75">
      <c r="A4" s="4728" t="s">
        <v>2582</v>
      </c>
      <c r="B4" s="4727"/>
      <c r="C4" s="4727"/>
      <c r="D4" s="4727"/>
      <c r="E4" s="4727"/>
      <c r="F4" s="4727"/>
      <c r="G4" s="4727"/>
      <c r="H4" s="4727"/>
      <c r="I4" s="4727"/>
      <c r="J4" s="4727"/>
    </row>
    <row r="5" spans="1:16" ht="5.25" customHeight="1"/>
    <row r="6" spans="1:16" ht="5.25" customHeight="1"/>
    <row r="7" spans="1:16" ht="15.75">
      <c r="A7" s="4729" t="s">
        <v>2583</v>
      </c>
      <c r="B7" s="4729"/>
      <c r="C7" s="4730"/>
      <c r="M7" s="4731"/>
      <c r="N7" s="4731"/>
      <c r="O7" s="4731"/>
      <c r="P7" s="4731"/>
    </row>
    <row r="8" spans="1:16" ht="57" customHeight="1">
      <c r="A8" s="4732" t="s">
        <v>6151</v>
      </c>
      <c r="B8" s="4732"/>
      <c r="C8" s="4732"/>
      <c r="D8" s="4732"/>
      <c r="E8" s="4732"/>
      <c r="F8" s="4732"/>
      <c r="G8" s="4732"/>
      <c r="H8" s="4732"/>
      <c r="I8" s="4732"/>
      <c r="J8" s="4732"/>
      <c r="K8" s="508"/>
    </row>
    <row r="9" spans="1:16" ht="45.75" customHeight="1">
      <c r="A9" s="473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Sylvester, Worth County, Georgia, with the development of 44 units set aside for &lt;&lt; Select PROPOSED Tenancy &gt;&gt;.</v>
      </c>
      <c r="B9" s="4732"/>
      <c r="C9" s="4732"/>
      <c r="D9" s="4732"/>
      <c r="E9" s="4732"/>
      <c r="F9" s="4732"/>
      <c r="G9" s="4732"/>
      <c r="H9" s="4732"/>
      <c r="I9" s="4732"/>
      <c r="J9" s="4732"/>
      <c r="K9" s="508"/>
    </row>
    <row r="10" spans="1:16" ht="15.75">
      <c r="A10" s="509" t="s">
        <v>2584</v>
      </c>
    </row>
    <row r="11" spans="1:16" ht="16.5" customHeight="1">
      <c r="A11" s="4732" t="str">
        <f>'Subsidy Layering Memo'!A50</f>
        <v xml:space="preserve">Ownership entity:  (NAME) LP, a Georgia Limited Partnership, will be the ownership entity for the proposed project. </v>
      </c>
      <c r="B11" s="4734"/>
      <c r="C11" s="4734"/>
      <c r="D11" s="4734"/>
      <c r="E11" s="4734"/>
      <c r="F11" s="4734"/>
      <c r="G11" s="4734"/>
      <c r="H11" s="4734"/>
      <c r="I11" s="4734"/>
      <c r="J11" s="4732"/>
    </row>
    <row r="12" spans="1:16" ht="63.75" customHeight="1">
      <c r="A12" s="473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2"/>
      <c r="C12" s="4732"/>
      <c r="D12" s="4732"/>
      <c r="E12" s="4732"/>
      <c r="F12" s="4732"/>
      <c r="G12" s="4732"/>
      <c r="H12" s="4732"/>
      <c r="I12" s="4732"/>
      <c r="J12" s="4732"/>
    </row>
    <row r="13" spans="1:16" ht="48.75" customHeight="1">
      <c r="A13" s="473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2"/>
      <c r="C13" s="4732"/>
      <c r="D13" s="4732"/>
      <c r="E13" s="4732"/>
      <c r="F13" s="4732"/>
      <c r="G13" s="4732"/>
      <c r="H13" s="4732"/>
      <c r="I13" s="4732"/>
      <c r="J13" s="4732"/>
    </row>
    <row r="14" spans="1:16" ht="15.75">
      <c r="A14" s="509" t="s">
        <v>2585</v>
      </c>
      <c r="B14" s="510"/>
    </row>
    <row r="15" spans="1:16">
      <c r="A15" s="507" t="s">
        <v>2586</v>
      </c>
      <c r="D15" s="1020" t="s">
        <v>2587</v>
      </c>
    </row>
    <row r="16" spans="1:16">
      <c r="A16" s="507" t="s">
        <v>2588</v>
      </c>
      <c r="D16" s="1254">
        <f>'Sensitivity Analysis'!C25</f>
        <v>500000</v>
      </c>
    </row>
    <row r="17" spans="1:11">
      <c r="A17" s="511" t="s">
        <v>2589</v>
      </c>
      <c r="D17" s="1255">
        <f>'Sensitivity Analysis'!C13</f>
        <v>44</v>
      </c>
    </row>
    <row r="18" spans="1:11" ht="14.25" customHeight="1"/>
    <row r="19" spans="1:11" ht="15.75">
      <c r="A19" s="509" t="s">
        <v>2590</v>
      </c>
      <c r="B19" s="510"/>
      <c r="C19" s="510"/>
    </row>
    <row r="20" spans="1:11" ht="48.75" customHeight="1">
      <c r="A20" s="473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5"/>
      <c r="C20" s="4735"/>
      <c r="D20" s="4735"/>
      <c r="E20" s="4735"/>
      <c r="F20" s="4735"/>
      <c r="G20" s="4735"/>
      <c r="H20" s="4735"/>
      <c r="I20" s="4735"/>
      <c r="J20" s="4735"/>
    </row>
    <row r="21" spans="1:11" ht="72.75" customHeight="1">
      <c r="A21" s="4732" t="str">
        <f>'Subsidy Layering Memo'!A67</f>
        <v xml:space="preserve"> will make a capital contribution totaling 9391561 via the syndication of the 2021 Federal LIHTC allocation of 1105000 per annum. will make a capital contribution totaling 3922358 via the syndication of the 2021 State LIHTC allocation of 1105000 per annum.</v>
      </c>
      <c r="B21" s="4732"/>
      <c r="C21" s="4732"/>
      <c r="D21" s="4732"/>
      <c r="E21" s="4732"/>
      <c r="F21" s="4732"/>
      <c r="G21" s="4732"/>
      <c r="H21" s="4732"/>
      <c r="I21" s="4732"/>
      <c r="J21" s="4732"/>
    </row>
    <row r="22" spans="1:11" ht="43.5" customHeight="1">
      <c r="A22" s="4736" t="str">
        <f>'Subsidy Layering Memo'!A68</f>
        <v xml:space="preserve">The total equity price per credit will be 1.205 (0.85 Federal tax credit and 0.355 State tax credit) for a (X%) ownership interest of the Federal Credits and a (X%) ownership interest of the State Credits. </v>
      </c>
      <c r="B22" s="4736"/>
      <c r="C22" s="4736"/>
      <c r="D22" s="4736"/>
      <c r="E22" s="4736"/>
      <c r="F22" s="4736"/>
      <c r="G22" s="4736"/>
      <c r="H22" s="4736"/>
      <c r="I22" s="4736"/>
      <c r="J22" s="4736"/>
    </row>
    <row r="23" spans="1:11" ht="15.75">
      <c r="A23" s="509" t="s">
        <v>6152</v>
      </c>
      <c r="B23" s="510"/>
      <c r="C23" s="510"/>
      <c r="D23" s="510"/>
      <c r="E23" s="510"/>
      <c r="F23" s="510"/>
    </row>
    <row r="24" spans="1:11" ht="102.75" customHeight="1">
      <c r="A24" s="473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2"/>
      <c r="C24" s="4732"/>
      <c r="D24" s="4732"/>
      <c r="E24" s="4732"/>
      <c r="F24" s="4732"/>
      <c r="G24" s="4732"/>
      <c r="H24" s="4732"/>
      <c r="I24" s="4732"/>
      <c r="J24" s="4732"/>
    </row>
    <row r="25" spans="1:11" ht="15" customHeight="1">
      <c r="A25" s="4733"/>
      <c r="B25" s="4733"/>
      <c r="C25" s="4733"/>
      <c r="D25" s="4733"/>
      <c r="E25" s="4733"/>
      <c r="F25" s="4733"/>
      <c r="G25" s="4733"/>
      <c r="H25" s="4733"/>
      <c r="I25" s="4733"/>
      <c r="J25" s="4733"/>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 sqref="A4:P4"/>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West Pine Residences, Sylvester, Worth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6910</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1105000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7036</v>
      </c>
      <c r="G12" s="3041"/>
      <c r="H12" s="3042"/>
      <c r="I12" s="1789" t="s">
        <v>6517</v>
      </c>
      <c r="J12" s="393" t="s">
        <v>6944</v>
      </c>
      <c r="K12" s="243"/>
      <c r="L12" s="248"/>
      <c r="O12" s="3043" t="s">
        <v>7037</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7038</v>
      </c>
      <c r="G15" s="3017"/>
      <c r="H15" s="3018"/>
      <c r="I15" s="2444" t="s">
        <v>1670</v>
      </c>
      <c r="J15" s="3019" t="s">
        <v>7039</v>
      </c>
      <c r="K15" s="3020"/>
      <c r="L15" s="3021"/>
      <c r="M15" s="1898" t="s">
        <v>1839</v>
      </c>
      <c r="N15" s="3016" t="s">
        <v>2278</v>
      </c>
      <c r="O15" s="3017"/>
      <c r="P15" s="3018"/>
      <c r="Q15" s="3050"/>
      <c r="R15" s="3051"/>
      <c r="S15" s="3052"/>
      <c r="Z15" s="1706">
        <v>15</v>
      </c>
    </row>
    <row r="16" spans="1:26" s="144" customFormat="1" ht="12.75" customHeight="1">
      <c r="B16" s="246" t="s">
        <v>1599</v>
      </c>
      <c r="F16" s="3013">
        <v>6788956172</v>
      </c>
      <c r="G16" s="3014"/>
      <c r="H16" s="3015"/>
      <c r="I16" s="2445" t="s">
        <v>1598</v>
      </c>
      <c r="J16" s="823"/>
      <c r="M16" s="246" t="s">
        <v>1600</v>
      </c>
      <c r="N16" s="3013">
        <v>6788956172</v>
      </c>
      <c r="O16" s="3014"/>
      <c r="P16" s="3015"/>
      <c r="Q16" s="3050"/>
      <c r="R16" s="3051"/>
      <c r="S16" s="3052"/>
      <c r="V16" s="751"/>
      <c r="W16" s="751"/>
      <c r="X16" s="751"/>
      <c r="Z16" s="1706">
        <v>18</v>
      </c>
    </row>
    <row r="17" spans="1:26" s="144" customFormat="1">
      <c r="B17" s="246" t="s">
        <v>1842</v>
      </c>
      <c r="F17" s="3022" t="s">
        <v>7040</v>
      </c>
      <c r="G17" s="3023"/>
      <c r="H17" s="3023"/>
      <c r="I17" s="3020"/>
      <c r="J17" s="3023"/>
      <c r="K17" s="3020"/>
      <c r="L17" s="3021"/>
      <c r="M17" s="246" t="s">
        <v>1838</v>
      </c>
      <c r="N17" s="3024">
        <v>6788956172</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7038</v>
      </c>
      <c r="G19" s="3017"/>
      <c r="H19" s="3018"/>
      <c r="I19" s="2444" t="s">
        <v>1670</v>
      </c>
      <c r="J19" s="3019" t="s">
        <v>7041</v>
      </c>
      <c r="K19" s="3020"/>
      <c r="L19" s="3021"/>
      <c r="M19" s="1898" t="s">
        <v>1839</v>
      </c>
      <c r="N19" s="3016" t="s">
        <v>2278</v>
      </c>
      <c r="O19" s="3017"/>
      <c r="P19" s="3018"/>
      <c r="Q19" s="3050"/>
      <c r="R19" s="3051"/>
      <c r="S19" s="3052"/>
      <c r="Z19" s="1706">
        <v>21</v>
      </c>
    </row>
    <row r="20" spans="1:26" s="144" customFormat="1">
      <c r="B20" s="246" t="s">
        <v>1599</v>
      </c>
      <c r="F20" s="3013">
        <v>6785952542</v>
      </c>
      <c r="G20" s="3014"/>
      <c r="H20" s="3015"/>
      <c r="I20" s="2445" t="s">
        <v>1598</v>
      </c>
      <c r="J20" s="823"/>
      <c r="M20" s="246" t="s">
        <v>1600</v>
      </c>
      <c r="N20" s="3013">
        <v>6785952542</v>
      </c>
      <c r="O20" s="3014"/>
      <c r="P20" s="3015"/>
      <c r="Q20" s="3050"/>
      <c r="R20" s="3051"/>
      <c r="S20" s="3052"/>
      <c r="U20" s="230"/>
      <c r="V20" s="230"/>
      <c r="W20" s="230"/>
      <c r="X20" s="230"/>
      <c r="Z20" s="1706">
        <v>24</v>
      </c>
    </row>
    <row r="21" spans="1:26" s="144" customFormat="1">
      <c r="B21" s="246" t="s">
        <v>1842</v>
      </c>
      <c r="F21" s="3022" t="s">
        <v>7042</v>
      </c>
      <c r="G21" s="3023"/>
      <c r="H21" s="3023"/>
      <c r="I21" s="3020"/>
      <c r="J21" s="3023"/>
      <c r="K21" s="3020"/>
      <c r="L21" s="3021"/>
      <c r="M21" s="246" t="s">
        <v>1838</v>
      </c>
      <c r="N21" s="3024">
        <v>6785952542</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7080</v>
      </c>
      <c r="G25" s="3027"/>
      <c r="H25" s="3027"/>
      <c r="I25" s="3020"/>
      <c r="J25" s="3027"/>
      <c r="K25" s="3028"/>
      <c r="M25" s="246" t="s">
        <v>425</v>
      </c>
      <c r="P25" s="1899" t="s">
        <v>2652</v>
      </c>
      <c r="Q25" s="3050"/>
      <c r="R25" s="3051"/>
      <c r="S25" s="3052"/>
      <c r="Z25" s="1706">
        <v>29</v>
      </c>
    </row>
    <row r="26" spans="1:26" s="144" customFormat="1">
      <c r="A26" s="375"/>
      <c r="B26" s="144" t="s">
        <v>575</v>
      </c>
      <c r="F26" s="3058" t="s">
        <v>2088</v>
      </c>
      <c r="G26" s="3071"/>
      <c r="H26" s="3072"/>
      <c r="I26" s="257" t="s">
        <v>576</v>
      </c>
      <c r="J26" s="3029" t="str">
        <f>IF(F26="","",VLOOKUP(F26,'DCA Underwriting Assumptions'!$T$141:$U$770,2,FALSE))</f>
        <v>Worth</v>
      </c>
      <c r="K26" s="3030"/>
      <c r="M26" s="246" t="s">
        <v>426</v>
      </c>
      <c r="P26" s="1956" t="s">
        <v>2652</v>
      </c>
      <c r="Q26" s="3050"/>
      <c r="R26" s="3051"/>
      <c r="S26" s="3052"/>
      <c r="U26" s="375"/>
      <c r="Z26" s="1706">
        <v>30</v>
      </c>
    </row>
    <row r="27" spans="1:26" s="144" customFormat="1" ht="13.5">
      <c r="A27" s="375"/>
      <c r="B27" s="144" t="s">
        <v>3906</v>
      </c>
      <c r="C27" s="251"/>
      <c r="D27" s="252"/>
      <c r="E27" s="252"/>
      <c r="F27" s="3058" t="s">
        <v>7081</v>
      </c>
      <c r="G27" s="3059"/>
      <c r="H27" s="3060"/>
      <c r="I27" s="248"/>
      <c r="J27" s="392" t="s">
        <v>6723</v>
      </c>
      <c r="K27" s="248"/>
      <c r="M27" s="246" t="s">
        <v>6666</v>
      </c>
      <c r="O27" s="3011">
        <v>5</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MSA</v>
      </c>
      <c r="O28" s="3029" t="str">
        <f>IF($F$26="","",VLOOKUP($J$26,'DCA Underwriting Assumptions'!$G$141:$L$300,3,FALSE))</f>
        <v>Albany</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West Pine Residences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8"/>
      <c r="J7" s="4738"/>
      <c r="K7" s="4738"/>
      <c r="L7" s="567"/>
      <c r="M7" s="507"/>
    </row>
    <row r="8" spans="1:14" ht="15.75">
      <c r="A8" s="576" t="s">
        <v>2647</v>
      </c>
      <c r="B8" s="576"/>
      <c r="C8" s="4738" t="str">
        <f>'Part I-Project Identification'!$F$25</f>
        <v>West Pine Residences</v>
      </c>
      <c r="D8" s="4738"/>
      <c r="E8" s="1978" t="str">
        <f>'Part I-Project Identification'!$O$7</f>
        <v>2023-0</v>
      </c>
      <c r="F8" s="576" t="s">
        <v>2648</v>
      </c>
      <c r="G8" s="567"/>
      <c r="H8" s="4738" t="str">
        <f>CONCATENATE('Part I-Project Identification'!$F$26,", ",'Part I-Project Identification'!$J$26)</f>
        <v>Sylvester, Worth</v>
      </c>
      <c r="I8" s="4738"/>
      <c r="J8" s="4738"/>
      <c r="K8" s="4738"/>
      <c r="L8" s="567"/>
      <c r="M8" s="545"/>
    </row>
    <row r="9" spans="1:14" ht="15.75">
      <c r="A9" s="576" t="s">
        <v>2650</v>
      </c>
      <c r="B9" s="576"/>
      <c r="C9" s="4738" t="s">
        <v>1646</v>
      </c>
      <c r="D9" s="4738"/>
      <c r="E9" s="567"/>
      <c r="F9" s="576" t="s">
        <v>2651</v>
      </c>
      <c r="G9" s="567"/>
      <c r="H9" s="4739"/>
      <c r="I9" s="4739"/>
      <c r="J9" s="4739"/>
      <c r="K9" s="4739"/>
      <c r="L9" s="4739"/>
      <c r="M9" s="545"/>
    </row>
    <row r="10" spans="1:14" ht="15.75">
      <c r="A10" s="576" t="s">
        <v>2653</v>
      </c>
      <c r="B10" s="567"/>
      <c r="C10" s="4740"/>
      <c r="D10" s="4740"/>
      <c r="E10" s="567"/>
      <c r="F10" s="576" t="s">
        <v>3131</v>
      </c>
      <c r="G10" s="567"/>
      <c r="H10" s="4737"/>
      <c r="I10" s="4737"/>
      <c r="J10" s="4737"/>
      <c r="K10" s="4737"/>
      <c r="L10" s="4737"/>
    </row>
    <row r="11" spans="1:14" ht="15.75">
      <c r="A11" s="576" t="s">
        <v>2654</v>
      </c>
      <c r="B11" s="567"/>
      <c r="C11" s="4741"/>
      <c r="D11" s="4741"/>
      <c r="E11" s="1992"/>
      <c r="F11" s="576" t="s">
        <v>606</v>
      </c>
      <c r="G11" s="567"/>
      <c r="H11" s="4737"/>
      <c r="I11" s="4737"/>
      <c r="J11" s="4737"/>
      <c r="K11" s="4737"/>
      <c r="L11" s="4737"/>
      <c r="M11" s="4742"/>
      <c r="N11" s="4743"/>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9">
        <f>'Part V-Revenues &amp; Expenses'!$P$67</f>
        <v>44</v>
      </c>
      <c r="D13" s="26"/>
      <c r="E13" s="1980">
        <f>'Part V-Revenues &amp; Expenses'!$P$63</f>
        <v>44</v>
      </c>
      <c r="F13" s="576" t="s">
        <v>3451</v>
      </c>
      <c r="G13" s="567"/>
      <c r="H13" s="1990"/>
      <c r="I13" s="1982"/>
      <c r="J13" s="1982"/>
      <c r="K13" s="1981">
        <f>'Part V-Revenues &amp; Expenses'!$K$175</f>
        <v>46034</v>
      </c>
      <c r="L13" s="567"/>
      <c r="M13" s="507"/>
    </row>
    <row r="14" spans="1:14" ht="15.75">
      <c r="A14" s="576" t="s">
        <v>2949</v>
      </c>
      <c r="B14" s="567"/>
      <c r="C14" s="1981" t="str">
        <f>'Part VII-Threshold Criteria OLD'!J35</f>
        <v>&lt;&lt; Select PROPOSED Tenancy &gt;&gt;</v>
      </c>
      <c r="D14" s="4738" t="str">
        <f>IF('Part VII-Threshold Criteria OLD'!$N$35=0,"",'Part VII-Threshold Criteria OLD'!$N$35)</f>
        <v/>
      </c>
      <c r="E14" s="4738"/>
      <c r="F14" s="576" t="s">
        <v>2658</v>
      </c>
      <c r="G14" s="567"/>
      <c r="H14" s="4744" t="s">
        <v>3099</v>
      </c>
      <c r="I14" s="4744"/>
      <c r="J14" s="4744"/>
      <c r="K14" s="4744" t="s">
        <v>3099</v>
      </c>
      <c r="L14" s="4744"/>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13821370.115847625</v>
      </c>
      <c r="D18" s="1986">
        <f>IF(C18=0,"",$C$29/C18)</f>
        <v>3.6175863594499834E-2</v>
      </c>
      <c r="E18" s="567" t="s">
        <v>2953</v>
      </c>
      <c r="F18" s="576" t="s">
        <v>6749</v>
      </c>
      <c r="G18" s="567"/>
      <c r="H18" s="4745">
        <f>'Part III-A-Uses of Funds'!$C$49</f>
        <v>10229643</v>
      </c>
      <c r="I18" s="4745"/>
      <c r="J18" s="1987">
        <f>IF(H18=0,"",$C$29/H18)</f>
        <v>4.8877561025345656E-2</v>
      </c>
      <c r="K18" s="4738" t="s">
        <v>2955</v>
      </c>
      <c r="L18" s="4738"/>
      <c r="M18" s="507"/>
    </row>
    <row r="19" spans="1:13" ht="15.75">
      <c r="A19" s="576" t="s">
        <v>2660</v>
      </c>
      <c r="B19" s="567"/>
      <c r="C19" s="1988">
        <f>C18/C13</f>
        <v>314122.04808744602</v>
      </c>
      <c r="D19" s="567"/>
      <c r="E19" s="567"/>
      <c r="F19" s="576" t="s">
        <v>2660</v>
      </c>
      <c r="G19" s="567"/>
      <c r="H19" s="4746">
        <f>H18/C13</f>
        <v>232491.88636363635</v>
      </c>
      <c r="I19" s="4746"/>
      <c r="J19" s="567"/>
      <c r="K19" s="567"/>
      <c r="L19" s="567"/>
      <c r="M19" s="507"/>
    </row>
    <row r="20" spans="1:13" ht="15.75">
      <c r="A20" s="576" t="s">
        <v>2661</v>
      </c>
      <c r="B20" s="567"/>
      <c r="C20" s="1978">
        <f>C18/K13</f>
        <v>300.24264925593309</v>
      </c>
      <c r="D20" s="1989"/>
      <c r="E20" s="1989"/>
      <c r="F20" s="576" t="s">
        <v>2661</v>
      </c>
      <c r="G20" s="567"/>
      <c r="H20" s="4738">
        <f>H18/K13</f>
        <v>222.21929443454837</v>
      </c>
      <c r="I20" s="4746"/>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Central Bank of Kansas City (Capital Magnet Funds)</v>
      </c>
      <c r="C25" s="553">
        <f>'Part II-Sources of Funds'!I40</f>
        <v>500000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500000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13313919</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3.6175863594499834E-2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4.8877561025345656E-2</v>
      </c>
      <c r="D40" s="507"/>
      <c r="E40" s="507"/>
      <c r="F40" s="510"/>
      <c r="G40" s="510" t="s">
        <v>2681</v>
      </c>
      <c r="H40" s="507"/>
      <c r="I40" s="507"/>
      <c r="K40" s="555">
        <f>C30/C18</f>
        <v>0.96328503530443921</v>
      </c>
      <c r="L40" s="507"/>
      <c r="M40" s="507"/>
    </row>
    <row r="46" spans="1:13" ht="15.75">
      <c r="A46" s="550" t="s">
        <v>2682</v>
      </c>
      <c r="B46" s="540"/>
      <c r="C46" s="540"/>
      <c r="D46" s="540"/>
      <c r="E46" s="540"/>
      <c r="F46" s="540"/>
      <c r="G46" s="540"/>
      <c r="H46" s="540"/>
      <c r="I46" s="540"/>
      <c r="J46" s="540"/>
      <c r="K46" s="540"/>
      <c r="L46" s="540"/>
      <c r="M46" s="507"/>
    </row>
    <row r="47" spans="1:13" ht="15.75">
      <c r="A47" s="550" t="str">
        <f>C8</f>
        <v>West Pine Residences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7" t="s">
        <v>2685</v>
      </c>
      <c r="L50" s="474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297120</v>
      </c>
      <c r="D52" s="568"/>
      <c r="E52" s="568">
        <f>$C$52</f>
        <v>297120</v>
      </c>
      <c r="F52" s="568"/>
      <c r="G52" s="568">
        <f>$C$52</f>
        <v>297120</v>
      </c>
      <c r="H52" s="568"/>
      <c r="I52" s="568">
        <f>$C$52</f>
        <v>297120</v>
      </c>
      <c r="J52" s="568"/>
      <c r="K52" s="568">
        <f>$C$52</f>
        <v>297120</v>
      </c>
      <c r="L52" s="569"/>
      <c r="M52"/>
      <c r="N52"/>
    </row>
    <row r="53" spans="1:14" s="507" customFormat="1" ht="18.75" customHeight="1">
      <c r="B53" s="567" t="s">
        <v>2689</v>
      </c>
      <c r="C53" s="568">
        <f>'Part VI-Pro Forma'!B16</f>
        <v>5942.4000000000005</v>
      </c>
      <c r="D53" s="568"/>
      <c r="E53" s="568">
        <f>$C$53</f>
        <v>5942.4000000000005</v>
      </c>
      <c r="F53" s="568"/>
      <c r="G53" s="568">
        <f>$C$53</f>
        <v>5942.4000000000005</v>
      </c>
      <c r="H53" s="568"/>
      <c r="I53" s="568">
        <f>$C$53</f>
        <v>5942.4000000000005</v>
      </c>
      <c r="J53" s="568"/>
      <c r="K53" s="568">
        <f>$C$53</f>
        <v>5942.4000000000005</v>
      </c>
      <c r="L53" s="569"/>
      <c r="M53"/>
      <c r="N53"/>
    </row>
    <row r="54" spans="1:14" s="507" customFormat="1" ht="18.75" customHeight="1">
      <c r="B54" s="567" t="s">
        <v>2687</v>
      </c>
      <c r="C54" s="568">
        <f>'Part VI-Pro Forma'!B17</f>
        <v>-21214.368000000002</v>
      </c>
      <c r="D54" s="568"/>
      <c r="E54" s="568">
        <f>-($C$52+E53)*F50</f>
        <v>-30306.240000000005</v>
      </c>
      <c r="F54" s="570"/>
      <c r="G54" s="568">
        <f>-($C$52+G53)*0.07</f>
        <v>-21214.368000000002</v>
      </c>
      <c r="H54" s="568"/>
      <c r="I54" s="568">
        <f>-($C$52+I53)*0.07</f>
        <v>-21214.368000000002</v>
      </c>
      <c r="J54" s="568"/>
      <c r="K54" s="568">
        <f>-($C$52+K53)*L54</f>
        <v>-30306.240000000005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281848.03200000001</v>
      </c>
      <c r="D56" s="568"/>
      <c r="E56" s="574">
        <f>SUM(E52:E55)</f>
        <v>272756.16000000003</v>
      </c>
      <c r="F56" s="568"/>
      <c r="G56" s="574">
        <f>SUM(G52:G55)</f>
        <v>281848.03200000001</v>
      </c>
      <c r="H56" s="568"/>
      <c r="I56" s="574">
        <f>SUM(I52:I55)</f>
        <v>281848.03200000001</v>
      </c>
      <c r="J56" s="568"/>
      <c r="K56" s="574">
        <f>SUM(K52:K55)</f>
        <v>272756.16000000003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2000</v>
      </c>
      <c r="D60" s="568"/>
      <c r="E60" s="568">
        <f>$C$60</f>
        <v>2000</v>
      </c>
      <c r="F60" s="568"/>
      <c r="G60" s="568">
        <f>$C$60</f>
        <v>2000</v>
      </c>
      <c r="H60" s="568"/>
      <c r="I60" s="568">
        <f>$C$60*(1+$J$50)</f>
        <v>2060</v>
      </c>
      <c r="J60" s="570"/>
      <c r="K60" s="568">
        <f>$C$60*(1+$J$50)</f>
        <v>2060</v>
      </c>
      <c r="L60" s="571">
        <v>0.03</v>
      </c>
      <c r="M60"/>
      <c r="N60"/>
    </row>
    <row r="61" spans="1:14" s="507" customFormat="1" ht="18.75" customHeight="1">
      <c r="B61" s="567" t="s">
        <v>1298</v>
      </c>
      <c r="C61" s="568">
        <f>+'Part V-Revenues &amp; Expenses'!L244</f>
        <v>22766.44</v>
      </c>
      <c r="D61" s="568"/>
      <c r="E61" s="568">
        <f>$C$61</f>
        <v>22766.44</v>
      </c>
      <c r="F61" s="568"/>
      <c r="G61" s="568">
        <f>$C$61*(1+H50)</f>
        <v>23904.761999999999</v>
      </c>
      <c r="H61" s="570"/>
      <c r="I61" s="568">
        <f>$C$61</f>
        <v>22766.44</v>
      </c>
      <c r="J61" s="568"/>
      <c r="K61" s="568">
        <f>$C$61*(1+$L$61)</f>
        <v>23904.761999999999</v>
      </c>
      <c r="L61" s="571">
        <v>0.05</v>
      </c>
      <c r="M61"/>
      <c r="N61"/>
    </row>
    <row r="62" spans="1:14" s="507" customFormat="1" ht="18.75" customHeight="1">
      <c r="B62" s="573" t="s">
        <v>2693</v>
      </c>
      <c r="C62" s="574">
        <f>SUM(C58:C61)</f>
        <v>31766.44</v>
      </c>
      <c r="D62" s="568"/>
      <c r="E62" s="574">
        <f>SUM(E58:E61)</f>
        <v>31766.44</v>
      </c>
      <c r="F62" s="568"/>
      <c r="G62" s="574">
        <f>SUM(G58:G61)</f>
        <v>32904.762000000002</v>
      </c>
      <c r="H62" s="568"/>
      <c r="I62" s="574">
        <f>SUM(I58:I61)</f>
        <v>31826.44</v>
      </c>
      <c r="J62" s="568"/>
      <c r="K62" s="574">
        <f>SUM(K58:K61)</f>
        <v>32964.762000000002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250081.592</v>
      </c>
      <c r="D64" s="577"/>
      <c r="E64" s="577">
        <f>E56-E62</f>
        <v>240989.72000000003</v>
      </c>
      <c r="F64" s="577"/>
      <c r="G64" s="577">
        <f>G56-G62</f>
        <v>248943.27000000002</v>
      </c>
      <c r="H64" s="577"/>
      <c r="I64" s="577">
        <f>I56-I62</f>
        <v>250021.592</v>
      </c>
      <c r="J64" s="577"/>
      <c r="K64" s="577">
        <f>K56-K62</f>
        <v>239791.39800000004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250081.592</v>
      </c>
      <c r="D70" s="577"/>
      <c r="E70" s="580">
        <f>E64-E66-E68</f>
        <v>240989.72000000003</v>
      </c>
      <c r="F70" s="577"/>
      <c r="G70" s="580">
        <f>G64-G66-G68</f>
        <v>248943.27000000002</v>
      </c>
      <c r="H70" s="577"/>
      <c r="I70" s="580">
        <f>I64-I66-I68</f>
        <v>250021.592</v>
      </c>
      <c r="J70" s="577"/>
      <c r="K70" s="580">
        <f>K64-K66-K68</f>
        <v>239791.39800000004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9.1000275018511942</v>
      </c>
      <c r="D72" s="581"/>
      <c r="E72" s="1004">
        <f>-E70/E75</f>
        <v>8.7691903355422465</v>
      </c>
      <c r="F72" s="581"/>
      <c r="G72" s="1004">
        <f>-G70/G75</f>
        <v>9.0586059744883887</v>
      </c>
      <c r="H72" s="581"/>
      <c r="I72" s="1004">
        <f>-I70/I75</f>
        <v>9.0978442078080608</v>
      </c>
      <c r="J72" s="581"/>
      <c r="K72" s="1004">
        <f>-K70/K75</f>
        <v>8.7255855141363057</v>
      </c>
      <c r="L72" s="4"/>
      <c r="M72" s="10"/>
      <c r="N72" s="10"/>
    </row>
    <row r="73" spans="1:14" s="507" customFormat="1" ht="18.75" customHeight="1">
      <c r="A73"/>
      <c r="B73" s="567" t="s">
        <v>2699</v>
      </c>
      <c r="C73" s="1005">
        <f>C76/C62</f>
        <v>7.0074009371977359</v>
      </c>
      <c r="D73" s="582"/>
      <c r="E73" s="1005">
        <f>E76/E62</f>
        <v>6.7211909621423009</v>
      </c>
      <c r="F73" s="582"/>
      <c r="G73" s="1005">
        <f>G76/G62</f>
        <v>6.7303893408326623</v>
      </c>
      <c r="H73" s="582"/>
      <c r="I73" s="1005">
        <f>I76/I62</f>
        <v>6.9923051848537137</v>
      </c>
      <c r="J73" s="582"/>
      <c r="K73" s="1005">
        <f>K76/K62</f>
        <v>6.4405132798300091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-27481.410572564375</v>
      </c>
      <c r="D75" s="568"/>
      <c r="E75" s="568">
        <f>$C$75</f>
        <v>-27481.410572564375</v>
      </c>
      <c r="F75" s="568"/>
      <c r="G75" s="568">
        <f>$C$75</f>
        <v>-27481.410572564375</v>
      </c>
      <c r="H75" s="568"/>
      <c r="I75" s="568">
        <f>$C$75</f>
        <v>-27481.410572564375</v>
      </c>
      <c r="J75" s="568"/>
      <c r="K75" s="568">
        <f>$C$75</f>
        <v>-27481.410572564375</v>
      </c>
      <c r="L75" s="26"/>
      <c r="M75"/>
      <c r="N75"/>
    </row>
    <row r="76" spans="1:14" s="507" customFormat="1" ht="18.75" customHeight="1">
      <c r="A76"/>
      <c r="B76" s="567" t="s">
        <v>1096</v>
      </c>
      <c r="C76" s="568">
        <f>C70+C75</f>
        <v>222600.18142743563</v>
      </c>
      <c r="D76" s="568"/>
      <c r="E76" s="568">
        <f>E70+E75</f>
        <v>213508.30942743566</v>
      </c>
      <c r="F76" s="568"/>
      <c r="G76" s="568">
        <f>G70+G75</f>
        <v>221461.85942743564</v>
      </c>
      <c r="H76" s="568"/>
      <c r="I76" s="568">
        <f>I70+I75</f>
        <v>222540.18142743563</v>
      </c>
      <c r="J76" s="568"/>
      <c r="K76" s="568">
        <f>K70+K75</f>
        <v>212309.98742743567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West Pine Residences</v>
      </c>
    </row>
    <row r="13" spans="1:10" ht="15">
      <c r="A13" s="517"/>
      <c r="D13" s="516" t="s">
        <v>2604</v>
      </c>
      <c r="F13" s="1024" t="str">
        <f>'Sensitivity Analysis'!E8</f>
        <v>2023-0</v>
      </c>
    </row>
    <row r="14" spans="1:10" ht="15">
      <c r="A14" s="517"/>
      <c r="D14" s="516" t="s">
        <v>2605</v>
      </c>
      <c r="F14" s="1024" t="str">
        <f>'Sensitivity Analysis'!H8</f>
        <v>Sylvester, Worth</v>
      </c>
    </row>
    <row r="15" spans="1:10" ht="15">
      <c r="A15" s="517"/>
      <c r="D15" s="516" t="s">
        <v>2946</v>
      </c>
      <c r="F15" s="4758">
        <f>'Sensitivity Analysis'!$C$25</f>
        <v>500000</v>
      </c>
      <c r="G15" s="4758"/>
      <c r="H15" s="4758"/>
    </row>
    <row r="16" spans="1:10" ht="15">
      <c r="A16" s="517"/>
      <c r="D16" s="519" t="s">
        <v>2606</v>
      </c>
      <c r="F16" s="520">
        <f>'Sensitivity Analysis'!C13</f>
        <v>44</v>
      </c>
      <c r="G16" s="521" t="s">
        <v>2947</v>
      </c>
      <c r="H16" s="972">
        <f>'Sensitivity Analysis'!E13</f>
        <v>44</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6154</v>
      </c>
    </row>
    <row r="22" spans="1:18" ht="111.75" customHeight="1">
      <c r="A22" s="4750" t="s">
        <v>3098</v>
      </c>
      <c r="B22" s="4750"/>
      <c r="C22" s="4750"/>
      <c r="D22" s="4750"/>
      <c r="E22" s="4750"/>
      <c r="F22" s="4750"/>
      <c r="G22" s="4750"/>
      <c r="H22" s="4750"/>
      <c r="I22" s="4750"/>
      <c r="J22" s="4750"/>
      <c r="K22" s="4749" t="s">
        <v>3897</v>
      </c>
      <c r="L22" s="4749"/>
      <c r="M22" s="4749"/>
      <c r="N22" s="474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1"/>
      <c r="B24" s="4751"/>
      <c r="C24" s="4751"/>
      <c r="D24" s="4751"/>
      <c r="E24" s="4751"/>
      <c r="F24" s="4751"/>
      <c r="G24" s="4751"/>
      <c r="H24" s="4751"/>
      <c r="I24" s="4751"/>
      <c r="J24" s="4751"/>
    </row>
    <row r="25" spans="1:18" ht="10.5" hidden="1" customHeight="1">
      <c r="A25" s="4736"/>
      <c r="B25" s="4736"/>
      <c r="C25" s="4736"/>
      <c r="D25" s="4736"/>
      <c r="E25" s="4736"/>
      <c r="F25" s="4736"/>
      <c r="G25" s="4736"/>
      <c r="H25" s="4736"/>
      <c r="I25" s="4736"/>
      <c r="J25" s="4736"/>
    </row>
    <row r="26" spans="1:18" ht="15">
      <c r="A26" s="522" t="s">
        <v>6153</v>
      </c>
    </row>
    <row r="27" spans="1:18" ht="14.25" customHeight="1">
      <c r="A27" s="4752" t="s">
        <v>6155</v>
      </c>
      <c r="B27" s="4752"/>
      <c r="C27" s="4752"/>
      <c r="D27" s="4752"/>
      <c r="E27" s="4752"/>
      <c r="F27" s="4752"/>
      <c r="G27" s="4752"/>
      <c r="H27" s="4752"/>
      <c r="I27" s="4752"/>
      <c r="J27" s="4752"/>
    </row>
    <row r="28" spans="1:18" ht="14.25" customHeight="1">
      <c r="A28" s="4752"/>
      <c r="B28" s="4752"/>
      <c r="C28" s="4752"/>
      <c r="D28" s="4752"/>
      <c r="E28" s="4752"/>
      <c r="F28" s="4752"/>
      <c r="G28" s="4752"/>
      <c r="H28" s="4752"/>
      <c r="I28" s="4752"/>
      <c r="J28" s="4752"/>
    </row>
    <row r="29" spans="1:18" ht="6.75" customHeight="1">
      <c r="A29" s="4752"/>
      <c r="B29" s="4752"/>
      <c r="C29" s="4752"/>
      <c r="D29" s="4752"/>
      <c r="E29" s="4752"/>
      <c r="F29" s="4752"/>
      <c r="G29" s="4752"/>
      <c r="H29" s="4752"/>
      <c r="I29" s="4752"/>
      <c r="J29" s="4752"/>
    </row>
    <row r="30" spans="1:18" ht="21.75" customHeight="1">
      <c r="A30" s="4752"/>
      <c r="B30" s="4752"/>
      <c r="C30" s="4752"/>
      <c r="D30" s="4752"/>
      <c r="E30" s="4752"/>
      <c r="F30" s="4752"/>
      <c r="G30" s="4752"/>
      <c r="H30" s="4752"/>
      <c r="I30" s="4752"/>
      <c r="J30" s="4752"/>
    </row>
    <row r="31" spans="1:18" ht="20.25" customHeight="1">
      <c r="A31" s="4752"/>
      <c r="B31" s="4752"/>
      <c r="C31" s="4752"/>
      <c r="D31" s="4752"/>
      <c r="E31" s="4752"/>
      <c r="F31" s="4752"/>
      <c r="G31" s="4752"/>
      <c r="H31" s="4752"/>
      <c r="I31" s="4752"/>
      <c r="J31" s="4752"/>
    </row>
    <row r="32" spans="1:18" ht="54.75" customHeight="1">
      <c r="A32" s="4752"/>
      <c r="B32" s="4752"/>
      <c r="C32" s="4752"/>
      <c r="D32" s="4752"/>
      <c r="E32" s="4752"/>
      <c r="F32" s="4752"/>
      <c r="G32" s="4752"/>
      <c r="H32" s="4752"/>
      <c r="I32" s="4752"/>
      <c r="J32" s="4752"/>
    </row>
    <row r="33" spans="1:10" ht="0.75" hidden="1" customHeight="1">
      <c r="A33" s="4752"/>
      <c r="B33" s="4752"/>
      <c r="C33" s="4752"/>
      <c r="D33" s="4752"/>
      <c r="E33" s="4752"/>
      <c r="F33" s="4752"/>
      <c r="G33" s="4752"/>
      <c r="H33" s="4752"/>
      <c r="I33" s="4752"/>
      <c r="J33" s="4752"/>
    </row>
    <row r="34" spans="1:10" ht="3.75" hidden="1" customHeight="1">
      <c r="A34" s="4752"/>
      <c r="B34" s="4752"/>
      <c r="C34" s="4752"/>
      <c r="D34" s="4752"/>
      <c r="E34" s="4752"/>
      <c r="F34" s="4752"/>
      <c r="G34" s="4752"/>
      <c r="H34" s="4752"/>
      <c r="I34" s="4752"/>
      <c r="J34" s="4752"/>
    </row>
    <row r="35" spans="1:10" ht="5.25" customHeight="1">
      <c r="A35" s="1251"/>
      <c r="B35" s="1251"/>
      <c r="C35" s="1251"/>
      <c r="D35" s="1251"/>
      <c r="E35" s="1251"/>
      <c r="F35" s="1251"/>
      <c r="G35" s="1251"/>
      <c r="H35" s="1251"/>
      <c r="I35" s="1251"/>
      <c r="J35" s="1251"/>
    </row>
    <row r="36" spans="1:10" ht="19.5" customHeight="1">
      <c r="A36" s="4751" t="s">
        <v>6156</v>
      </c>
      <c r="B36" s="4751"/>
      <c r="C36" s="4751"/>
      <c r="D36" s="1249"/>
      <c r="E36" s="1249"/>
      <c r="F36" s="1249"/>
      <c r="G36" s="1249"/>
      <c r="H36" s="1249"/>
      <c r="I36" s="1249"/>
      <c r="J36" s="1249"/>
    </row>
    <row r="37" spans="1:10" ht="22.5" customHeight="1">
      <c r="A37" s="4736" t="s">
        <v>1614</v>
      </c>
      <c r="B37" s="4736"/>
      <c r="C37" s="4736"/>
      <c r="D37" s="4736"/>
      <c r="E37" s="4736"/>
      <c r="F37" s="4736"/>
      <c r="G37" s="4736"/>
      <c r="H37" s="4736"/>
      <c r="I37" s="4736"/>
      <c r="J37" s="4736"/>
    </row>
    <row r="38" spans="1:10" ht="22.5" customHeight="1">
      <c r="A38" s="4736" t="s">
        <v>1615</v>
      </c>
      <c r="B38" s="4736"/>
      <c r="C38" s="4736"/>
      <c r="D38" s="4736"/>
      <c r="E38" s="4736"/>
      <c r="F38" s="4736"/>
      <c r="G38" s="4736"/>
      <c r="H38" s="4736"/>
      <c r="I38" s="4736"/>
      <c r="J38" s="4736"/>
    </row>
    <row r="39" spans="1:10" ht="22.5" customHeight="1">
      <c r="A39" s="4736" t="s">
        <v>1616</v>
      </c>
      <c r="B39" s="4736"/>
      <c r="C39" s="4736"/>
      <c r="D39" s="4736"/>
      <c r="E39" s="4736"/>
      <c r="F39" s="4736"/>
      <c r="G39" s="4736"/>
      <c r="H39" s="4736"/>
      <c r="I39" s="4736"/>
      <c r="J39" s="4736"/>
    </row>
    <row r="40" spans="1:10" ht="22.5" customHeight="1">
      <c r="A40" s="4736" t="s">
        <v>2182</v>
      </c>
      <c r="B40" s="4736"/>
      <c r="C40" s="4736"/>
      <c r="D40" s="4736"/>
      <c r="E40" s="4736"/>
      <c r="F40" s="4736"/>
      <c r="G40" s="4736"/>
      <c r="H40" s="4736"/>
      <c r="I40" s="4736"/>
      <c r="J40" s="4736"/>
    </row>
    <row r="41" spans="1:10" ht="22.5" customHeight="1">
      <c r="A41" s="4736" t="s">
        <v>1448</v>
      </c>
      <c r="B41" s="4736"/>
      <c r="C41" s="4736"/>
      <c r="D41" s="4736"/>
      <c r="E41" s="4736"/>
      <c r="F41" s="4736"/>
      <c r="G41" s="4736"/>
      <c r="H41" s="4736"/>
      <c r="I41" s="4736"/>
      <c r="J41" s="4736"/>
    </row>
    <row r="42" spans="1:10" ht="22.5" customHeight="1">
      <c r="A42" s="4736" t="s">
        <v>1449</v>
      </c>
      <c r="B42" s="4736"/>
      <c r="C42" s="4736"/>
      <c r="D42" s="4736"/>
      <c r="E42" s="4736"/>
      <c r="F42" s="4736"/>
      <c r="G42" s="4736"/>
      <c r="H42" s="4736"/>
      <c r="I42" s="4736"/>
      <c r="J42" s="4736"/>
    </row>
    <row r="43" spans="1:10" ht="22.5" customHeight="1">
      <c r="A43" s="4736" t="s">
        <v>93</v>
      </c>
      <c r="B43" s="4736"/>
      <c r="C43" s="4736"/>
      <c r="D43" s="4736"/>
      <c r="E43" s="4736"/>
      <c r="F43" s="4736"/>
      <c r="G43" s="4736"/>
      <c r="H43" s="4736"/>
      <c r="I43" s="4736"/>
      <c r="J43" s="4736"/>
    </row>
    <row r="44" spans="1:10" ht="22.5" customHeight="1">
      <c r="A44" s="4736" t="s">
        <v>481</v>
      </c>
      <c r="B44" s="4736"/>
      <c r="C44" s="4736"/>
      <c r="D44" s="4736"/>
      <c r="E44" s="4736"/>
      <c r="F44" s="4736"/>
      <c r="G44" s="4736"/>
      <c r="H44" s="4736"/>
      <c r="I44" s="4736"/>
      <c r="J44" s="4736"/>
    </row>
    <row r="45" spans="1:10" ht="2.25" customHeight="1">
      <c r="A45" s="1249"/>
      <c r="B45" s="1249"/>
      <c r="C45" s="1249"/>
      <c r="D45" s="1249"/>
      <c r="E45" s="1249"/>
      <c r="F45" s="1249"/>
      <c r="G45" s="1249"/>
      <c r="H45" s="1249"/>
      <c r="I45" s="1249"/>
      <c r="J45" s="1249"/>
    </row>
    <row r="46" spans="1:10" ht="15">
      <c r="A46" s="522" t="s">
        <v>2607</v>
      </c>
    </row>
    <row r="47" spans="1:10" ht="135" customHeight="1">
      <c r="A47" s="4736" t="s">
        <v>6157</v>
      </c>
      <c r="B47" s="4736"/>
      <c r="C47" s="4736"/>
      <c r="D47" s="4736"/>
      <c r="E47" s="4736"/>
      <c r="F47" s="4736"/>
      <c r="G47" s="4736"/>
      <c r="H47" s="4736"/>
      <c r="I47" s="4736"/>
      <c r="J47" s="4736"/>
    </row>
    <row r="48" spans="1:10" ht="6" customHeight="1">
      <c r="A48" s="1250"/>
      <c r="B48" s="1250"/>
      <c r="C48" s="1250"/>
      <c r="D48" s="1250"/>
      <c r="E48" s="1250"/>
      <c r="F48" s="1250"/>
      <c r="G48" s="1250"/>
      <c r="H48" s="1250"/>
      <c r="I48" s="1250"/>
      <c r="J48" s="1250"/>
    </row>
    <row r="49" spans="1:12" ht="15">
      <c r="A49" s="522" t="s">
        <v>2608</v>
      </c>
    </row>
    <row r="50" spans="1:12" ht="33" customHeight="1">
      <c r="A50" s="4732" t="s">
        <v>3452</v>
      </c>
      <c r="B50" s="4734"/>
      <c r="C50" s="4734"/>
      <c r="D50" s="4734"/>
      <c r="E50" s="4734"/>
      <c r="F50" s="4734"/>
      <c r="G50" s="4734"/>
      <c r="H50" s="4734"/>
      <c r="I50" s="4734"/>
      <c r="J50" s="4732"/>
    </row>
    <row r="51" spans="1:12" ht="3" customHeight="1"/>
    <row r="52" spans="1:12" ht="72.75" customHeight="1">
      <c r="A52" s="4732" t="s">
        <v>3453</v>
      </c>
      <c r="B52" s="4732"/>
      <c r="C52" s="4732"/>
      <c r="D52" s="4732"/>
      <c r="E52" s="4732"/>
      <c r="F52" s="4732"/>
      <c r="G52" s="4732"/>
      <c r="H52" s="4732"/>
      <c r="I52" s="4732"/>
      <c r="J52" s="4732"/>
    </row>
    <row r="53" spans="1:12" ht="3" customHeight="1">
      <c r="A53" s="1249"/>
      <c r="B53" s="1249"/>
      <c r="C53" s="1249"/>
      <c r="D53" s="1249"/>
      <c r="E53" s="1249"/>
      <c r="F53" s="1249"/>
      <c r="G53" s="1249"/>
      <c r="H53" s="1249"/>
      <c r="I53" s="1249"/>
      <c r="J53" s="1249"/>
    </row>
    <row r="54" spans="1:12" ht="56.25" customHeight="1">
      <c r="A54" s="4732" t="s">
        <v>3454</v>
      </c>
      <c r="B54" s="4732"/>
      <c r="C54" s="4732"/>
      <c r="D54" s="4732"/>
      <c r="E54" s="4732"/>
      <c r="F54" s="4732"/>
      <c r="G54" s="4732"/>
      <c r="H54" s="4732"/>
      <c r="I54" s="4732"/>
      <c r="J54" s="4732"/>
    </row>
    <row r="55" spans="1:12" ht="3" customHeight="1">
      <c r="A55" s="1249"/>
      <c r="B55" s="1249"/>
      <c r="C55" s="1249"/>
      <c r="D55" s="1249"/>
      <c r="E55" s="1249"/>
      <c r="F55" s="1249"/>
      <c r="G55" s="1249"/>
      <c r="H55" s="1249"/>
      <c r="I55" s="1249"/>
      <c r="J55" s="1249"/>
    </row>
    <row r="56" spans="1:12" ht="49.5" customHeight="1">
      <c r="A56" s="4732" t="s">
        <v>3455</v>
      </c>
      <c r="B56" s="4732"/>
      <c r="C56" s="4732"/>
      <c r="D56" s="4732"/>
      <c r="E56" s="4732"/>
      <c r="F56" s="4732"/>
      <c r="G56" s="4732"/>
      <c r="H56" s="4732"/>
      <c r="I56" s="4732"/>
      <c r="J56" s="1249"/>
    </row>
    <row r="57" spans="1:12" ht="3" customHeight="1">
      <c r="A57" s="1249"/>
      <c r="B57" s="1249"/>
      <c r="C57" s="1249"/>
      <c r="D57" s="1249"/>
      <c r="E57" s="1249"/>
      <c r="F57" s="1249"/>
      <c r="G57" s="1249"/>
      <c r="H57" s="1249"/>
      <c r="I57" s="1249"/>
      <c r="J57" s="1249"/>
    </row>
    <row r="58" spans="1:12" ht="54.75" customHeight="1">
      <c r="A58" s="4763" t="s">
        <v>2956</v>
      </c>
      <c r="B58" s="4732"/>
      <c r="C58" s="4732"/>
      <c r="D58" s="4732"/>
      <c r="E58" s="4732"/>
      <c r="F58" s="4732"/>
      <c r="G58" s="4732"/>
      <c r="H58" s="4732"/>
      <c r="I58" s="4732"/>
      <c r="J58" s="1249"/>
    </row>
    <row r="59" spans="1:12" ht="3" customHeight="1">
      <c r="A59" s="1249"/>
      <c r="B59" s="1249"/>
      <c r="C59" s="1249"/>
      <c r="D59" s="1249"/>
      <c r="E59" s="1249"/>
      <c r="F59" s="1249"/>
      <c r="G59" s="1249"/>
      <c r="H59" s="1249"/>
      <c r="I59" s="1249"/>
      <c r="J59" s="1249"/>
    </row>
    <row r="60" spans="1:12" ht="62.25" customHeight="1">
      <c r="A60" s="4732" t="s">
        <v>3456</v>
      </c>
      <c r="B60" s="4732"/>
      <c r="C60" s="4732"/>
      <c r="D60" s="4732"/>
      <c r="E60" s="4732"/>
      <c r="F60" s="4732"/>
      <c r="G60" s="4732"/>
      <c r="H60" s="4732"/>
      <c r="I60" s="4732"/>
      <c r="J60" s="4732"/>
    </row>
    <row r="61" spans="1:12" ht="3" customHeight="1"/>
    <row r="62" spans="1:12" ht="73.5" customHeight="1">
      <c r="A62" s="4732" t="s">
        <v>3457</v>
      </c>
      <c r="B62" s="4732"/>
      <c r="C62" s="4732"/>
      <c r="D62" s="4732"/>
      <c r="E62" s="4732"/>
      <c r="F62" s="4732"/>
      <c r="G62" s="4732"/>
      <c r="H62" s="4732"/>
      <c r="I62" s="4732"/>
      <c r="J62" s="4732"/>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0" t="s">
        <v>2610</v>
      </c>
      <c r="B65" s="4750"/>
      <c r="C65" s="4750"/>
      <c r="D65" s="4750"/>
      <c r="E65" s="4750"/>
      <c r="F65" s="4750"/>
      <c r="G65" s="4750"/>
      <c r="H65" s="4750"/>
      <c r="I65" s="4750"/>
      <c r="J65" s="4750"/>
      <c r="L65" s="524">
        <f>'Closing term sheet'!C135</f>
        <v>601274.5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9391561 via the syndication of the 2021 Federal LIHTC allocation of 1105000 per annum. will make a capital contribution totaling 3922358 via the syndication of the 2021 State LIHTC allocation of 1105000 per annum.</v>
      </c>
      <c r="B67" s="4732"/>
      <c r="C67" s="4732"/>
      <c r="D67" s="4732"/>
      <c r="E67" s="4732"/>
      <c r="F67" s="4732"/>
      <c r="G67" s="4732"/>
      <c r="H67" s="4732"/>
      <c r="I67" s="4732"/>
      <c r="J67" s="529"/>
      <c r="L67" s="530">
        <f>'Part II-Sources of Funds'!I51</f>
        <v>9391561</v>
      </c>
      <c r="M67" s="531">
        <f>'Part III-A-Uses of Funds'!$J$191</f>
        <v>1105000</v>
      </c>
      <c r="N67" s="532">
        <f>'Part III-A-Uses of Funds'!N182</f>
        <v>0.85</v>
      </c>
      <c r="O67" s="530">
        <f>'Part II-Sources of Funds'!I52</f>
        <v>3922358</v>
      </c>
      <c r="P67" s="531">
        <f>M67</f>
        <v>1105000</v>
      </c>
      <c r="Q67" s="532">
        <f>'Part III-A-Uses of Funds'!Q182</f>
        <v>0.35499999999999998</v>
      </c>
    </row>
    <row r="68" spans="1:17" ht="39.75" customHeight="1">
      <c r="A68" s="473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1.205 (0.85 Federal tax credit and 0.355 State tax credit) for a (X%) ownership interest of the Federal Credits and a (X%) ownership interest of the State Credits. </v>
      </c>
      <c r="B68" s="4736"/>
      <c r="C68" s="4736"/>
      <c r="D68" s="4736"/>
      <c r="E68" s="4736"/>
      <c r="F68" s="4736"/>
      <c r="G68" s="4736"/>
      <c r="H68" s="4736"/>
      <c r="I68" s="4736"/>
      <c r="J68" s="529"/>
      <c r="L68" s="1552"/>
      <c r="M68" s="1552"/>
      <c r="N68" s="635"/>
      <c r="O68" s="1552"/>
      <c r="P68" s="1552"/>
      <c r="Q68" s="635"/>
    </row>
    <row r="69" spans="1:17" ht="18.75" customHeight="1">
      <c r="A69" s="533" t="s">
        <v>2611</v>
      </c>
    </row>
    <row r="70" spans="1:17" ht="177" customHeight="1">
      <c r="A70" s="4732" t="s">
        <v>6158</v>
      </c>
      <c r="B70" s="4732"/>
      <c r="C70" s="4732"/>
      <c r="D70" s="4732"/>
      <c r="E70" s="4732"/>
      <c r="F70" s="4732"/>
      <c r="G70" s="4732"/>
      <c r="H70" s="4732"/>
      <c r="I70" s="4732"/>
      <c r="J70" s="4732"/>
      <c r="L70" s="534">
        <f>'Part VI-Pro Forma'!K72</f>
        <v>331212.56148103299</v>
      </c>
      <c r="M70" s="4757" t="s">
        <v>3097</v>
      </c>
      <c r="N70" s="4749"/>
    </row>
    <row r="71" spans="1:17" ht="6" customHeight="1">
      <c r="A71" s="522"/>
    </row>
    <row r="72" spans="1:17" ht="15">
      <c r="A72" s="522" t="s">
        <v>2612</v>
      </c>
    </row>
    <row r="73" spans="1:17" ht="72.599999999999994" customHeight="1">
      <c r="A73" s="4732" t="s">
        <v>2613</v>
      </c>
      <c r="B73" s="4732"/>
      <c r="C73" s="4732"/>
      <c r="D73" s="4732"/>
      <c r="E73" s="4732"/>
      <c r="F73" s="4732"/>
      <c r="G73" s="4732"/>
      <c r="H73" s="4732"/>
      <c r="I73" s="4732"/>
      <c r="J73" s="4732"/>
    </row>
    <row r="74" spans="1:17" ht="36" customHeight="1">
      <c r="A74" s="4732" t="s">
        <v>2614</v>
      </c>
      <c r="B74" s="4732"/>
      <c r="C74" s="4732"/>
      <c r="D74" s="4732"/>
      <c r="E74" s="4732"/>
      <c r="F74" s="4732"/>
      <c r="G74" s="4732"/>
      <c r="H74" s="4732"/>
      <c r="I74" s="4732"/>
      <c r="J74" s="4732"/>
    </row>
    <row r="75" spans="1:17" ht="6" customHeight="1">
      <c r="A75" s="522"/>
    </row>
    <row r="76" spans="1:17" ht="15">
      <c r="A76" s="522" t="s">
        <v>2615</v>
      </c>
    </row>
    <row r="77" spans="1:17" ht="105.75" customHeight="1">
      <c r="A77" s="4732" t="s">
        <v>2616</v>
      </c>
      <c r="B77" s="4732"/>
      <c r="C77" s="4732"/>
      <c r="D77" s="4732"/>
      <c r="E77" s="4732"/>
      <c r="F77" s="4732"/>
      <c r="G77" s="4732"/>
      <c r="H77" s="4732"/>
      <c r="I77" s="4732"/>
      <c r="J77" s="4732"/>
    </row>
    <row r="78" spans="1:17" ht="6" customHeight="1">
      <c r="A78" s="522"/>
    </row>
    <row r="79" spans="1:17" ht="15">
      <c r="A79" s="522" t="s">
        <v>2617</v>
      </c>
    </row>
    <row r="80" spans="1:17" ht="66" customHeight="1">
      <c r="A80" s="4732" t="s">
        <v>2618</v>
      </c>
      <c r="B80" s="4732"/>
      <c r="C80" s="4732"/>
      <c r="D80" s="4732"/>
      <c r="E80" s="4732"/>
      <c r="F80" s="4732"/>
      <c r="G80" s="4732"/>
      <c r="H80" s="4732"/>
      <c r="I80" s="4732"/>
      <c r="J80" s="4732"/>
    </row>
    <row r="81" spans="1:15" s="1251" customFormat="1" ht="6" customHeight="1">
      <c r="A81" s="4732"/>
      <c r="B81" s="4732"/>
      <c r="C81" s="4732"/>
      <c r="D81" s="4732"/>
      <c r="E81" s="4732"/>
      <c r="F81" s="4732"/>
      <c r="G81" s="4732"/>
      <c r="H81" s="4732"/>
      <c r="I81" s="4732"/>
      <c r="J81" s="4732"/>
    </row>
    <row r="82" spans="1:15" ht="16.5" customHeight="1">
      <c r="A82" s="1252" t="s">
        <v>2619</v>
      </c>
      <c r="B82" s="521"/>
      <c r="C82" s="521"/>
      <c r="D82" s="1024"/>
      <c r="E82" s="521"/>
      <c r="F82" s="521"/>
      <c r="G82" s="521"/>
      <c r="H82" s="521"/>
      <c r="I82" s="521"/>
      <c r="J82" s="535"/>
    </row>
    <row r="83" spans="1:15" s="1251" customFormat="1" ht="63" customHeight="1">
      <c r="A83" s="4732" t="s">
        <v>3659</v>
      </c>
      <c r="B83" s="4732"/>
      <c r="C83" s="4732"/>
      <c r="D83" s="4732"/>
      <c r="E83" s="4732"/>
      <c r="F83" s="4732"/>
      <c r="G83" s="4732"/>
      <c r="H83" s="4732"/>
      <c r="I83" s="4732"/>
      <c r="J83" s="4732"/>
    </row>
    <row r="84" spans="1:15" s="1251" customFormat="1" ht="6" customHeight="1">
      <c r="A84" s="1249"/>
      <c r="B84" s="1249"/>
      <c r="C84" s="1249"/>
      <c r="D84" s="1249"/>
      <c r="E84" s="1249"/>
      <c r="F84" s="1249"/>
      <c r="G84" s="1249"/>
      <c r="H84" s="1249"/>
      <c r="I84" s="1249"/>
      <c r="J84" s="1249"/>
    </row>
    <row r="85" spans="1:15" ht="16.5" customHeight="1">
      <c r="A85" s="4754" t="s">
        <v>2620</v>
      </c>
      <c r="B85" s="4755"/>
      <c r="C85" s="4755"/>
      <c r="D85" s="521"/>
      <c r="E85" s="521"/>
      <c r="F85" s="521"/>
      <c r="G85" s="521"/>
      <c r="H85" s="521"/>
      <c r="I85" s="521"/>
      <c r="J85" s="535"/>
    </row>
    <row r="86" spans="1:15" ht="41.25" customHeight="1">
      <c r="A86" s="4732" t="s">
        <v>6159</v>
      </c>
      <c r="B86" s="4756"/>
      <c r="C86" s="4756"/>
      <c r="D86" s="4756"/>
      <c r="E86" s="4756"/>
      <c r="F86" s="4756"/>
      <c r="G86" s="4756"/>
      <c r="H86" s="4756"/>
      <c r="I86" s="4756"/>
      <c r="J86" s="4756"/>
    </row>
    <row r="87" spans="1:15" ht="6" customHeight="1">
      <c r="A87" s="536"/>
      <c r="B87" s="521"/>
      <c r="C87" s="521"/>
      <c r="D87" s="521"/>
      <c r="E87" s="521"/>
      <c r="F87" s="521"/>
      <c r="G87" s="521"/>
      <c r="H87" s="521"/>
      <c r="I87" s="521"/>
      <c r="J87" s="535"/>
    </row>
    <row r="88" spans="1:15" ht="15">
      <c r="A88" s="522" t="s">
        <v>2621</v>
      </c>
    </row>
    <row r="89" spans="1:15" ht="124.15" customHeight="1">
      <c r="A89" s="4732" t="s">
        <v>2622</v>
      </c>
      <c r="B89" s="4732"/>
      <c r="C89" s="4732"/>
      <c r="D89" s="4732"/>
      <c r="E89" s="4732"/>
      <c r="F89" s="4732"/>
      <c r="G89" s="4732"/>
      <c r="H89" s="4732"/>
      <c r="I89" s="4732"/>
      <c r="J89" s="4732"/>
      <c r="L89" s="4749" t="s">
        <v>2623</v>
      </c>
      <c r="M89" s="4749"/>
      <c r="N89" s="4749"/>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2" t="s">
        <v>2625</v>
      </c>
      <c r="B92" s="4732"/>
      <c r="C92" s="4732"/>
      <c r="D92" s="4732"/>
      <c r="E92" s="4732"/>
      <c r="F92" s="4732"/>
      <c r="G92" s="4732"/>
      <c r="H92" s="4732"/>
      <c r="I92" s="4732"/>
      <c r="J92" s="4732"/>
      <c r="L92" s="4749" t="s">
        <v>2626</v>
      </c>
      <c r="M92" s="4749"/>
      <c r="N92" s="537" t="e">
        <f>'After-Tax Analysis'!G66</f>
        <v>#VALUE!</v>
      </c>
      <c r="O92" s="538" t="s">
        <v>2627</v>
      </c>
    </row>
    <row r="93" spans="1:15" ht="6" customHeight="1">
      <c r="A93" s="522"/>
    </row>
    <row r="94" spans="1:15" ht="15">
      <c r="A94" s="522" t="s">
        <v>2628</v>
      </c>
    </row>
    <row r="95" spans="1:15" ht="118.5" customHeight="1">
      <c r="A95" s="4732" t="s">
        <v>2629</v>
      </c>
      <c r="B95" s="4732"/>
      <c r="C95" s="4732"/>
      <c r="D95" s="4732"/>
      <c r="E95" s="4732"/>
      <c r="F95" s="4732"/>
      <c r="G95" s="4732"/>
      <c r="H95" s="4732"/>
      <c r="I95" s="4732"/>
      <c r="J95" s="4732"/>
    </row>
    <row r="96" spans="1:15" ht="20.25" customHeight="1">
      <c r="A96" s="4734" t="s">
        <v>2630</v>
      </c>
      <c r="B96" s="4734"/>
      <c r="C96" s="4734"/>
      <c r="D96" s="4732"/>
      <c r="E96" s="1249"/>
      <c r="F96" s="1249"/>
      <c r="G96" s="1249"/>
      <c r="H96" s="1249"/>
      <c r="I96" s="1249"/>
      <c r="J96" s="1249"/>
    </row>
    <row r="97" spans="1:14" ht="109.5" customHeight="1">
      <c r="A97" s="4761" t="s">
        <v>2631</v>
      </c>
      <c r="B97" s="4762"/>
      <c r="C97" s="4762"/>
      <c r="D97" s="4762"/>
      <c r="E97" s="4762"/>
      <c r="F97" s="4762"/>
      <c r="G97" s="4762"/>
      <c r="H97" s="4762"/>
      <c r="I97" s="4762"/>
      <c r="J97" s="4762"/>
    </row>
    <row r="98" spans="1:14" ht="11.25" customHeight="1">
      <c r="A98" s="522"/>
    </row>
    <row r="99" spans="1:14" ht="15">
      <c r="A99" s="522" t="s">
        <v>2632</v>
      </c>
    </row>
    <row r="100" spans="1:14" ht="110.65" customHeight="1">
      <c r="A100" s="4750" t="s">
        <v>2633</v>
      </c>
      <c r="B100" s="4750"/>
      <c r="C100" s="4750"/>
      <c r="D100" s="4750"/>
      <c r="E100" s="4750"/>
      <c r="F100" s="4750"/>
      <c r="G100" s="4750"/>
      <c r="H100" s="4750"/>
      <c r="I100" s="4750"/>
      <c r="J100" s="4750"/>
      <c r="L100" s="975">
        <f>'Part VI-Pro Forma'!K72</f>
        <v>331212.56148103299</v>
      </c>
      <c r="M100" s="4753" t="s">
        <v>2634</v>
      </c>
      <c r="N100" s="475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4" t="s">
        <v>2635</v>
      </c>
      <c r="B104" s="4734"/>
      <c r="C104" s="4734"/>
      <c r="D104" s="1249"/>
      <c r="E104" s="1249"/>
      <c r="F104" s="1249"/>
      <c r="G104" s="1249"/>
      <c r="H104" s="1249"/>
      <c r="I104" s="1249"/>
      <c r="J104" s="535"/>
    </row>
    <row r="105" spans="1:14" ht="37.5" customHeight="1">
      <c r="A105" s="4732" t="s">
        <v>2636</v>
      </c>
      <c r="B105" s="4732"/>
      <c r="C105" s="4732"/>
      <c r="D105" s="4732"/>
      <c r="E105" s="4732"/>
      <c r="F105" s="4732"/>
      <c r="G105" s="4732"/>
      <c r="H105" s="4732"/>
      <c r="I105" s="4732"/>
      <c r="J105" s="4732"/>
    </row>
    <row r="106" spans="1:14" ht="6" customHeight="1">
      <c r="A106" s="522"/>
    </row>
    <row r="107" spans="1:14" ht="15">
      <c r="A107" s="522" t="s">
        <v>2637</v>
      </c>
    </row>
    <row r="108" spans="1:14" ht="43.5" customHeight="1">
      <c r="A108" s="4732" t="s">
        <v>2638</v>
      </c>
      <c r="B108" s="4732"/>
      <c r="C108" s="4732"/>
      <c r="D108" s="4732"/>
      <c r="E108" s="4732"/>
      <c r="F108" s="4732"/>
      <c r="G108" s="4732"/>
      <c r="H108" s="4732"/>
      <c r="I108" s="4732"/>
      <c r="J108" s="4732"/>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9" t="s">
        <v>6064</v>
      </c>
      <c r="B120" s="4759"/>
      <c r="C120" s="4759"/>
      <c r="D120" s="4759"/>
      <c r="E120" s="4760"/>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West Pine Residences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West Pine Residences</v>
      </c>
      <c r="D8" s="4764"/>
      <c r="E8" s="1020" t="str">
        <f>'Part I-Project Identification'!O7</f>
        <v>2023-0</v>
      </c>
      <c r="F8" s="510" t="s">
        <v>2648</v>
      </c>
      <c r="G8" s="507"/>
      <c r="H8" s="4764" t="str">
        <f>CONCATENATE('Part I-Project Identification'!F26,", ",'Part I-Project Identification'!J26)</f>
        <v>Sylvester, Worth</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20">
        <f>'Part II-Development Team'!H15</f>
        <v>0</v>
      </c>
      <c r="D10" s="507"/>
      <c r="E10" s="507"/>
      <c r="F10" s="510" t="s">
        <v>3131</v>
      </c>
      <c r="G10" s="507"/>
      <c r="H10" s="4764">
        <f>'Part II-Development Team'!H34</f>
        <v>0</v>
      </c>
      <c r="I10" s="4764"/>
      <c r="J10" s="4764"/>
      <c r="K10" s="4764">
        <f>'Part II-Development Team'!H40</f>
        <v>0</v>
      </c>
      <c r="L10" s="476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44</v>
      </c>
      <c r="E13" s="970">
        <f>'Part V-Revenues &amp; Expenses'!$P$63</f>
        <v>44</v>
      </c>
      <c r="F13" s="510" t="s">
        <v>3451</v>
      </c>
      <c r="G13" s="507"/>
      <c r="H13" s="1021" t="e">
        <f>'Part I-Project Identification'!#REF!</f>
        <v>#REF!</v>
      </c>
      <c r="I13" s="971"/>
      <c r="J13" s="971"/>
      <c r="K13" s="1021">
        <f>'Part V-Revenues &amp; Expenses'!K175</f>
        <v>46034</v>
      </c>
      <c r="L13" s="507"/>
      <c r="M13" s="507"/>
    </row>
    <row r="14" spans="1:14" ht="15.75">
      <c r="A14" s="510" t="s">
        <v>2949</v>
      </c>
      <c r="B14" s="507"/>
      <c r="C14" s="1021" t="e">
        <f>'Part I-Project Identification'!#REF!</f>
        <v>#REF!</v>
      </c>
      <c r="D14" s="4764" t="e">
        <f>IF('Part V-Revenues &amp; Expenses'!#REF!=0,"",'Part V-Revenues &amp; Expenses'!#REF!)</f>
        <v>#REF!</v>
      </c>
      <c r="E14" s="4764"/>
      <c r="F14" s="510" t="s">
        <v>2658</v>
      </c>
      <c r="G14" s="507"/>
      <c r="H14" s="4744" t="s">
        <v>3099</v>
      </c>
      <c r="I14" s="4744"/>
      <c r="J14" s="4744"/>
      <c r="K14" s="4744" t="s">
        <v>3099</v>
      </c>
      <c r="L14" s="4744"/>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13821370.115847625</v>
      </c>
      <c r="D18" s="1003">
        <f>IF(C18=0,"",$C$29/C18)</f>
        <v>3.6175863594499834E-2</v>
      </c>
      <c r="E18" s="507" t="s">
        <v>2953</v>
      </c>
      <c r="F18" s="510" t="s">
        <v>2954</v>
      </c>
      <c r="G18" s="507"/>
      <c r="H18" s="4765">
        <f>'Part III-A-Uses of Funds'!C49</f>
        <v>10229643</v>
      </c>
      <c r="I18" s="4765"/>
      <c r="J18" s="1002">
        <f>IF(H18=0,"",$C$29/H18)</f>
        <v>4.8877561025345656E-2</v>
      </c>
      <c r="K18" s="4764" t="s">
        <v>2955</v>
      </c>
      <c r="L18" s="4764"/>
      <c r="M18" s="507"/>
    </row>
    <row r="19" spans="1:13" ht="15.75">
      <c r="A19" s="510" t="s">
        <v>2660</v>
      </c>
      <c r="B19" s="507"/>
      <c r="C19" s="1022">
        <f>C18/C13</f>
        <v>314122.04808744602</v>
      </c>
      <c r="D19" s="507"/>
      <c r="E19" s="507"/>
      <c r="F19" s="510" t="s">
        <v>2660</v>
      </c>
      <c r="G19" s="507"/>
      <c r="H19" s="4766">
        <f>H18/C13</f>
        <v>232491.88636363635</v>
      </c>
      <c r="I19" s="4766"/>
      <c r="J19" s="507"/>
      <c r="K19" s="507"/>
      <c r="L19" s="507"/>
      <c r="M19" s="507"/>
    </row>
    <row r="20" spans="1:13" ht="15.75">
      <c r="A20" s="510" t="s">
        <v>2661</v>
      </c>
      <c r="B20" s="507"/>
      <c r="C20" s="1020">
        <f>C18/K13</f>
        <v>300.24264925593309</v>
      </c>
      <c r="D20" s="548"/>
      <c r="E20" s="548"/>
      <c r="F20" s="510" t="s">
        <v>2661</v>
      </c>
      <c r="G20" s="507"/>
      <c r="H20" s="4764">
        <f>H18/K13</f>
        <v>222.21929443454837</v>
      </c>
      <c r="I20" s="476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Central Bank of Kansas City (Capital Magnet Funds)</v>
      </c>
      <c r="C25" s="553">
        <f>'Part II-Sources of Funds'!I40</f>
        <v>500000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500000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13313919</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3.6175863594499834E-2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4.8877561025345656E-2</v>
      </c>
      <c r="D40" s="507"/>
      <c r="E40" s="507"/>
      <c r="F40" s="510"/>
      <c r="G40" s="510" t="s">
        <v>2681</v>
      </c>
      <c r="H40" s="507"/>
      <c r="I40" s="507"/>
      <c r="K40" s="555">
        <f>C30/C18</f>
        <v>0.96328503530443921</v>
      </c>
      <c r="L40" s="507"/>
      <c r="M40" s="507"/>
    </row>
    <row r="46" spans="1:13" ht="15.75">
      <c r="A46" s="550" t="s">
        <v>2682</v>
      </c>
      <c r="B46" s="540"/>
      <c r="C46" s="540"/>
      <c r="D46" s="540"/>
      <c r="E46" s="540"/>
      <c r="F46" s="540"/>
      <c r="G46" s="540"/>
      <c r="H46" s="540"/>
      <c r="I46" s="540"/>
      <c r="J46" s="540"/>
      <c r="K46" s="540"/>
      <c r="L46" s="540"/>
      <c r="M46" s="507"/>
    </row>
    <row r="47" spans="1:13" ht="15.75">
      <c r="A47" s="550" t="str">
        <f>C8</f>
        <v>West Pine Residences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7" t="s">
        <v>2685</v>
      </c>
      <c r="L50" s="4748"/>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297120</v>
      </c>
      <c r="D52" s="568"/>
      <c r="E52" s="568">
        <f>$C$52</f>
        <v>297120</v>
      </c>
      <c r="F52" s="568"/>
      <c r="G52" s="568">
        <f>$C$52</f>
        <v>297120</v>
      </c>
      <c r="H52" s="568"/>
      <c r="I52" s="568">
        <f>$C$52</f>
        <v>297120</v>
      </c>
      <c r="J52" s="568"/>
      <c r="K52" s="568">
        <f>$C$52</f>
        <v>297120</v>
      </c>
      <c r="L52" s="569"/>
      <c r="M52"/>
      <c r="N52"/>
    </row>
    <row r="53" spans="1:14" s="507" customFormat="1" ht="18.75" customHeight="1">
      <c r="B53" s="567" t="s">
        <v>2689</v>
      </c>
      <c r="C53" s="568">
        <f>'Part VI-Pro Forma'!B16</f>
        <v>5942.4000000000005</v>
      </c>
      <c r="D53" s="568"/>
      <c r="E53" s="568">
        <f>$C$53</f>
        <v>5942.4000000000005</v>
      </c>
      <c r="F53" s="568"/>
      <c r="G53" s="568">
        <f>$C$53</f>
        <v>5942.4000000000005</v>
      </c>
      <c r="H53" s="568"/>
      <c r="I53" s="568">
        <f>$C$53</f>
        <v>5942.4000000000005</v>
      </c>
      <c r="J53" s="568"/>
      <c r="K53" s="568">
        <f>$C$53</f>
        <v>5942.4000000000005</v>
      </c>
      <c r="L53" s="569"/>
      <c r="M53"/>
      <c r="N53"/>
    </row>
    <row r="54" spans="1:14" s="507" customFormat="1" ht="18.75" customHeight="1">
      <c r="B54" s="567" t="s">
        <v>2687</v>
      </c>
      <c r="C54" s="568">
        <f>'Part VI-Pro Forma'!B17</f>
        <v>-21214.368000000002</v>
      </c>
      <c r="D54" s="568"/>
      <c r="E54" s="568">
        <f>-($C$52+E53)*F50</f>
        <v>-30306.240000000005</v>
      </c>
      <c r="F54" s="570"/>
      <c r="G54" s="568">
        <f>-($C$52+G53)*0.07</f>
        <v>-21214.368000000002</v>
      </c>
      <c r="H54" s="568"/>
      <c r="I54" s="568">
        <f>-($C$52+I53)*0.07</f>
        <v>-21214.368000000002</v>
      </c>
      <c r="J54" s="568"/>
      <c r="K54" s="568">
        <f>-($C$52+K53)*L54</f>
        <v>-30306.240000000005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281848.03200000001</v>
      </c>
      <c r="D56" s="568"/>
      <c r="E56" s="574">
        <f>SUM(E52:E55)</f>
        <v>272756.16000000003</v>
      </c>
      <c r="F56" s="568"/>
      <c r="G56" s="574">
        <f>SUM(G52:G55)</f>
        <v>281848.03200000001</v>
      </c>
      <c r="H56" s="568"/>
      <c r="I56" s="574">
        <f>SUM(I52:I55)</f>
        <v>281848.03200000001</v>
      </c>
      <c r="J56" s="568"/>
      <c r="K56" s="574">
        <f>SUM(K52:K55)</f>
        <v>272756.16000000003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107763</v>
      </c>
      <c r="D58" s="568"/>
      <c r="E58" s="568">
        <f>$C$58</f>
        <v>107763</v>
      </c>
      <c r="F58" s="568"/>
      <c r="G58" s="568">
        <f>$C$58</f>
        <v>107763</v>
      </c>
      <c r="H58" s="568"/>
      <c r="I58" s="568">
        <f>$C$58</f>
        <v>107763</v>
      </c>
      <c r="J58" s="568"/>
      <c r="K58" s="568">
        <f>$C$58</f>
        <v>107763</v>
      </c>
      <c r="L58" s="569"/>
      <c r="M58"/>
      <c r="N58"/>
    </row>
    <row r="59" spans="1:14" s="507" customFormat="1" ht="18.75" customHeight="1">
      <c r="B59" s="567" t="s">
        <v>2692</v>
      </c>
      <c r="C59" s="568">
        <f>+'Part V-Revenues &amp; Expenses'!F247</f>
        <v>20900</v>
      </c>
      <c r="D59" s="568"/>
      <c r="E59" s="568">
        <f>$C$59</f>
        <v>20900</v>
      </c>
      <c r="F59" s="568"/>
      <c r="G59" s="568">
        <f>$C$59</f>
        <v>20900</v>
      </c>
      <c r="H59" s="568"/>
      <c r="I59" s="568">
        <f>$C$59</f>
        <v>20900</v>
      </c>
      <c r="J59" s="568"/>
      <c r="K59" s="568">
        <f>$C$59*(1+$L$59)</f>
        <v>21736</v>
      </c>
      <c r="L59" s="575">
        <v>0.04</v>
      </c>
      <c r="M59"/>
      <c r="N59"/>
    </row>
    <row r="60" spans="1:14" s="507" customFormat="1" ht="18.75" customHeight="1">
      <c r="B60" s="567" t="s">
        <v>1297</v>
      </c>
      <c r="C60" s="568">
        <f>+'Part V-Revenues &amp; Expenses'!L241</f>
        <v>18800</v>
      </c>
      <c r="D60" s="568"/>
      <c r="E60" s="568">
        <f>$C$60</f>
        <v>18800</v>
      </c>
      <c r="F60" s="568"/>
      <c r="G60" s="568">
        <f>$C$60</f>
        <v>18800</v>
      </c>
      <c r="H60" s="568"/>
      <c r="I60" s="568">
        <f>$C$60*(1+$J$50)</f>
        <v>19364</v>
      </c>
      <c r="J60" s="570"/>
      <c r="K60" s="568">
        <f>$C$60*(1+$J$50)</f>
        <v>19364</v>
      </c>
      <c r="L60" s="571">
        <v>0.03</v>
      </c>
      <c r="M60"/>
      <c r="N60"/>
    </row>
    <row r="61" spans="1:14" s="507" customFormat="1" ht="18.75" customHeight="1">
      <c r="B61" s="567" t="s">
        <v>1298</v>
      </c>
      <c r="C61" s="568">
        <f>+'Part V-Revenues &amp; Expenses'!L247</f>
        <v>46208.44</v>
      </c>
      <c r="D61" s="568"/>
      <c r="E61" s="568">
        <f>$C$61</f>
        <v>46208.44</v>
      </c>
      <c r="F61" s="568"/>
      <c r="G61" s="568">
        <f>$C$61*(1+H50)</f>
        <v>48518.862000000001</v>
      </c>
      <c r="H61" s="570"/>
      <c r="I61" s="568">
        <f>$C$61</f>
        <v>46208.44</v>
      </c>
      <c r="J61" s="568"/>
      <c r="K61" s="568">
        <f>$C$61*(1+$L$61)</f>
        <v>48518.862000000001</v>
      </c>
      <c r="L61" s="571">
        <v>0.05</v>
      </c>
      <c r="M61"/>
      <c r="N61"/>
    </row>
    <row r="62" spans="1:14" s="507" customFormat="1" ht="18.75" customHeight="1">
      <c r="B62" s="573" t="s">
        <v>2693</v>
      </c>
      <c r="C62" s="574">
        <f>SUM(C58:C61)</f>
        <v>193671.44</v>
      </c>
      <c r="D62" s="568"/>
      <c r="E62" s="574">
        <f>SUM(E58:E61)</f>
        <v>193671.44</v>
      </c>
      <c r="F62" s="568"/>
      <c r="G62" s="574">
        <f>SUM(G58:G61)</f>
        <v>195981.86199999999</v>
      </c>
      <c r="H62" s="568"/>
      <c r="I62" s="574">
        <f>SUM(I58:I61)</f>
        <v>194235.44</v>
      </c>
      <c r="J62" s="568"/>
      <c r="K62" s="574">
        <f>SUM(K58:K61)</f>
        <v>197381.86199999999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88176.592000000004</v>
      </c>
      <c r="D64" s="577"/>
      <c r="E64" s="577">
        <f>E56-E62</f>
        <v>79084.72000000003</v>
      </c>
      <c r="F64" s="577"/>
      <c r="G64" s="577">
        <f>G56-G62</f>
        <v>85866.170000000013</v>
      </c>
      <c r="H64" s="577"/>
      <c r="I64" s="577">
        <f>I56-I62</f>
        <v>87612.592000000004</v>
      </c>
      <c r="J64" s="577"/>
      <c r="K64" s="577">
        <f>K56-K62</f>
        <v>75374.298000000039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11000</v>
      </c>
      <c r="D66" s="568"/>
      <c r="E66" s="568">
        <f>$C$66</f>
        <v>11000</v>
      </c>
      <c r="F66" s="568"/>
      <c r="G66" s="568">
        <f>$C$66</f>
        <v>11000</v>
      </c>
      <c r="H66" s="568"/>
      <c r="I66" s="568">
        <f>$C$66</f>
        <v>11000</v>
      </c>
      <c r="J66" s="568"/>
      <c r="K66" s="568">
        <f>$C$66</f>
        <v>11000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19729</v>
      </c>
      <c r="D68" s="568"/>
      <c r="E68" s="568">
        <f>$C$68</f>
        <v>19729</v>
      </c>
      <c r="F68" s="568"/>
      <c r="G68" s="568">
        <f>$C$68</f>
        <v>19729</v>
      </c>
      <c r="H68" s="568"/>
      <c r="I68" s="568">
        <f>$C$68</f>
        <v>19729</v>
      </c>
      <c r="J68" s="568"/>
      <c r="K68" s="568">
        <f>$C$68</f>
        <v>19729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57447.592000000004</v>
      </c>
      <c r="D70" s="577"/>
      <c r="E70" s="580">
        <f>E64-E66-E68</f>
        <v>48355.72000000003</v>
      </c>
      <c r="F70" s="577"/>
      <c r="G70" s="580">
        <f>G64-G66-G68</f>
        <v>55137.170000000013</v>
      </c>
      <c r="H70" s="577"/>
      <c r="I70" s="580">
        <f>I64-I66-I68</f>
        <v>56883.592000000004</v>
      </c>
      <c r="J70" s="577"/>
      <c r="K70" s="580">
        <f>K64-K66-K68</f>
        <v>44645.298000000039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2.0904164234332239</v>
      </c>
      <c r="D72" s="581"/>
      <c r="E72" s="1004">
        <f>-E70/E75</f>
        <v>1.7595792571242754</v>
      </c>
      <c r="F72" s="581"/>
      <c r="G72" s="1004">
        <f>-G70/G75</f>
        <v>2.0063442469377946</v>
      </c>
      <c r="H72" s="581"/>
      <c r="I72" s="1004">
        <f>-I70/I75</f>
        <v>2.0698934594277643</v>
      </c>
      <c r="J72" s="581"/>
      <c r="K72" s="1004">
        <f>-K70/K75</f>
        <v>1.624563552955719</v>
      </c>
      <c r="L72" s="4"/>
      <c r="M72" s="10"/>
      <c r="N72" s="10"/>
    </row>
    <row r="73" spans="1:14" s="507" customFormat="1" ht="18.75" customHeight="1">
      <c r="A73"/>
      <c r="B73" s="567" t="s">
        <v>2699</v>
      </c>
      <c r="C73" s="1005">
        <f>C76/C62</f>
        <v>0.15472689947178392</v>
      </c>
      <c r="D73" s="582"/>
      <c r="E73" s="1005">
        <f>E76/E62</f>
        <v>0.10778207374012222</v>
      </c>
      <c r="F73" s="582"/>
      <c r="G73" s="1005">
        <f>G76/G62</f>
        <v>0.14111387219821209</v>
      </c>
      <c r="H73" s="582"/>
      <c r="I73" s="1005">
        <f>I76/I62</f>
        <v>0.15137392757694285</v>
      </c>
      <c r="J73" s="582"/>
      <c r="K73" s="1005">
        <f>K76/K62</f>
        <v>8.6957774405004171E-2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-27481.410572564375</v>
      </c>
      <c r="D75" s="568"/>
      <c r="E75" s="568">
        <f>$C$75</f>
        <v>-27481.410572564375</v>
      </c>
      <c r="F75" s="568"/>
      <c r="G75" s="568">
        <f>$C$75</f>
        <v>-27481.410572564375</v>
      </c>
      <c r="H75" s="568"/>
      <c r="I75" s="568">
        <f>$C$75</f>
        <v>-27481.410572564375</v>
      </c>
      <c r="J75" s="568"/>
      <c r="K75" s="568">
        <f>$C$75</f>
        <v>-27481.410572564375</v>
      </c>
      <c r="L75" s="26"/>
      <c r="M75"/>
      <c r="N75"/>
    </row>
    <row r="76" spans="1:14" s="507" customFormat="1" ht="18.75" customHeight="1">
      <c r="A76"/>
      <c r="B76" s="567" t="s">
        <v>1096</v>
      </c>
      <c r="C76" s="568">
        <f>C70+C75</f>
        <v>29966.181427435629</v>
      </c>
      <c r="D76" s="568"/>
      <c r="E76" s="568">
        <f>E70+E75</f>
        <v>20874.309427435655</v>
      </c>
      <c r="F76" s="568"/>
      <c r="G76" s="568">
        <f>G70+G75</f>
        <v>27655.759427435638</v>
      </c>
      <c r="H76" s="568"/>
      <c r="I76" s="568">
        <f>I70+I75</f>
        <v>29402.181427435629</v>
      </c>
      <c r="J76" s="568"/>
      <c r="K76" s="568">
        <f>K70+K75</f>
        <v>17163.887427435664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13821370.115847625</v>
      </c>
    </row>
    <row r="5" spans="1:7">
      <c r="A5" s="953" t="s">
        <v>3447</v>
      </c>
      <c r="B5" s="954">
        <f>+B18+B26+B38</f>
        <v>438480.20299803192</v>
      </c>
    </row>
    <row r="6" spans="1:7">
      <c r="A6" s="953" t="s">
        <v>3417</v>
      </c>
      <c r="B6" s="955">
        <f>+B5-B4</f>
        <v>-13382889.912849592</v>
      </c>
    </row>
    <row r="7" spans="1:7">
      <c r="A7" s="953" t="s">
        <v>3418</v>
      </c>
      <c r="B7" s="956">
        <f>+B6/B4</f>
        <v>-0.96827519997490918</v>
      </c>
    </row>
    <row r="8" spans="1:7" ht="9" customHeight="1"/>
    <row r="9" spans="1:7">
      <c r="A9" s="953" t="s">
        <v>3419</v>
      </c>
      <c r="B9" s="954">
        <f>+B18+B26+B33</f>
        <v>438480.20299803192</v>
      </c>
    </row>
    <row r="10" spans="1:7">
      <c r="A10" s="953" t="s">
        <v>3417</v>
      </c>
      <c r="B10" s="955">
        <f>+B9-B4</f>
        <v>-13382889.912849592</v>
      </c>
    </row>
    <row r="11" spans="1:7">
      <c r="A11" s="953" t="s">
        <v>3418</v>
      </c>
      <c r="B11" s="956">
        <f>+B10/B4</f>
        <v>-0.96827519997490918</v>
      </c>
    </row>
    <row r="12" spans="1:7" ht="24" customHeight="1"/>
    <row r="13" spans="1:7">
      <c r="A13" s="952" t="s">
        <v>3420</v>
      </c>
      <c r="D13" s="1010" t="s">
        <v>3664</v>
      </c>
      <c r="E13" s="1011"/>
    </row>
    <row r="14" spans="1:7">
      <c r="A14" s="953" t="s">
        <v>3421</v>
      </c>
      <c r="B14" s="957">
        <f>+SUM('Part II-Sources of Funds'!L51:M52)</f>
        <v>13315250</v>
      </c>
      <c r="D14" s="1011"/>
      <c r="E14" s="1011"/>
    </row>
    <row r="15" spans="1:7">
      <c r="A15" s="953" t="s">
        <v>3422</v>
      </c>
      <c r="B15" s="958">
        <f>+'Part III-A-Uses of Funds'!J180</f>
        <v>1332137.0115847625</v>
      </c>
      <c r="D15" s="1011" t="s">
        <v>1895</v>
      </c>
      <c r="G15" s="1012">
        <f>'Part III-A-Uses of Funds'!J168</f>
        <v>12987779.405665185</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6176987.8853343623</v>
      </c>
    </row>
    <row r="20" spans="1:7">
      <c r="A20" s="953" t="s">
        <v>3425</v>
      </c>
      <c r="B20" s="957">
        <f>+B18-B14</f>
        <v>-13315250</v>
      </c>
      <c r="D20" s="1011" t="s">
        <v>3669</v>
      </c>
      <c r="G20" s="1014">
        <f>+B14-G19</f>
        <v>7138262.1146656377</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500000</v>
      </c>
    </row>
    <row r="25" spans="1:7">
      <c r="A25" s="953" t="s">
        <v>3429</v>
      </c>
      <c r="B25" s="961">
        <f>IF('Part II-Sources of Funds'!E6="Yes","N/A",MAX(B46:P46))</f>
        <v>-11024.157857691527</v>
      </c>
    </row>
    <row r="26" spans="1:7">
      <c r="A26" s="953" t="s">
        <v>3430</v>
      </c>
      <c r="B26" s="951">
        <f>IFERROR(PV('Part II-Sources of Funds'!K40,'Part II-Sources of Funds'!L40,B25+B45),B24)</f>
        <v>438480.20299803192</v>
      </c>
    </row>
    <row r="27" spans="1:7" ht="9" customHeight="1">
      <c r="B27" s="951"/>
    </row>
    <row r="28" spans="1:7">
      <c r="A28" s="953" t="s">
        <v>3431</v>
      </c>
      <c r="B28" s="962">
        <f>+B26-B24</f>
        <v>-61519.79700196808</v>
      </c>
      <c r="C28" s="963"/>
    </row>
    <row r="29" spans="1:7">
      <c r="A29" s="953" t="s">
        <v>3426</v>
      </c>
      <c r="B29" s="964">
        <f>+B28/B24</f>
        <v>-0.12303959400393616</v>
      </c>
    </row>
    <row r="30" spans="1:7" ht="24" customHeight="1"/>
    <row r="31" spans="1:7">
      <c r="A31" s="952" t="s">
        <v>3361</v>
      </c>
    </row>
    <row r="32" spans="1:7">
      <c r="A32" s="953" t="s">
        <v>3432</v>
      </c>
      <c r="B32" s="965">
        <f>+'Part II-Sources of Funds'!I45</f>
        <v>7451</v>
      </c>
    </row>
    <row r="33" spans="1:11">
      <c r="A33" s="953" t="s">
        <v>3433</v>
      </c>
      <c r="B33" s="951"/>
    </row>
    <row r="34" spans="1:11" ht="9" customHeight="1">
      <c r="B34" s="951"/>
    </row>
    <row r="35" spans="1:11">
      <c r="A35" s="953" t="s">
        <v>3434</v>
      </c>
      <c r="B35" s="965">
        <f>+B33-B32</f>
        <v>-7451</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57447.592000000004</v>
      </c>
      <c r="C44" s="954">
        <f>+'Part VI-Pro Forma'!C25</f>
        <v>56549.409440000076</v>
      </c>
      <c r="D44" s="954">
        <f>+'Part VI-Pro Forma'!D25</f>
        <v>55572.761796799947</v>
      </c>
      <c r="E44" s="954">
        <f>+'Part VI-Pro Forma'!E25</f>
        <v>54512.377725775965</v>
      </c>
      <c r="F44" s="954">
        <f>+'Part VI-Pro Forma'!F25</f>
        <v>53365.865194122765</v>
      </c>
      <c r="G44" s="954">
        <f>+'Part VI-Pro Forma'!G25</f>
        <v>52129.707409251328</v>
      </c>
      <c r="H44" s="954">
        <f>+'Part VI-Pro Forma'!H25</f>
        <v>50800.258616019826</v>
      </c>
      <c r="I44" s="954">
        <f>+'Part VI-Pro Forma'!I25</f>
        <v>49371.739758681186</v>
      </c>
      <c r="J44" s="954">
        <f>+'Part VI-Pro Forma'!J25</f>
        <v>47842.234003306163</v>
      </c>
      <c r="K44" s="954">
        <f>+'Part VI-Pro Forma'!K25</f>
        <v>46206.682116307078</v>
      </c>
    </row>
    <row r="45" spans="1:11">
      <c r="A45" s="953" t="s">
        <v>3438</v>
      </c>
      <c r="B45" s="954">
        <f>SUM('Part VI-Pro Forma'!B26:B29)</f>
        <v>-27481.410572564375</v>
      </c>
      <c r="C45" s="954">
        <f>SUM('Part VI-Pro Forma'!C26:C29)</f>
        <v>-27481.410572564375</v>
      </c>
      <c r="D45" s="954">
        <f>SUM('Part VI-Pro Forma'!D26:D29)</f>
        <v>-27481.410572564375</v>
      </c>
      <c r="E45" s="954">
        <f>SUM('Part VI-Pro Forma'!E26:E29)</f>
        <v>-27481.410572564375</v>
      </c>
      <c r="F45" s="954">
        <f>SUM('Part VI-Pro Forma'!F26:F29)</f>
        <v>-27481.410572564375</v>
      </c>
      <c r="G45" s="954">
        <f>SUM('Part VI-Pro Forma'!G26:G29)</f>
        <v>-27481.410572564375</v>
      </c>
      <c r="H45" s="954">
        <f>SUM('Part VI-Pro Forma'!H26:H29)</f>
        <v>-27481.410572564375</v>
      </c>
      <c r="I45" s="954">
        <f>SUM('Part VI-Pro Forma'!I26:I29)</f>
        <v>-27481.410572564375</v>
      </c>
      <c r="J45" s="954">
        <f>SUM('Part VI-Pro Forma'!J26:J29)</f>
        <v>-27481.410572564375</v>
      </c>
      <c r="K45" s="954">
        <f>SUM('Part VI-Pro Forma'!K26:K29)</f>
        <v>-27481.410572564375</v>
      </c>
    </row>
    <row r="46" spans="1:11">
      <c r="A46" s="953" t="s">
        <v>3439</v>
      </c>
      <c r="B46" s="955">
        <f t="shared" ref="B46:K46" si="0">-B44/B48-B45</f>
        <v>-20391.582760768964</v>
      </c>
      <c r="C46" s="955">
        <f t="shared" si="0"/>
        <v>-19643.097294102357</v>
      </c>
      <c r="D46" s="955">
        <f t="shared" si="0"/>
        <v>-18829.224258102251</v>
      </c>
      <c r="E46" s="955">
        <f t="shared" si="0"/>
        <v>-17945.570865582267</v>
      </c>
      <c r="F46" s="955">
        <f t="shared" si="0"/>
        <v>-16990.143755871264</v>
      </c>
      <c r="G46" s="955">
        <f t="shared" si="0"/>
        <v>-15960.0122684784</v>
      </c>
      <c r="H46" s="955">
        <f t="shared" si="0"/>
        <v>-14852.138274118814</v>
      </c>
      <c r="I46" s="955">
        <f t="shared" si="0"/>
        <v>-13661.70589300328</v>
      </c>
      <c r="J46" s="955">
        <f t="shared" si="0"/>
        <v>-12387.117763524097</v>
      </c>
      <c r="K46" s="955">
        <f t="shared" si="0"/>
        <v>-11024.157857691527</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57447.592000000004</v>
      </c>
      <c r="C51" s="955">
        <f t="shared" ref="C51:K51" si="2">+C44</f>
        <v>56549.409440000076</v>
      </c>
      <c r="D51" s="955">
        <f t="shared" si="2"/>
        <v>55572.761796799947</v>
      </c>
      <c r="E51" s="955">
        <f t="shared" si="2"/>
        <v>54512.377725775965</v>
      </c>
      <c r="F51" s="955">
        <f t="shared" si="2"/>
        <v>53365.865194122765</v>
      </c>
      <c r="G51" s="955">
        <f t="shared" si="2"/>
        <v>52129.707409251328</v>
      </c>
      <c r="H51" s="955">
        <f t="shared" si="2"/>
        <v>50800.258616019826</v>
      </c>
      <c r="I51" s="955">
        <f t="shared" si="2"/>
        <v>49371.739758681186</v>
      </c>
      <c r="J51" s="955">
        <f t="shared" si="2"/>
        <v>47842.234003306163</v>
      </c>
      <c r="K51" s="955">
        <f t="shared" si="2"/>
        <v>46206.682116307078</v>
      </c>
    </row>
    <row r="52" spans="1:17">
      <c r="A52" s="953" t="s">
        <v>3441</v>
      </c>
      <c r="B52" s="955">
        <f>IF($B$25="N/A",B45,B45+$B$25)</f>
        <v>-38505.568430255902</v>
      </c>
      <c r="C52" s="955">
        <f t="shared" ref="C52:K52" si="3">IF($B$25="N/A",C45,C45+$B$25)</f>
        <v>-38505.568430255902</v>
      </c>
      <c r="D52" s="955">
        <f t="shared" si="3"/>
        <v>-38505.568430255902</v>
      </c>
      <c r="E52" s="955">
        <f t="shared" si="3"/>
        <v>-38505.568430255902</v>
      </c>
      <c r="F52" s="955">
        <f t="shared" si="3"/>
        <v>-38505.568430255902</v>
      </c>
      <c r="G52" s="955">
        <f t="shared" si="3"/>
        <v>-38505.568430255902</v>
      </c>
      <c r="H52" s="955">
        <f t="shared" si="3"/>
        <v>-38505.568430255902</v>
      </c>
      <c r="I52" s="955">
        <f t="shared" si="3"/>
        <v>-38505.568430255902</v>
      </c>
      <c r="J52" s="955">
        <f t="shared" si="3"/>
        <v>-38505.568430255902</v>
      </c>
      <c r="K52" s="955">
        <f t="shared" si="3"/>
        <v>-38505.568430255902</v>
      </c>
    </row>
    <row r="53" spans="1:17">
      <c r="A53" s="953" t="s">
        <v>3442</v>
      </c>
      <c r="B53" s="954">
        <f>+'Part VI-Pro Forma'!B31</f>
        <v>-3500</v>
      </c>
      <c r="C53" s="954">
        <f>+'Part VI-Pro Forma'!C31</f>
        <v>-3500</v>
      </c>
      <c r="D53" s="954">
        <f>+'Part VI-Pro Forma'!D31</f>
        <v>-3500</v>
      </c>
      <c r="E53" s="954">
        <f>+'Part VI-Pro Forma'!E31</f>
        <v>-3500</v>
      </c>
      <c r="F53" s="954">
        <f>+'Part VI-Pro Forma'!F31</f>
        <v>-3500</v>
      </c>
      <c r="G53" s="954">
        <f>+'Part VI-Pro Forma'!G31</f>
        <v>-3500</v>
      </c>
      <c r="H53" s="954">
        <f>+'Part VI-Pro Forma'!H31</f>
        <v>-3500</v>
      </c>
      <c r="I53" s="954">
        <f>+'Part VI-Pro Forma'!I31</f>
        <v>-3500</v>
      </c>
      <c r="J53" s="954">
        <f>+'Part VI-Pro Forma'!J31</f>
        <v>-3500</v>
      </c>
      <c r="K53" s="954">
        <f>+'Part VI-Pro Forma'!K31</f>
        <v>-3500</v>
      </c>
    </row>
    <row r="54" spans="1:17">
      <c r="A54" s="953" t="s">
        <v>3443</v>
      </c>
      <c r="B54" s="955">
        <f>+SUM(B51:B53)</f>
        <v>15442.023569744102</v>
      </c>
      <c r="C54" s="955">
        <f t="shared" ref="C54:K54" si="4">+SUM(C51:C53)</f>
        <v>14543.841009744174</v>
      </c>
      <c r="D54" s="955">
        <f t="shared" si="4"/>
        <v>13567.193366544045</v>
      </c>
      <c r="E54" s="955">
        <f t="shared" si="4"/>
        <v>12506.809295520063</v>
      </c>
      <c r="F54" s="955">
        <f t="shared" si="4"/>
        <v>11360.296763866863</v>
      </c>
      <c r="G54" s="955">
        <f t="shared" si="4"/>
        <v>10124.138978995426</v>
      </c>
      <c r="H54" s="955">
        <f t="shared" si="4"/>
        <v>8794.6901857639241</v>
      </c>
      <c r="I54" s="955">
        <f t="shared" si="4"/>
        <v>7366.1713284252837</v>
      </c>
      <c r="J54" s="955">
        <f t="shared" si="4"/>
        <v>5836.6655730502607</v>
      </c>
      <c r="K54" s="955">
        <f t="shared" si="4"/>
        <v>4201.113686051176</v>
      </c>
    </row>
    <row r="55" spans="1:17">
      <c r="A55" s="953" t="s">
        <v>3361</v>
      </c>
      <c r="B55" s="955">
        <f>-B54</f>
        <v>-15442.023569744102</v>
      </c>
      <c r="C55" s="955">
        <f t="shared" ref="C55:K55" si="5">-C54</f>
        <v>-14543.841009744174</v>
      </c>
      <c r="D55" s="955">
        <f t="shared" si="5"/>
        <v>-13567.193366544045</v>
      </c>
      <c r="E55" s="955">
        <f t="shared" si="5"/>
        <v>-12506.809295520063</v>
      </c>
      <c r="F55" s="955">
        <f t="shared" si="5"/>
        <v>-11360.296763866863</v>
      </c>
      <c r="G55" s="955">
        <f t="shared" si="5"/>
        <v>-10124.138978995426</v>
      </c>
      <c r="H55" s="955">
        <f t="shared" si="5"/>
        <v>-8794.6901857639241</v>
      </c>
      <c r="I55" s="955">
        <f t="shared" si="5"/>
        <v>-7366.1713284252837</v>
      </c>
      <c r="J55" s="955">
        <f t="shared" si="5"/>
        <v>-5836.6655730502607</v>
      </c>
      <c r="K55" s="955">
        <f t="shared" si="5"/>
        <v>-4201.113686051176</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415642.43419226276</v>
      </c>
      <c r="C58" s="954">
        <f>IF($B$26="","",-FV('Part II-Sources of Funds'!$K$40/12,12,C52/12,B58))</f>
        <v>391954.63792157872</v>
      </c>
      <c r="D58" s="954">
        <f>IF($B$26="","",-FV('Part II-Sources of Funds'!$K$40/12,12,D52/12,C58))</f>
        <v>367385.17595120938</v>
      </c>
      <c r="E58" s="954">
        <f>IF($B$26="","",-FV('Part II-Sources of Funds'!$K$40/12,12,E52/12,D58))</f>
        <v>341901.23246337584</v>
      </c>
      <c r="F58" s="954">
        <f>IF($B$26="","",-FV('Part II-Sources of Funds'!$K$40/12,12,F52/12,E58))</f>
        <v>315468.77022735687</v>
      </c>
      <c r="G58" s="954">
        <f>IF($B$26="","",-FV('Part II-Sources of Funds'!$K$40/12,12,G52/12,F58))</f>
        <v>288052.48513819359</v>
      </c>
      <c r="H58" s="954">
        <f>IF($B$26="","",-FV('Part II-Sources of Funds'!$K$40/12,12,H52/12,G58))</f>
        <v>259615.75906331377</v>
      </c>
      <c r="I58" s="954">
        <f>IF($B$26="","",-FV('Part II-Sources of Funds'!$K$40/12,12,I52/12,H58))</f>
        <v>230120.61093409552</v>
      </c>
      <c r="J58" s="954">
        <f>IF($B$26="","",-FV('Part II-Sources of Funds'!$K$40/12,12,J52/12,I58))</f>
        <v>199527.64601704662</v>
      </c>
      <c r="K58" s="954">
        <f>IF($B$26="","",-FV('Part II-Sources of Funds'!$K$40/12,12,K52/12,J58))</f>
        <v>167796.00329684475</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44459.877694556097</v>
      </c>
      <c r="C64" s="954">
        <f>+'Part VI-Pro Forma'!C57</f>
        <v>42598.462242447691</v>
      </c>
      <c r="D64" s="954">
        <f>+'Part VI-Pro Forma'!D57</f>
        <v>40616.920091117267</v>
      </c>
      <c r="E64" s="954">
        <f>+'Part VI-Pro Forma'!E57</f>
        <v>38511.573154874743</v>
      </c>
      <c r="F64" s="954">
        <f>+'Part VI-Pro Forma'!F57</f>
        <v>36276.575519765436</v>
      </c>
      <c r="G64" s="954">
        <f>+'Part VI-Pro Forma'!G57</f>
        <v>33905.907859007639</v>
      </c>
      <c r="H64" s="954">
        <f>+'Part VI-Pro Forma'!H57</f>
        <v>31395.37166990032</v>
      </c>
      <c r="I64" s="954">
        <f>+'Part VI-Pro Forma'!I57</f>
        <v>28738.583326622149</v>
      </c>
      <c r="J64" s="954">
        <f>+'Part VI-Pro Forma'!J57</f>
        <v>25930.967943178071</v>
      </c>
      <c r="K64" s="954">
        <f>+'Part VI-Pro Forma'!K57</f>
        <v>22964.753040565807</v>
      </c>
    </row>
    <row r="65" spans="1:11">
      <c r="A65" s="953" t="s">
        <v>3438</v>
      </c>
      <c r="B65" s="954">
        <f>SUM('Part VI-Pro Forma'!B58:B61)</f>
        <v>-29961.680359586895</v>
      </c>
      <c r="C65" s="954">
        <f>SUM('Part VI-Pro Forma'!C58:C61)</f>
        <v>-29961.680359586895</v>
      </c>
      <c r="D65" s="954">
        <f>SUM('Part VI-Pro Forma'!D58:D61)</f>
        <v>-29961.680359586895</v>
      </c>
      <c r="E65" s="954">
        <f>SUM('Part VI-Pro Forma'!E58:E61)</f>
        <v>-29961.680359586895</v>
      </c>
      <c r="F65" s="954">
        <f>SUM('Part VI-Pro Forma'!F58:F61)</f>
        <v>-29961.680359586895</v>
      </c>
      <c r="G65" s="954">
        <f>SUM('Part VI-Pro Forma'!G58:G61)</f>
        <v>-29961.680359586895</v>
      </c>
      <c r="H65" s="954">
        <f>SUM('Part VI-Pro Forma'!H58:H61)</f>
        <v>-29961.680359586895</v>
      </c>
      <c r="I65" s="954">
        <f>SUM('Part VI-Pro Forma'!I58:I61)</f>
        <v>-29961.680359586895</v>
      </c>
      <c r="J65" s="954">
        <f>SUM('Part VI-Pro Forma'!J58:J61)</f>
        <v>-29961.680359586895</v>
      </c>
      <c r="K65" s="954">
        <f>SUM('Part VI-Pro Forma'!K58:K61)</f>
        <v>-29961.680359586895</v>
      </c>
    </row>
    <row r="66" spans="1:11">
      <c r="A66" s="953" t="s">
        <v>3439</v>
      </c>
      <c r="B66" s="955">
        <f t="shared" ref="B66:K66" si="7">-B64/B68-B65</f>
        <v>-7088.217719209857</v>
      </c>
      <c r="C66" s="955">
        <f t="shared" si="7"/>
        <v>-5537.0381757861796</v>
      </c>
      <c r="D66" s="955">
        <f t="shared" si="7"/>
        <v>-3885.7530496774962</v>
      </c>
      <c r="E66" s="955">
        <f t="shared" si="7"/>
        <v>-2131.2972694753917</v>
      </c>
      <c r="F66" s="955">
        <f t="shared" si="7"/>
        <v>-268.79924021763509</v>
      </c>
      <c r="G66" s="955">
        <f t="shared" si="7"/>
        <v>1706.7571437471961</v>
      </c>
      <c r="H66" s="955">
        <f t="shared" si="7"/>
        <v>3798.8706346699619</v>
      </c>
      <c r="I66" s="955">
        <f t="shared" si="7"/>
        <v>6012.8609207351037</v>
      </c>
      <c r="J66" s="955">
        <f t="shared" si="7"/>
        <v>8352.5404069385004</v>
      </c>
      <c r="K66" s="955">
        <f t="shared" si="7"/>
        <v>10824.386159115387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44459.877694556097</v>
      </c>
      <c r="C71" s="955">
        <f t="shared" si="9"/>
        <v>42598.462242447691</v>
      </c>
      <c r="D71" s="955">
        <f t="shared" si="9"/>
        <v>40616.920091117267</v>
      </c>
      <c r="E71" s="955">
        <f t="shared" si="9"/>
        <v>38511.573154874743</v>
      </c>
      <c r="F71" s="955">
        <f t="shared" si="9"/>
        <v>36276.575519765436</v>
      </c>
      <c r="G71" s="955">
        <f t="shared" si="9"/>
        <v>33905.907859007639</v>
      </c>
      <c r="H71" s="955">
        <f>+H64</f>
        <v>31395.37166990032</v>
      </c>
      <c r="I71" s="955">
        <f>+I64</f>
        <v>28738.583326622149</v>
      </c>
      <c r="J71" s="955">
        <f>+J64</f>
        <v>25930.967943178071</v>
      </c>
      <c r="K71" s="955">
        <f>+K64</f>
        <v>22964.753040565807</v>
      </c>
    </row>
    <row r="72" spans="1:11">
      <c r="A72" s="953" t="s">
        <v>3441</v>
      </c>
      <c r="B72" s="955">
        <f t="shared" ref="B72:G72" si="10">IF($B$25="N/A",B65,B65+$B$25)</f>
        <v>-40985.838217278419</v>
      </c>
      <c r="C72" s="955">
        <f t="shared" si="10"/>
        <v>-40985.838217278419</v>
      </c>
      <c r="D72" s="955">
        <f t="shared" si="10"/>
        <v>-40985.838217278419</v>
      </c>
      <c r="E72" s="955">
        <f t="shared" si="10"/>
        <v>-40985.838217278419</v>
      </c>
      <c r="F72" s="955">
        <f t="shared" si="10"/>
        <v>-40985.838217278419</v>
      </c>
      <c r="G72" s="955">
        <f t="shared" si="10"/>
        <v>-40985.838217278419</v>
      </c>
      <c r="H72" s="955">
        <f>IF($B$25="N/A",H65,H65+$B$25)</f>
        <v>-40985.838217278419</v>
      </c>
      <c r="I72" s="955">
        <f>IF($B$25="N/A",I65,I65+$B$25)</f>
        <v>-40985.838217278419</v>
      </c>
      <c r="J72" s="955">
        <f>IF($B$25="N/A",J65,J65+$B$25)</f>
        <v>-40985.838217278419</v>
      </c>
      <c r="K72" s="955">
        <f>IF($B$25="N/A",K65,K65+$B$25)</f>
        <v>-40985.838217278419</v>
      </c>
    </row>
    <row r="73" spans="1:11">
      <c r="A73" s="953" t="s">
        <v>3442</v>
      </c>
      <c r="B73" s="954">
        <f>+'Part VI-Pro Forma'!B63</f>
        <v>-3500</v>
      </c>
      <c r="C73" s="954">
        <f>+'Part VI-Pro Forma'!C63</f>
        <v>-3500</v>
      </c>
      <c r="D73" s="954">
        <f>+'Part VI-Pro Forma'!D63</f>
        <v>-3500</v>
      </c>
      <c r="E73" s="954">
        <f>+'Part VI-Pro Forma'!E63</f>
        <v>-3500</v>
      </c>
      <c r="F73" s="954">
        <f>+'Part VI-Pro Forma'!F63</f>
        <v>-3500</v>
      </c>
      <c r="G73" s="954">
        <f>+'Part VI-Pro Forma'!G63</f>
        <v>-3500</v>
      </c>
      <c r="H73" s="954">
        <f>+'Part VI-Pro Forma'!H63</f>
        <v>-3500</v>
      </c>
      <c r="I73" s="954">
        <f>+'Part VI-Pro Forma'!I63</f>
        <v>-3500</v>
      </c>
      <c r="J73" s="954">
        <f>+'Part VI-Pro Forma'!J63</f>
        <v>-3500</v>
      </c>
      <c r="K73" s="954">
        <f>+'Part VI-Pro Forma'!K63</f>
        <v>-3500</v>
      </c>
    </row>
    <row r="74" spans="1:11">
      <c r="A74" s="953" t="s">
        <v>3443</v>
      </c>
      <c r="B74" s="955">
        <f t="shared" ref="B74:G74" si="11">+SUM(B71:B73)</f>
        <v>-25.960522722321912</v>
      </c>
      <c r="C74" s="955">
        <f t="shared" si="11"/>
        <v>-1887.3759748307275</v>
      </c>
      <c r="D74" s="955">
        <f t="shared" si="11"/>
        <v>-3868.918126161152</v>
      </c>
      <c r="E74" s="955">
        <f t="shared" si="11"/>
        <v>-5974.265062403676</v>
      </c>
      <c r="F74" s="955">
        <f t="shared" si="11"/>
        <v>-8209.2626975129824</v>
      </c>
      <c r="G74" s="955">
        <f t="shared" si="11"/>
        <v>-10579.93035827078</v>
      </c>
      <c r="H74" s="955">
        <f>+SUM(H71:H73)</f>
        <v>-13090.466547378099</v>
      </c>
      <c r="I74" s="955">
        <f>+SUM(I71:I73)</f>
        <v>-15747.25489065627</v>
      </c>
      <c r="J74" s="955">
        <f>+SUM(J71:J73)</f>
        <v>-18554.870274100347</v>
      </c>
      <c r="K74" s="955">
        <f>+SUM(K71:K73)</f>
        <v>-21521.085176712611</v>
      </c>
    </row>
    <row r="75" spans="1:11">
      <c r="A75" s="953" t="s">
        <v>3361</v>
      </c>
      <c r="B75" s="955">
        <f t="shared" ref="B75:G75" si="12">-B74</f>
        <v>25.960522722321912</v>
      </c>
      <c r="C75" s="955">
        <f t="shared" si="12"/>
        <v>1887.3759748307275</v>
      </c>
      <c r="D75" s="955">
        <f t="shared" si="12"/>
        <v>3868.918126161152</v>
      </c>
      <c r="E75" s="955">
        <f t="shared" si="12"/>
        <v>5974.265062403676</v>
      </c>
      <c r="F75" s="955">
        <f t="shared" si="12"/>
        <v>8209.2626975129824</v>
      </c>
      <c r="G75" s="955">
        <f t="shared" si="12"/>
        <v>10579.93035827078</v>
      </c>
      <c r="H75" s="955">
        <f>-H74</f>
        <v>13090.466547378099</v>
      </c>
      <c r="I75" s="955">
        <f>-I74</f>
        <v>15747.25489065627</v>
      </c>
      <c r="J75" s="955">
        <f>-J74</f>
        <v>18554.870274100347</v>
      </c>
      <c r="K75" s="955">
        <f>-K74</f>
        <v>21521.085176712611</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132360.99867153182</v>
      </c>
      <c r="C78" s="954">
        <f>IF($B$26="","",-FV('Part II-Sources of Funds'!$K$40/12,12,C72/12,B78))</f>
        <v>95607.094314503745</v>
      </c>
      <c r="D78" s="954">
        <f>IF($B$26="","",-FV('Part II-Sources of Funds'!$K$40/12,12,D72/12,C78))</f>
        <v>57485.200447990988</v>
      </c>
      <c r="E78" s="954">
        <f>IF($B$26="","",-FV('Part II-Sources of Funds'!$K$40/12,12,E72/12,D78))</f>
        <v>17944.400160421894</v>
      </c>
      <c r="F78" s="954">
        <f>IF($B$26="","",-FV('Part II-Sources of Funds'!$K$40/12,12,F72/12,E78))</f>
        <v>-23068.118599954283</v>
      </c>
      <c r="G78" s="954">
        <f>IF($B$26="","",-FV('Part II-Sources of Funds'!$K$40/12,12,G72/12,F78))</f>
        <v>-65607.133562658681</v>
      </c>
      <c r="H78" s="954">
        <f>IF($B$26="","",-FV('Part II-Sources of Funds'!$K$40/12,12,H72/12,G78))</f>
        <v>-109729.46129800088</v>
      </c>
      <c r="I78" s="954">
        <f>IF($B$26="","",-FV('Part II-Sources of Funds'!$K$40/12,12,I72/12,H78))</f>
        <v>-155494.03310324287</v>
      </c>
      <c r="J78" s="954">
        <f>IF($B$26="","",-FV('Part II-Sources of Funds'!$K$40/12,12,J72/12,I78))</f>
        <v>-202961.97371326486</v>
      </c>
      <c r="K78" s="954">
        <f>IF($B$26="","",-FV('Part II-Sources of Funds'!$K$40/12,12,K72/12,J78))</f>
        <v>-252196.68294086188</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West Pine Residences</v>
      </c>
    </row>
    <row r="2" spans="1:15" ht="13.5" customHeight="1"/>
    <row r="3" spans="1:15" ht="13.5" customHeight="1">
      <c r="A3" s="517" t="s">
        <v>2706</v>
      </c>
      <c r="C3" s="516" t="s">
        <v>2707</v>
      </c>
      <c r="E3" s="586">
        <f>SUM('Part III-A-Uses of Funds'!J162,'Part III-A-Uses of Funds'!M162,'Part III-A-Uses of Funds'!P162)</f>
        <v>12987779.405665185</v>
      </c>
      <c r="F3" s="1024" t="s">
        <v>2708</v>
      </c>
      <c r="H3" s="1006">
        <v>27.5</v>
      </c>
      <c r="I3" s="516" t="s">
        <v>2273</v>
      </c>
      <c r="K3" s="521" t="s">
        <v>2729</v>
      </c>
      <c r="M3" s="1024"/>
      <c r="O3" s="587"/>
    </row>
    <row r="4" spans="1:15" ht="13.5" customHeight="1">
      <c r="C4" s="516" t="s">
        <v>3127</v>
      </c>
      <c r="E4" s="586">
        <f>SUM('Part III-A-Uses of Funds'!G97:H101)</f>
        <v>29000</v>
      </c>
      <c r="F4" s="1024" t="s">
        <v>3661</v>
      </c>
      <c r="H4" s="517">
        <f>'Part II-Sources of Funds'!M40</f>
        <v>30</v>
      </c>
      <c r="I4" s="516" t="s">
        <v>2273</v>
      </c>
      <c r="K4" s="588" t="s">
        <v>2957</v>
      </c>
      <c r="M4" s="1024"/>
    </row>
    <row r="5" spans="1:15" ht="13.5" customHeight="1">
      <c r="C5" s="516" t="s">
        <v>3128</v>
      </c>
      <c r="E5" s="586">
        <f>SUM('Part III-A-Uses of Funds'!G105:H111)</f>
        <v>155400</v>
      </c>
      <c r="F5" s="1024" t="s">
        <v>3660</v>
      </c>
      <c r="H5" s="1006">
        <v>15</v>
      </c>
      <c r="I5" s="516" t="s">
        <v>2273</v>
      </c>
      <c r="K5" s="587">
        <f>-E6</f>
        <v>-13313919</v>
      </c>
    </row>
    <row r="6" spans="1:15" ht="13.5" customHeight="1">
      <c r="C6" s="516" t="s">
        <v>2709</v>
      </c>
      <c r="E6" s="589">
        <f>'Part II-Sources of Funds'!$I$51+'Part II-Sources of Funds'!$I$52</f>
        <v>13313919</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19015.181427435629</v>
      </c>
      <c r="D9" s="594">
        <f>'Part VI-Pro Forma'!C33</f>
        <v>25567.998867435701</v>
      </c>
      <c r="E9" s="594">
        <f>'Part VI-Pro Forma'!D33</f>
        <v>24591.351224235572</v>
      </c>
      <c r="F9" s="594">
        <f>'Part VI-Pro Forma'!E33</f>
        <v>23530.96715321159</v>
      </c>
      <c r="G9" s="594">
        <f>'Part VI-Pro Forma'!F33</f>
        <v>22384.45462155839</v>
      </c>
      <c r="H9" s="594">
        <f>'Part VI-Pro Forma'!G33</f>
        <v>21148.296836686954</v>
      </c>
      <c r="I9" s="594">
        <f>'Part VI-Pro Forma'!H33</f>
        <v>19818.848043455451</v>
      </c>
      <c r="K9" s="587" t="e">
        <f>F24</f>
        <v>#VALUE!</v>
      </c>
      <c r="N9" s="595" t="s">
        <v>2715</v>
      </c>
    </row>
    <row r="10" spans="1:15" ht="13.5" customHeight="1">
      <c r="A10" s="516" t="s">
        <v>2714</v>
      </c>
      <c r="C10" s="978">
        <f>'Part II-Sources of Funds'!I40-'Part VI-Pro Forma'!B40</f>
        <v>9337.0053845171351</v>
      </c>
      <c r="D10" s="596">
        <f>'Part VI-Pro Forma'!B40-'Part VI-Pro Forma'!C40</f>
        <v>9684.531059393601</v>
      </c>
      <c r="E10" s="596">
        <f>'Part VI-Pro Forma'!C40-'Part VI-Pro Forma'!D40</f>
        <v>10044.991726778331</v>
      </c>
      <c r="F10" s="596">
        <f>'Part VI-Pro Forma'!D40-'Part VI-Pro Forma'!E40</f>
        <v>10418.868830326537</v>
      </c>
      <c r="G10" s="596">
        <f>'Part VI-Pro Forma'!E40-'Part VI-Pro Forma'!F40</f>
        <v>10806.661733146582</v>
      </c>
      <c r="H10" s="596">
        <f>'Part VI-Pro Forma'!F40-'Part VI-Pro Forma'!G40</f>
        <v>11208.88838476676</v>
      </c>
      <c r="I10" s="596">
        <f>'Part VI-Pro Forma'!G40-'Part VI-Pro Forma'!H40</f>
        <v>11626.086012926011</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-11000</v>
      </c>
      <c r="D13" s="979">
        <f>'Part VI-Pro Forma'!C23</f>
        <v>-11330</v>
      </c>
      <c r="E13" s="979">
        <f>'Part VI-Pro Forma'!D23</f>
        <v>-11669.9</v>
      </c>
      <c r="F13" s="979">
        <f>'Part VI-Pro Forma'!E23</f>
        <v>-12019.996999999999</v>
      </c>
      <c r="G13" s="979">
        <f>'Part VI-Pro Forma'!F23</f>
        <v>-12380.596909999998</v>
      </c>
      <c r="H13" s="979">
        <f>'Part VI-Pro Forma'!G23</f>
        <v>-12752.014817299998</v>
      </c>
      <c r="I13" s="979">
        <f>'Part VI-Pro Forma'!H23</f>
        <v>-13134.575261819</v>
      </c>
      <c r="K13" s="587" t="e">
        <f>C44</f>
        <v>#VALUE!</v>
      </c>
      <c r="O13" s="592"/>
    </row>
    <row r="14" spans="1:15" ht="13.5" customHeight="1">
      <c r="A14" s="598" t="s">
        <v>3130</v>
      </c>
      <c r="B14" s="598"/>
      <c r="C14" s="979">
        <f>'Part VI-Pro Forma'!B32</f>
        <v>-7451</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472282.88747873402</v>
      </c>
      <c r="D15" s="599">
        <f t="shared" si="0"/>
        <v>472282.88747873402</v>
      </c>
      <c r="E15" s="599">
        <f t="shared" si="0"/>
        <v>472282.88747873402</v>
      </c>
      <c r="F15" s="599">
        <f t="shared" si="0"/>
        <v>472282.88747873402</v>
      </c>
      <c r="G15" s="599">
        <f t="shared" si="0"/>
        <v>472282.88747873402</v>
      </c>
      <c r="H15" s="599">
        <f t="shared" si="0"/>
        <v>472282.88747873402</v>
      </c>
      <c r="I15" s="599">
        <f t="shared" si="0"/>
        <v>472282.88747873402</v>
      </c>
      <c r="K15" s="587" t="e">
        <f>E44</f>
        <v>#VALUE!</v>
      </c>
      <c r="O15" s="592"/>
    </row>
    <row r="16" spans="1:15" ht="13.5" customHeight="1">
      <c r="A16" s="516" t="s">
        <v>2719</v>
      </c>
      <c r="C16" s="599">
        <f>IF(C$8&lt;=$H$4,($E$4/$H$4),0)+IF(C$8&lt;=$H$5,($E$5/$H$5),0)</f>
        <v>11326.666666666666</v>
      </c>
      <c r="D16" s="599">
        <f t="shared" ref="D16:I16" si="1">IF(D$8&lt;=$H$4,($E$4/$H$4),0)+IF(D$8&lt;=$H$5,($E$5/$H$5),0)</f>
        <v>11326.666666666666</v>
      </c>
      <c r="E16" s="599">
        <f t="shared" si="1"/>
        <v>11326.666666666666</v>
      </c>
      <c r="F16" s="599">
        <f t="shared" si="1"/>
        <v>11326.666666666666</v>
      </c>
      <c r="G16" s="599">
        <f t="shared" si="1"/>
        <v>11326.666666666666</v>
      </c>
      <c r="H16" s="599">
        <f t="shared" si="1"/>
        <v>11326.666666666666</v>
      </c>
      <c r="I16" s="599">
        <f t="shared" si="1"/>
        <v>11326.666666666666</v>
      </c>
      <c r="K16" s="587" t="e">
        <f>F44</f>
        <v>#VALUE!</v>
      </c>
      <c r="M16" s="516" t="s">
        <v>2723</v>
      </c>
      <c r="O16" s="592">
        <f>E3</f>
        <v>12987779.405665185</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9445657.7495746799</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3542121.6560905054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3542121.6560905054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-3542121.6560905054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18390.329186116811</v>
      </c>
      <c r="D29" s="594">
        <f>'Part VI-Pro Forma'!J33</f>
        <v>16860.823430741788</v>
      </c>
      <c r="E29" s="594">
        <f>'Part VI-Pro Forma'!K33</f>
        <v>15225.271543742703</v>
      </c>
      <c r="F29" s="594">
        <f>'Part VI-Pro Forma'!B65</f>
        <v>10998.197334969202</v>
      </c>
      <c r="G29" s="594">
        <f>'Part VI-Pro Forma'!C65</f>
        <v>9136.781882860796</v>
      </c>
      <c r="H29" s="594">
        <f>'Part VI-Pro Forma'!D65</f>
        <v>7155.2397315303715</v>
      </c>
      <c r="I29" s="594">
        <f>'Part VI-Pro Forma'!E65</f>
        <v>5049.8927952878475</v>
      </c>
      <c r="N29" s="603"/>
      <c r="O29" s="603"/>
    </row>
    <row r="30" spans="1:17" ht="13.5" customHeight="1">
      <c r="A30" s="516" t="s">
        <v>2714</v>
      </c>
      <c r="C30" s="596">
        <f>'Part VI-Pro Forma'!H40-'Part VI-Pro Forma'!I40</f>
        <v>12058.811841114366</v>
      </c>
      <c r="D30" s="596">
        <f>'Part VI-Pro Forma'!I40-'Part VI-Pro Forma'!J40</f>
        <v>12507.643832819187</v>
      </c>
      <c r="E30" s="596">
        <f>'Part VI-Pro Forma'!J40-'Part VI-Pro Forma'!K40</f>
        <v>12973.181463473535</v>
      </c>
      <c r="F30" s="976">
        <f>'Part VI-Pro Forma'!K40-'Part VI-Pro Forma'!B72</f>
        <v>4237.3626588693587</v>
      </c>
      <c r="G30" s="976">
        <f>'Part VI-Pro Forma'!B72-'Part VI-Pro Forma'!C72</f>
        <v>4527.4462078536162</v>
      </c>
      <c r="H30" s="976">
        <f>'Part VI-Pro Forma'!C72-'Part VI-Pro Forma'!D72</f>
        <v>4837.3884454057552</v>
      </c>
      <c r="I30" s="976">
        <f>'Part VI-Pro Forma'!D72-'Part VI-Pro Forma'!E72</f>
        <v>5168.5488678260008</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-708424.33121810108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-13528.61251967357</v>
      </c>
      <c r="D33" s="979">
        <f>'Part VI-Pro Forma'!J23</f>
        <v>-13934.470895263776</v>
      </c>
      <c r="E33" s="979">
        <f>'Part VI-Pro Forma'!K23</f>
        <v>-14352.50502212169</v>
      </c>
      <c r="F33" s="979">
        <f>'Part VI-Pro Forma'!B55</f>
        <v>-14783.08017278534</v>
      </c>
      <c r="G33" s="979">
        <f>'Part VI-Pro Forma'!C55</f>
        <v>-15226.5725779689</v>
      </c>
      <c r="H33" s="979">
        <f>'Part VI-Pro Forma'!D55</f>
        <v>-15683.369755307966</v>
      </c>
      <c r="I33" s="979">
        <f>'Part VI-Pro Forma'!E55</f>
        <v>-16153.870847967202</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472282.88747873402</v>
      </c>
      <c r="D35" s="599">
        <f t="shared" si="8"/>
        <v>472282.88747873402</v>
      </c>
      <c r="E35" s="599">
        <f t="shared" si="8"/>
        <v>472282.88747873402</v>
      </c>
      <c r="F35" s="599">
        <f t="shared" si="8"/>
        <v>472282.88747873402</v>
      </c>
      <c r="G35" s="599">
        <f t="shared" si="8"/>
        <v>472282.88747873402</v>
      </c>
      <c r="H35" s="599">
        <f t="shared" si="8"/>
        <v>472282.88747873402</v>
      </c>
      <c r="I35" s="599">
        <f t="shared" si="8"/>
        <v>472282.88747873402</v>
      </c>
    </row>
    <row r="36" spans="1:15" ht="13.5" customHeight="1">
      <c r="A36" s="516" t="s">
        <v>2719</v>
      </c>
      <c r="C36" s="594">
        <f>IF(C$28&lt;=$H$4,($E$4/$H$4),0)+IF(C$28&lt;=$H$5,($E$5/$H$5),0)</f>
        <v>11326.666666666666</v>
      </c>
      <c r="D36" s="594">
        <f t="shared" ref="D36:I36" si="9">IF(D$28&lt;=$H$4,($E$4/$H$4),0)+IF(D$28&lt;=$H$5,($E$5/$H$5),0)</f>
        <v>11326.666666666666</v>
      </c>
      <c r="E36" s="594">
        <f t="shared" si="9"/>
        <v>11326.666666666666</v>
      </c>
      <c r="F36" s="594">
        <f t="shared" si="9"/>
        <v>11326.666666666666</v>
      </c>
      <c r="G36" s="594">
        <f t="shared" si="9"/>
        <v>11326.666666666666</v>
      </c>
      <c r="H36" s="594">
        <f t="shared" si="9"/>
        <v>11326.666666666666</v>
      </c>
      <c r="I36" s="594">
        <f t="shared" si="9"/>
        <v>11326.666666666666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2814.8951601785411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5522.3800405105576</v>
      </c>
      <c r="D50" s="977">
        <f>'Part VI-Pro Forma'!F72-'Part VI-Pro Forma'!G72</f>
        <v>5900.4339693236398</v>
      </c>
      <c r="E50" s="977">
        <f>'Part VI-Pro Forma'!G72-'Part VI-Pro Forma'!H72</f>
        <v>6304.3689081437187</v>
      </c>
      <c r="F50" s="977">
        <f>'Part VI-Pro Forma'!H72-'Part VI-Pro Forma'!I72</f>
        <v>6735.9566324449843</v>
      </c>
      <c r="G50" s="977">
        <f>'Part VI-Pro Forma'!I72-'Part VI-Pro Forma'!J72</f>
        <v>7197.0902108168229</v>
      </c>
      <c r="H50" s="977">
        <f>'Part VI-Pro Forma'!J72-'Part VI-Pro Forma'!K72</f>
        <v>7689.792308510514</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-16638.486973406219</v>
      </c>
      <c r="D53" s="979">
        <f>'Part VI-Pro Forma'!G55</f>
        <v>-17137.641582608408</v>
      </c>
      <c r="E53" s="979">
        <f>'Part VI-Pro Forma'!H55</f>
        <v>-17651.770830086658</v>
      </c>
      <c r="F53" s="979">
        <f>'Part VI-Pro Forma'!I55</f>
        <v>-18181.323954989257</v>
      </c>
      <c r="G53" s="979">
        <f>'Part VI-Pro Forma'!J55</f>
        <v>-18726.763673638936</v>
      </c>
      <c r="H53" s="979">
        <f>'Part VI-Pro Forma'!K55</f>
        <v>-19288.566583848104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472282.88747873402</v>
      </c>
      <c r="D55" s="599">
        <f t="shared" si="14"/>
        <v>472282.88747873402</v>
      </c>
      <c r="E55" s="599">
        <f t="shared" si="14"/>
        <v>472282.88747873402</v>
      </c>
      <c r="F55" s="599">
        <f t="shared" si="14"/>
        <v>472282.88747873402</v>
      </c>
      <c r="G55" s="599">
        <f t="shared" si="14"/>
        <v>472282.88747873402</v>
      </c>
      <c r="H55" s="599">
        <f t="shared" si="14"/>
        <v>472282.88747873402</v>
      </c>
    </row>
    <row r="56" spans="1:10" ht="13.5" customHeight="1">
      <c r="A56" s="516" t="s">
        <v>2719</v>
      </c>
      <c r="C56" s="594">
        <f t="shared" ref="C56:H56" si="15">IF(C$48&lt;=$H$4,($E$4/$H$4),0)+IF(C$48&lt;=$H$5,($E$5/$H$5),0)</f>
        <v>11326.666666666666</v>
      </c>
      <c r="D56" s="594">
        <f t="shared" si="15"/>
        <v>966.66666666666663</v>
      </c>
      <c r="E56" s="594">
        <f t="shared" si="15"/>
        <v>966.66666666666663</v>
      </c>
      <c r="F56" s="594">
        <f t="shared" si="15"/>
        <v>966.66666666666663</v>
      </c>
      <c r="G56" s="594">
        <f t="shared" si="15"/>
        <v>966.66666666666663</v>
      </c>
      <c r="H56" s="594">
        <f t="shared" si="15"/>
        <v>966.66666666666663</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7" t="e">
        <f>IRR(K5:K25)</f>
        <v>#VALUE!</v>
      </c>
      <c r="H66" s="476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0" t="str">
        <f>'Sensitivity Analysis'!C8</f>
        <v>West Pine Residences</v>
      </c>
      <c r="B1" s="4770"/>
      <c r="C1" s="4770"/>
      <c r="D1" s="4770"/>
      <c r="E1" s="4770"/>
      <c r="F1" s="4770"/>
      <c r="G1" s="4770"/>
      <c r="H1" s="4770"/>
      <c r="I1" s="4770"/>
      <c r="J1" s="4770"/>
      <c r="K1" s="4770"/>
    </row>
    <row r="2" spans="1:11" s="439" customFormat="1" ht="17.649999999999999" customHeight="1">
      <c r="A2" s="4769" t="s">
        <v>2886</v>
      </c>
      <c r="B2" s="4769"/>
      <c r="C2" s="4769"/>
      <c r="D2" s="4769"/>
      <c r="E2" s="4769"/>
      <c r="F2" s="4769"/>
      <c r="G2" s="4769"/>
      <c r="H2" s="4769"/>
      <c r="I2" s="4769"/>
      <c r="J2" s="4769"/>
      <c r="K2" s="4769"/>
    </row>
    <row r="3" spans="1:11" ht="9" customHeight="1">
      <c r="A3" s="1475"/>
      <c r="B3" s="1475"/>
      <c r="C3" s="1475"/>
      <c r="D3" s="1475"/>
      <c r="E3" s="1475"/>
      <c r="G3" s="1475"/>
      <c r="H3" s="1475"/>
      <c r="J3" s="1475"/>
      <c r="K3" s="1475"/>
    </row>
    <row r="4" spans="1:11" ht="12.6" customHeight="1">
      <c r="A4" s="4771" t="s">
        <v>6060</v>
      </c>
      <c r="B4" s="4771"/>
      <c r="C4" s="1476"/>
      <c r="D4" s="4771" t="s">
        <v>6061</v>
      </c>
      <c r="E4" s="4771"/>
      <c r="F4" s="523"/>
      <c r="G4" s="4771" t="s">
        <v>6062</v>
      </c>
      <c r="H4" s="4771"/>
      <c r="I4" s="523"/>
      <c r="J4" s="4771" t="s">
        <v>6177</v>
      </c>
      <c r="K4" s="4771"/>
    </row>
    <row r="5" spans="1:11" ht="25.9" customHeight="1">
      <c r="A5" s="4772" t="str">
        <f>'Part II-Sources of Funds'!E40</f>
        <v>Central Bank of Kansas City (Capital Magnet Funds)</v>
      </c>
      <c r="B5" s="4773"/>
      <c r="C5" s="439"/>
      <c r="D5" s="4772">
        <f>'Part II-Sources of Funds'!E41</f>
        <v>0</v>
      </c>
      <c r="E5" s="4773"/>
      <c r="F5" s="1477"/>
      <c r="G5" s="4772">
        <f>'Part II-Sources of Funds'!E42</f>
        <v>0</v>
      </c>
      <c r="H5" s="4773"/>
      <c r="I5" s="1477"/>
      <c r="J5" s="4772">
        <f>'Part II-Sources of Funds'!E43</f>
        <v>0</v>
      </c>
      <c r="K5" s="4773"/>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2290.1175477136981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2290.1175477136981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2290.1175477136981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2290.1175477136981</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2290.1175477136981</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2290.1175477136981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2290.1175477136981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2290.1175477136981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2290.1175477136981</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2290.1175477136981</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2496.8066966322413</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2496.8066966322413</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2496.8066966322413</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2496.8066966322413</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2496.8066966322413</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2496.8066966322413</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2496.8066966322413</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2496.8066966322413</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2496.8066966322413</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2496.8066966322413</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2496.8066966322413</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2496.8066966322413</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2496.8066966322413</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2496.8066966322413</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2496.8066966322413</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2496.8066966322413</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2496.8066966322413</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2496.8066966322413</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2496.8066966322413</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2496.8066966322413</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2290.1175477136981</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2290.1175477136981</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2290.1175477136981</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2290.1175477136981</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2290.1175477136981</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4" t="str">
        <f>CONCATENATE('Sensitivity Analysis'!E8,"  ",'Sensitivity Analysis'!C8)</f>
        <v>2023-0  West Pine Residences</v>
      </c>
      <c r="B1" s="4774"/>
      <c r="C1" s="4774"/>
      <c r="D1" s="4774"/>
      <c r="E1" s="4774"/>
      <c r="F1" s="4774"/>
      <c r="G1" s="4774"/>
      <c r="H1" s="4774"/>
    </row>
    <row r="3" spans="1:11" ht="12" customHeight="1">
      <c r="A3" s="4775" t="s">
        <v>3104</v>
      </c>
      <c r="B3" s="4775"/>
      <c r="C3" s="4775"/>
      <c r="D3" s="4775"/>
      <c r="E3" s="4775"/>
      <c r="F3" s="4775"/>
      <c r="G3" s="4775"/>
      <c r="H3" s="4775"/>
      <c r="I3" s="1027"/>
      <c r="J3" s="4777" t="s">
        <v>3458</v>
      </c>
      <c r="K3" s="4777"/>
    </row>
    <row r="4" spans="1:11">
      <c r="J4" s="4777"/>
      <c r="K4" s="4777"/>
    </row>
    <row r="5" spans="1:11" ht="12" customHeight="1">
      <c r="A5" s="432">
        <v>1</v>
      </c>
      <c r="C5" s="432" t="s">
        <v>2739</v>
      </c>
      <c r="E5" s="620">
        <f>'Sensitivity Analysis'!H9</f>
        <v>0</v>
      </c>
      <c r="J5" s="4777"/>
      <c r="K5" s="4777"/>
    </row>
    <row r="6" spans="1:11" ht="3" customHeight="1">
      <c r="H6" s="610"/>
      <c r="J6" s="4777"/>
      <c r="K6" s="4777"/>
    </row>
    <row r="7" spans="1:11" ht="12" customHeight="1">
      <c r="A7" s="432">
        <v>2</v>
      </c>
      <c r="C7" s="432" t="s">
        <v>2740</v>
      </c>
      <c r="E7" s="4778"/>
      <c r="F7" s="4778"/>
      <c r="G7" s="4778"/>
      <c r="H7" s="4778"/>
      <c r="J7" s="4777"/>
      <c r="K7" s="4777"/>
    </row>
    <row r="8" spans="1:11" ht="12" customHeight="1">
      <c r="E8" s="4778"/>
      <c r="F8" s="4778"/>
      <c r="G8" s="4778"/>
      <c r="H8" s="4778"/>
      <c r="J8" s="4777"/>
      <c r="K8" s="4777"/>
    </row>
    <row r="9" spans="1:11" ht="12" customHeight="1">
      <c r="C9" s="432" t="s">
        <v>2741</v>
      </c>
      <c r="E9" s="4776"/>
      <c r="F9" s="4776"/>
      <c r="J9" s="4777"/>
      <c r="K9" s="4777"/>
    </row>
    <row r="10" spans="1:11" ht="12" customHeight="1">
      <c r="C10" s="432" t="s">
        <v>2742</v>
      </c>
      <c r="E10" s="4778"/>
      <c r="F10" s="4778"/>
      <c r="G10" s="4778"/>
      <c r="H10" s="4778"/>
    </row>
    <row r="11" spans="1:11" ht="12" customHeight="1">
      <c r="C11" s="432" t="s">
        <v>3463</v>
      </c>
      <c r="E11" s="4778"/>
      <c r="F11" s="4778"/>
      <c r="G11" s="4778"/>
      <c r="H11" s="4778"/>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West Pine Residences</v>
      </c>
    </row>
    <row r="16" spans="1:11" ht="12" customHeight="1">
      <c r="C16" s="432" t="s">
        <v>2744</v>
      </c>
      <c r="E16" s="4778"/>
      <c r="F16" s="4778"/>
      <c r="G16" s="4778"/>
      <c r="H16" s="4778"/>
    </row>
    <row r="17" spans="1:8" ht="12" customHeight="1">
      <c r="E17" s="438" t="str">
        <f>'Part I-Project Identification'!$F$26</f>
        <v>Sylvester</v>
      </c>
      <c r="F17" s="609" t="s">
        <v>791</v>
      </c>
      <c r="G17" s="4779" t="s">
        <v>6750</v>
      </c>
      <c r="H17" s="4779"/>
    </row>
    <row r="18" spans="1:8" ht="12" customHeight="1">
      <c r="E18" s="620" t="str">
        <f>(CONCATENATE('Part I-Project Identification'!$J$26," County"))</f>
        <v>Worth County</v>
      </c>
    </row>
    <row r="19" spans="1:8" ht="3" customHeight="1"/>
    <row r="20" spans="1:8" ht="12" customHeight="1">
      <c r="A20" s="432">
        <v>4</v>
      </c>
      <c r="C20" s="432" t="s">
        <v>2745</v>
      </c>
      <c r="E20" s="4778"/>
      <c r="F20" s="4778"/>
      <c r="G20" s="4778"/>
      <c r="H20" s="4778"/>
    </row>
    <row r="21" spans="1:8" ht="12" customHeight="1">
      <c r="C21" s="432" t="s">
        <v>2746</v>
      </c>
      <c r="E21" s="4778"/>
      <c r="F21" s="4778"/>
      <c r="G21" s="4778"/>
      <c r="H21" s="4778"/>
    </row>
    <row r="22" spans="1:8" ht="12" customHeight="1">
      <c r="E22" s="4778"/>
      <c r="F22" s="4778"/>
      <c r="G22" s="4778"/>
      <c r="H22" s="4778"/>
    </row>
    <row r="23" spans="1:8" ht="12" customHeight="1">
      <c r="C23" s="432" t="s">
        <v>3459</v>
      </c>
      <c r="E23" s="1991"/>
    </row>
    <row r="24" spans="1:8" ht="12" customHeight="1">
      <c r="C24" s="432" t="s">
        <v>3462</v>
      </c>
      <c r="E24" s="1991"/>
    </row>
    <row r="25" spans="1:8" ht="12" customHeight="1">
      <c r="C25" s="432" t="s">
        <v>3463</v>
      </c>
      <c r="E25" s="4778"/>
      <c r="F25" s="4778"/>
      <c r="G25" s="4778"/>
      <c r="H25" s="477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9806796</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8"/>
      <c r="F48" s="4778"/>
      <c r="G48" s="4778"/>
      <c r="H48" s="4778"/>
    </row>
    <row r="49" spans="1:8" ht="3" customHeight="1">
      <c r="E49" s="620"/>
    </row>
    <row r="50" spans="1:8" ht="12" customHeight="1">
      <c r="A50" s="432">
        <v>15</v>
      </c>
      <c r="C50" s="432" t="s">
        <v>3465</v>
      </c>
      <c r="E50" s="4778"/>
      <c r="F50" s="4778"/>
      <c r="G50" s="4778"/>
      <c r="H50" s="4778"/>
    </row>
    <row r="51" spans="1:8" ht="12" customHeight="1">
      <c r="C51" s="432" t="s">
        <v>2763</v>
      </c>
      <c r="E51" s="4778"/>
      <c r="F51" s="4778"/>
      <c r="G51" s="4778"/>
      <c r="H51" s="4778"/>
    </row>
    <row r="52" spans="1:8" ht="3" customHeight="1">
      <c r="F52" s="614"/>
    </row>
    <row r="53" spans="1:8" ht="12" customHeight="1">
      <c r="A53" s="432">
        <v>16</v>
      </c>
      <c r="C53" s="432" t="s">
        <v>2764</v>
      </c>
      <c r="F53" s="1032">
        <f>'Sensitivity Analysis'!C13</f>
        <v>44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331212.56148103299</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120440.71018243973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53350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3" t="s">
        <v>2960</v>
      </c>
      <c r="B1" s="4783"/>
      <c r="C1" s="4783"/>
      <c r="D1" s="4783"/>
      <c r="E1" s="4783"/>
      <c r="F1" s="4783"/>
      <c r="G1" s="4783"/>
      <c r="H1" s="4783"/>
      <c r="I1" s="4783"/>
      <c r="J1" s="4783"/>
    </row>
    <row r="2" spans="1:13" ht="15">
      <c r="A2" s="4783" t="str">
        <f>'Sensitivity Analysis'!E8&amp;"  "&amp;'Sensitivity Analysis'!C8</f>
        <v>2023-0  West Pine Residences</v>
      </c>
      <c r="B2" s="4783"/>
      <c r="C2" s="4783"/>
      <c r="D2" s="4783"/>
      <c r="E2" s="4783"/>
      <c r="F2" s="4783"/>
      <c r="G2" s="4783"/>
      <c r="H2" s="4783"/>
      <c r="I2" s="4783"/>
      <c r="J2" s="4783"/>
    </row>
    <row r="3" spans="1:13" ht="6" customHeight="1">
      <c r="K3" s="4777" t="s">
        <v>3458</v>
      </c>
      <c r="L3" s="4777"/>
      <c r="M3" s="4777"/>
    </row>
    <row r="4" spans="1:13" ht="12" customHeight="1">
      <c r="A4" s="612" t="s">
        <v>2778</v>
      </c>
      <c r="K4" s="4777"/>
      <c r="L4" s="4777"/>
      <c r="M4" s="4777"/>
    </row>
    <row r="5" spans="1:13" ht="12" customHeight="1">
      <c r="A5" s="432" t="s">
        <v>2779</v>
      </c>
      <c r="C5" s="560" t="str">
        <f>'Subsidy Layering Memo'!D6</f>
        <v>(Underwriter)</v>
      </c>
      <c r="I5" s="560"/>
      <c r="K5" s="4777"/>
      <c r="L5" s="4777"/>
      <c r="M5" s="4777"/>
    </row>
    <row r="6" spans="1:13" ht="6" customHeight="1">
      <c r="C6" s="560"/>
      <c r="D6" s="560"/>
      <c r="I6" s="560"/>
      <c r="K6" s="4777"/>
      <c r="L6" s="4777"/>
      <c r="M6" s="4777"/>
    </row>
    <row r="7" spans="1:13" ht="12" customHeight="1">
      <c r="A7" s="612" t="s">
        <v>2780</v>
      </c>
      <c r="C7" s="560"/>
      <c r="D7" s="560"/>
      <c r="I7" s="560"/>
      <c r="K7" s="4777"/>
      <c r="L7" s="4777"/>
      <c r="M7" s="4777"/>
    </row>
    <row r="8" spans="1:13" ht="12" customHeight="1">
      <c r="A8" s="432" t="s">
        <v>2781</v>
      </c>
      <c r="C8" s="560">
        <f>'Sensitivity Analysis'!$H$9</f>
        <v>0</v>
      </c>
      <c r="I8" s="560"/>
      <c r="K8" s="4777"/>
      <c r="L8" s="4777"/>
      <c r="M8" s="477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2"/>
      <c r="E13" s="4782"/>
      <c r="F13" s="4782"/>
      <c r="G13" s="4782"/>
      <c r="H13" s="4782"/>
      <c r="I13" s="4782"/>
      <c r="J13" s="4782"/>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West Pine Residences</v>
      </c>
      <c r="I28" s="560"/>
    </row>
    <row r="29" spans="1:9" ht="3" customHeight="1">
      <c r="C29" s="613"/>
      <c r="I29" s="560"/>
    </row>
    <row r="30" spans="1:9" ht="12" customHeight="1">
      <c r="A30" s="432" t="s">
        <v>2791</v>
      </c>
      <c r="C30" s="613">
        <f>'Preview term'!E16</f>
        <v>0</v>
      </c>
      <c r="I30" s="560"/>
    </row>
    <row r="31" spans="1:9">
      <c r="C31" s="560" t="str">
        <f>'Preview term'!E17</f>
        <v>Sylvester</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4" t="str">
        <f>_xlfn.CONCAT('Part VII-Threshold Criteria OLD'!K192," and ",'Part VII-Threshold Criteria OLD'!K193)</f>
        <v>&lt;&lt;Select&gt;&gt; and &lt;&lt;Select&gt;&gt;</v>
      </c>
      <c r="D39" s="4784"/>
      <c r="E39" s="4784"/>
      <c r="F39" s="4784"/>
      <c r="G39" s="4784"/>
      <c r="H39" s="4784"/>
      <c r="I39" s="4784"/>
      <c r="J39" s="4784"/>
    </row>
    <row r="40" spans="1:10" ht="25.5" customHeight="1">
      <c r="A40" s="617" t="s">
        <v>6165</v>
      </c>
      <c r="C40" s="47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4"/>
      <c r="E40" s="4784"/>
      <c r="F40" s="4784"/>
      <c r="G40" s="4784"/>
      <c r="H40" s="4784"/>
      <c r="I40" s="4784"/>
      <c r="J40" s="4784"/>
    </row>
    <row r="41" spans="1:10" ht="3" customHeight="1">
      <c r="G41" s="560"/>
      <c r="H41" s="560"/>
      <c r="I41" s="560"/>
    </row>
    <row r="42" spans="1:10" ht="25.5" customHeight="1">
      <c r="A42" s="617" t="s">
        <v>2798</v>
      </c>
      <c r="C42" s="4784" t="s">
        <v>3108</v>
      </c>
      <c r="D42" s="4784"/>
      <c r="E42" s="4784"/>
      <c r="F42" s="4784"/>
      <c r="G42" s="4784"/>
      <c r="H42" s="4784"/>
      <c r="I42" s="4784"/>
      <c r="J42" s="4784"/>
    </row>
    <row r="43" spans="1:10" ht="3" customHeight="1">
      <c r="C43" s="438"/>
      <c r="D43" s="438"/>
      <c r="E43" s="438"/>
      <c r="F43" s="438"/>
      <c r="G43" s="438"/>
      <c r="H43" s="439"/>
      <c r="I43" s="439"/>
      <c r="J43" s="439"/>
    </row>
    <row r="44" spans="1:10" ht="12" customHeight="1">
      <c r="A44" s="432" t="s">
        <v>2799</v>
      </c>
      <c r="C44" s="504" t="str">
        <f>'Part I-Project Identification'!J26</f>
        <v>Worth</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4" t="s">
        <v>533</v>
      </c>
      <c r="D50" s="4784"/>
      <c r="E50" s="4784"/>
      <c r="F50" s="4784"/>
      <c r="G50" s="4784"/>
      <c r="H50" s="4784"/>
      <c r="I50" s="4784"/>
      <c r="J50" s="4784"/>
    </row>
    <row r="51" spans="1:10" ht="12" customHeight="1">
      <c r="C51" s="4786" t="s">
        <v>1677</v>
      </c>
      <c r="D51" s="4786"/>
      <c r="E51" s="4786"/>
      <c r="F51" s="4786"/>
      <c r="G51" s="4786"/>
      <c r="H51" s="4786"/>
      <c r="I51" s="4786"/>
      <c r="J51" s="4786"/>
    </row>
    <row r="52" spans="1:10" ht="3" customHeight="1">
      <c r="D52" s="618"/>
      <c r="E52" s="618"/>
      <c r="F52" s="618"/>
      <c r="G52" s="618"/>
      <c r="H52" s="560"/>
      <c r="I52" s="618"/>
      <c r="J52" s="618"/>
    </row>
    <row r="53" spans="1:10" ht="12" customHeight="1">
      <c r="A53" s="617" t="s">
        <v>2803</v>
      </c>
      <c r="B53" s="617"/>
      <c r="C53" s="619" t="s">
        <v>2804</v>
      </c>
      <c r="D53" s="619" t="s">
        <v>3109</v>
      </c>
      <c r="E53" s="4787"/>
      <c r="F53" s="4787"/>
      <c r="G53" s="4787"/>
      <c r="H53" s="4787"/>
      <c r="I53" s="4787"/>
      <c r="J53" s="4787"/>
    </row>
    <row r="54" spans="1:10" ht="12" customHeight="1">
      <c r="A54" s="617"/>
      <c r="B54" s="617"/>
      <c r="C54" s="617"/>
      <c r="D54" s="619" t="s">
        <v>3110</v>
      </c>
      <c r="E54" s="4788"/>
      <c r="F54" s="4788"/>
      <c r="G54" s="4788"/>
      <c r="H54" s="4788"/>
      <c r="I54" s="4788"/>
      <c r="J54" s="478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9806796</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2"/>
      <c r="E69" s="4782"/>
      <c r="F69" s="4782"/>
      <c r="G69" s="4782"/>
      <c r="H69" s="4782"/>
      <c r="I69" s="4782"/>
      <c r="J69" s="478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331212.56148103299</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Central Bank of Kansas City</v>
      </c>
      <c r="I93" s="560"/>
    </row>
    <row r="94" spans="1:9" ht="12" customHeight="1">
      <c r="C94" s="620"/>
      <c r="D94" s="560"/>
      <c r="E94" s="620" t="s">
        <v>1670</v>
      </c>
      <c r="F94" s="4778"/>
      <c r="G94" s="4778"/>
      <c r="H94" s="4778"/>
      <c r="I94" s="560"/>
    </row>
    <row r="95" spans="1:9" ht="12" customHeight="1">
      <c r="C95" s="620"/>
      <c r="D95" s="560"/>
      <c r="E95" s="620" t="s">
        <v>1840</v>
      </c>
      <c r="F95" s="4789"/>
      <c r="G95" s="4789"/>
      <c r="H95" s="4789"/>
      <c r="I95" s="560"/>
    </row>
    <row r="96" spans="1:9" ht="12" customHeight="1">
      <c r="C96" s="620"/>
      <c r="D96" s="560"/>
      <c r="E96" s="620" t="s">
        <v>1672</v>
      </c>
      <c r="F96" s="4776"/>
      <c r="G96" s="4776"/>
      <c r="H96" s="4776"/>
      <c r="I96" s="560"/>
    </row>
    <row r="97" spans="1:10" ht="12" customHeight="1">
      <c r="B97" s="614"/>
      <c r="C97" s="622" t="s">
        <v>2972</v>
      </c>
      <c r="D97" s="560" t="s">
        <v>2831</v>
      </c>
      <c r="E97" s="620" t="str">
        <f>'Part II-Sources of Funds'!E40</f>
        <v>Central Bank of Kansas City (Capital Magnet Funds)</v>
      </c>
      <c r="I97" s="560"/>
    </row>
    <row r="98" spans="1:10" ht="12" customHeight="1">
      <c r="C98" s="620"/>
      <c r="D98" s="560"/>
      <c r="E98" s="620" t="s">
        <v>1670</v>
      </c>
      <c r="F98" s="4778"/>
      <c r="G98" s="4778"/>
      <c r="H98" s="4778"/>
      <c r="I98" s="560"/>
    </row>
    <row r="99" spans="1:10" ht="12" customHeight="1">
      <c r="C99" s="620"/>
      <c r="D99" s="560"/>
      <c r="E99" s="620" t="s">
        <v>1840</v>
      </c>
      <c r="F99" s="4789"/>
      <c r="G99" s="4789"/>
      <c r="H99" s="4789"/>
      <c r="I99" s="560"/>
    </row>
    <row r="100" spans="1:10" ht="12" customHeight="1">
      <c r="C100" s="620"/>
      <c r="D100" s="560"/>
      <c r="E100" s="620" t="s">
        <v>1672</v>
      </c>
      <c r="F100" s="4776"/>
      <c r="G100" s="4776"/>
      <c r="H100" s="477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0"/>
      <c r="E107" s="4790"/>
      <c r="F107" s="4790"/>
      <c r="G107" s="4790"/>
      <c r="H107" s="4790"/>
      <c r="I107" s="4790"/>
      <c r="J107" s="479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1" t="s">
        <v>6169</v>
      </c>
      <c r="F120" s="4781"/>
      <c r="G120" s="4781"/>
      <c r="H120" s="4781"/>
      <c r="I120" s="4781"/>
      <c r="J120" s="4781"/>
    </row>
    <row r="121" spans="1:10" ht="12" customHeight="1">
      <c r="C121" s="560" t="s">
        <v>2842</v>
      </c>
      <c r="D121" s="996"/>
      <c r="E121" s="4781"/>
      <c r="F121" s="4781"/>
      <c r="G121" s="4781"/>
      <c r="H121" s="4781"/>
      <c r="I121" s="4781"/>
      <c r="J121" s="4781"/>
    </row>
    <row r="122" spans="1:10" ht="12" customHeight="1">
      <c r="C122" s="560" t="s">
        <v>2843</v>
      </c>
      <c r="D122" s="996"/>
      <c r="E122" s="4781"/>
      <c r="F122" s="4781"/>
      <c r="G122" s="4781"/>
      <c r="H122" s="4781"/>
      <c r="I122" s="4781"/>
      <c r="J122" s="4781"/>
    </row>
    <row r="123" spans="1:10" ht="12" customHeight="1">
      <c r="C123" s="560" t="s">
        <v>2843</v>
      </c>
      <c r="D123" s="996"/>
      <c r="E123" s="4781"/>
      <c r="F123" s="4781"/>
      <c r="G123" s="4781"/>
      <c r="H123" s="4781"/>
      <c r="I123" s="4781"/>
      <c r="J123" s="478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601274.5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2"/>
      <c r="F166" s="4782"/>
      <c r="G166" s="4782"/>
      <c r="I166" s="560"/>
    </row>
    <row r="167" spans="1:9" ht="3" customHeight="1">
      <c r="E167" s="560"/>
      <c r="G167" s="560"/>
      <c r="I167" s="560"/>
    </row>
    <row r="168" spans="1:9" ht="12" customHeight="1">
      <c r="A168" s="432" t="s">
        <v>2866</v>
      </c>
      <c r="C168" s="432" t="s">
        <v>2867</v>
      </c>
      <c r="E168" s="632">
        <f>'Preview term'!F74</f>
        <v>120440.71018243973</v>
      </c>
      <c r="G168" s="560"/>
      <c r="I168" s="560"/>
    </row>
    <row r="169" spans="1:9" ht="12" customHeight="1">
      <c r="C169" s="432" t="s">
        <v>3115</v>
      </c>
      <c r="E169" s="4782"/>
      <c r="F169" s="4782"/>
      <c r="G169" s="478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11000</v>
      </c>
      <c r="F174" s="560" t="s">
        <v>2871</v>
      </c>
    </row>
    <row r="175" spans="1:9">
      <c r="E175" s="632">
        <f>E174/12</f>
        <v>916.66666666666663</v>
      </c>
      <c r="F175" s="560" t="s">
        <v>2736</v>
      </c>
    </row>
    <row r="176" spans="1:9" ht="12" customHeight="1">
      <c r="C176" s="432" t="s">
        <v>3116</v>
      </c>
      <c r="E176" s="4782"/>
      <c r="F176" s="4782"/>
      <c r="G176" s="478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2"/>
      <c r="G181" s="4782"/>
      <c r="H181" s="4782"/>
      <c r="I181" s="4782"/>
      <c r="J181" s="4782"/>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53350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0">
        <f>'Part VII-Threshold Criteria OLD'!E372</f>
        <v>0</v>
      </c>
      <c r="G199" s="4780"/>
      <c r="H199" s="4780"/>
      <c r="I199" s="4780"/>
      <c r="J199" s="4780"/>
    </row>
    <row r="200" spans="1:10" ht="9" customHeight="1">
      <c r="G200" s="560"/>
      <c r="H200" s="560"/>
      <c r="I200" s="560"/>
    </row>
    <row r="201" spans="1:10" ht="12" customHeight="1">
      <c r="A201" s="634" t="s">
        <v>2961</v>
      </c>
      <c r="G201" s="560"/>
      <c r="H201" s="560"/>
      <c r="I201" s="625"/>
    </row>
    <row r="202" spans="1:10" ht="25.5" hidden="1" customHeight="1">
      <c r="A202" s="4785" t="str">
        <f>'Subsidy Layering Memo'!A105</f>
        <v>Include any reserve requirements; explain any reserves far in excess of 6 month ODR, 3 mo lease up, 1 year RR, 6 mo T&amp;I standards.</v>
      </c>
      <c r="B202" s="4785"/>
      <c r="C202" s="4785"/>
      <c r="D202" s="4785"/>
      <c r="E202" s="4785"/>
      <c r="F202" s="4785"/>
      <c r="G202" s="4785"/>
      <c r="H202" s="4785"/>
      <c r="I202" s="4785"/>
      <c r="J202" s="4785"/>
    </row>
    <row r="203" spans="1:10">
      <c r="A203" s="560"/>
      <c r="G203" s="560"/>
      <c r="H203" s="560"/>
      <c r="I203" s="560"/>
    </row>
    <row r="204" spans="1:10" s="516" customFormat="1" ht="15">
      <c r="A204" s="522" t="s">
        <v>6153</v>
      </c>
    </row>
    <row r="205" spans="1:10" s="516" customFormat="1" ht="14.25" customHeight="1">
      <c r="A205" s="47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2"/>
      <c r="C205" s="4752"/>
      <c r="D205" s="4752"/>
      <c r="E205" s="4752"/>
      <c r="F205" s="4752"/>
      <c r="G205" s="4752"/>
      <c r="H205" s="4752"/>
      <c r="I205" s="4752"/>
      <c r="J205" s="4752"/>
    </row>
    <row r="206" spans="1:10" s="516" customFormat="1" ht="14.25" customHeight="1">
      <c r="A206" s="4752"/>
      <c r="B206" s="4752"/>
      <c r="C206" s="4752"/>
      <c r="D206" s="4752"/>
      <c r="E206" s="4752"/>
      <c r="F206" s="4752"/>
      <c r="G206" s="4752"/>
      <c r="H206" s="4752"/>
      <c r="I206" s="4752"/>
      <c r="J206" s="4752"/>
    </row>
    <row r="207" spans="1:10" s="516" customFormat="1" ht="6.75" customHeight="1">
      <c r="A207" s="4752"/>
      <c r="B207" s="4752"/>
      <c r="C207" s="4752"/>
      <c r="D207" s="4752"/>
      <c r="E207" s="4752"/>
      <c r="F207" s="4752"/>
      <c r="G207" s="4752"/>
      <c r="H207" s="4752"/>
      <c r="I207" s="4752"/>
      <c r="J207" s="4752"/>
    </row>
    <row r="208" spans="1:10" s="516" customFormat="1" ht="21.75" customHeight="1">
      <c r="A208" s="4752"/>
      <c r="B208" s="4752"/>
      <c r="C208" s="4752"/>
      <c r="D208" s="4752"/>
      <c r="E208" s="4752"/>
      <c r="F208" s="4752"/>
      <c r="G208" s="4752"/>
      <c r="H208" s="4752"/>
      <c r="I208" s="4752"/>
      <c r="J208" s="4752"/>
    </row>
    <row r="209" spans="1:10" s="516" customFormat="1" ht="20.25" customHeight="1">
      <c r="A209" s="4752"/>
      <c r="B209" s="4752"/>
      <c r="C209" s="4752"/>
      <c r="D209" s="4752"/>
      <c r="E209" s="4752"/>
      <c r="F209" s="4752"/>
      <c r="G209" s="4752"/>
      <c r="H209" s="4752"/>
      <c r="I209" s="4752"/>
      <c r="J209" s="4752"/>
    </row>
    <row r="210" spans="1:10" s="516" customFormat="1" ht="54.75" customHeight="1">
      <c r="A210" s="4752"/>
      <c r="B210" s="4752"/>
      <c r="C210" s="4752"/>
      <c r="D210" s="4752"/>
      <c r="E210" s="4752"/>
      <c r="F210" s="4752"/>
      <c r="G210" s="4752"/>
      <c r="H210" s="4752"/>
      <c r="I210" s="4752"/>
      <c r="J210" s="4752"/>
    </row>
    <row r="211" spans="1:10" s="516" customFormat="1" ht="0.75" hidden="1" customHeight="1">
      <c r="A211" s="4752"/>
      <c r="B211" s="4752"/>
      <c r="C211" s="4752"/>
      <c r="D211" s="4752"/>
      <c r="E211" s="4752"/>
      <c r="F211" s="4752"/>
      <c r="G211" s="4752"/>
      <c r="H211" s="4752"/>
      <c r="I211" s="4752"/>
      <c r="J211" s="4752"/>
    </row>
    <row r="212" spans="1:10" s="516" customFormat="1" ht="3.75" hidden="1" customHeight="1">
      <c r="A212" s="4752"/>
      <c r="B212" s="4752"/>
      <c r="C212" s="4752"/>
      <c r="D212" s="4752"/>
      <c r="E212" s="4752"/>
      <c r="F212" s="4752"/>
      <c r="G212" s="4752"/>
      <c r="H212" s="4752"/>
      <c r="I212" s="4752"/>
      <c r="J212" s="4752"/>
    </row>
    <row r="213" spans="1:10" s="516" customFormat="1" ht="5.25" customHeight="1">
      <c r="A213" s="1251"/>
      <c r="B213" s="1251"/>
      <c r="C213" s="1251"/>
      <c r="D213" s="1251"/>
      <c r="E213" s="1251"/>
      <c r="F213" s="1251"/>
      <c r="G213" s="1251"/>
      <c r="H213" s="1251"/>
      <c r="I213" s="1251"/>
      <c r="J213" s="1251"/>
    </row>
    <row r="214" spans="1:10" s="516" customFormat="1" ht="19.5" customHeight="1">
      <c r="A214" s="4751" t="s">
        <v>6156</v>
      </c>
      <c r="B214" s="4751"/>
      <c r="C214" s="4751"/>
      <c r="D214" s="1249"/>
      <c r="E214" s="1249"/>
      <c r="F214" s="1249"/>
      <c r="G214" s="1249"/>
      <c r="H214" s="1249"/>
      <c r="I214" s="1249"/>
      <c r="J214" s="1249"/>
    </row>
    <row r="215" spans="1:10" s="516" customFormat="1" ht="22.5" customHeight="1">
      <c r="A215" s="4736" t="str">
        <f>'Subsidy Layering Memo'!A37</f>
        <v>1)</v>
      </c>
      <c r="B215" s="4736"/>
      <c r="C215" s="4736"/>
      <c r="D215" s="4736"/>
      <c r="E215" s="4736"/>
      <c r="F215" s="4736"/>
      <c r="G215" s="4736"/>
      <c r="H215" s="4736"/>
      <c r="I215" s="4736"/>
      <c r="J215" s="4736"/>
    </row>
    <row r="216" spans="1:10" s="516" customFormat="1" ht="22.5" customHeight="1">
      <c r="A216" s="4736" t="str">
        <f>'Subsidy Layering Memo'!A38</f>
        <v>2)</v>
      </c>
      <c r="B216" s="4736"/>
      <c r="C216" s="4736"/>
      <c r="D216" s="4736"/>
      <c r="E216" s="4736"/>
      <c r="F216" s="4736"/>
      <c r="G216" s="4736"/>
      <c r="H216" s="4736"/>
      <c r="I216" s="4736"/>
      <c r="J216" s="4736"/>
    </row>
    <row r="217" spans="1:10" s="516" customFormat="1" ht="22.5" customHeight="1">
      <c r="A217" s="4736" t="str">
        <f>'Subsidy Layering Memo'!A39</f>
        <v>3)</v>
      </c>
      <c r="B217" s="4736"/>
      <c r="C217" s="4736"/>
      <c r="D217" s="4736"/>
      <c r="E217" s="4736"/>
      <c r="F217" s="4736"/>
      <c r="G217" s="4736"/>
      <c r="H217" s="4736"/>
      <c r="I217" s="4736"/>
      <c r="J217" s="4736"/>
    </row>
    <row r="218" spans="1:10" s="516" customFormat="1" ht="22.5" customHeight="1">
      <c r="A218" s="4736" t="str">
        <f>'Subsidy Layering Memo'!A40</f>
        <v>4)</v>
      </c>
      <c r="B218" s="4736"/>
      <c r="C218" s="4736"/>
      <c r="D218" s="4736"/>
      <c r="E218" s="4736"/>
      <c r="F218" s="4736"/>
      <c r="G218" s="4736"/>
      <c r="H218" s="4736"/>
      <c r="I218" s="4736"/>
      <c r="J218" s="4736"/>
    </row>
    <row r="219" spans="1:10" s="516" customFormat="1" ht="22.5" customHeight="1">
      <c r="A219" s="4736" t="str">
        <f>'Subsidy Layering Memo'!A41</f>
        <v>5)</v>
      </c>
      <c r="B219" s="4736"/>
      <c r="C219" s="4736"/>
      <c r="D219" s="4736"/>
      <c r="E219" s="4736"/>
      <c r="F219" s="4736"/>
      <c r="G219" s="4736"/>
      <c r="H219" s="4736"/>
      <c r="I219" s="4736"/>
      <c r="J219" s="4736"/>
    </row>
    <row r="220" spans="1:10" s="516" customFormat="1" ht="22.5" customHeight="1">
      <c r="A220" s="4736" t="str">
        <f>'Subsidy Layering Memo'!A42</f>
        <v>6)</v>
      </c>
      <c r="B220" s="4736"/>
      <c r="C220" s="4736"/>
      <c r="D220" s="4736"/>
      <c r="E220" s="4736"/>
      <c r="F220" s="4736"/>
      <c r="G220" s="4736"/>
      <c r="H220" s="4736"/>
      <c r="I220" s="4736"/>
      <c r="J220" s="4736"/>
    </row>
    <row r="221" spans="1:10" s="516" customFormat="1" ht="22.5" customHeight="1">
      <c r="A221" s="4736" t="str">
        <f>'Subsidy Layering Memo'!A43</f>
        <v>7)</v>
      </c>
      <c r="B221" s="4736"/>
      <c r="C221" s="4736"/>
      <c r="D221" s="4736"/>
      <c r="E221" s="4736"/>
      <c r="F221" s="4736"/>
      <c r="G221" s="4736"/>
      <c r="H221" s="4736"/>
      <c r="I221" s="4736"/>
      <c r="J221" s="4736"/>
    </row>
    <row r="222" spans="1:10" s="516" customFormat="1" ht="22.5" customHeight="1">
      <c r="A222" s="4736" t="str">
        <f>'Subsidy Layering Memo'!A44</f>
        <v>8)</v>
      </c>
      <c r="B222" s="4736"/>
      <c r="C222" s="4736"/>
      <c r="D222" s="4736"/>
      <c r="E222" s="4736"/>
      <c r="F222" s="4736"/>
      <c r="G222" s="4736"/>
      <c r="H222" s="4736"/>
      <c r="I222" s="4736"/>
      <c r="J222" s="473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7" t="str">
        <f>'Part I-Project Identification'!F25</f>
        <v>West Pine Residences</v>
      </c>
      <c r="E3" s="4168"/>
      <c r="F3" s="4168"/>
      <c r="G3" s="4168"/>
      <c r="H3" s="4168"/>
      <c r="I3" s="4168"/>
      <c r="J3" s="4821" t="s">
        <v>3970</v>
      </c>
      <c r="K3" s="4822"/>
    </row>
    <row r="4" spans="1:11" ht="15" customHeight="1">
      <c r="A4" s="1332" t="s">
        <v>3968</v>
      </c>
      <c r="B4" s="1333"/>
      <c r="C4" s="1334"/>
      <c r="D4" s="4817">
        <f>'Preview term'!$E$16</f>
        <v>0</v>
      </c>
      <c r="E4" s="4818"/>
      <c r="F4" s="4818"/>
      <c r="G4" s="4818"/>
      <c r="H4" s="4818"/>
      <c r="I4" s="4818"/>
      <c r="J4" s="4173" t="s">
        <v>4009</v>
      </c>
      <c r="K4" s="4174"/>
    </row>
    <row r="5" spans="1:11" ht="15" customHeight="1" thickBot="1">
      <c r="A5" s="1335" t="s">
        <v>3969</v>
      </c>
      <c r="B5" s="1336"/>
      <c r="C5" s="1337"/>
      <c r="D5" s="4819"/>
      <c r="E5" s="4820"/>
      <c r="F5" s="4820"/>
      <c r="G5" s="4820"/>
      <c r="H5" s="4820"/>
      <c r="I5" s="4820"/>
      <c r="J5" s="4175"/>
      <c r="K5" s="4176"/>
    </row>
    <row r="6" spans="1:11" ht="9" customHeight="1" thickBot="1">
      <c r="E6" s="1327"/>
    </row>
    <row r="7" spans="1:11">
      <c r="A7" s="4185" t="s">
        <v>3971</v>
      </c>
      <c r="B7" s="4186"/>
      <c r="C7" s="4186"/>
      <c r="D7" s="4186"/>
      <c r="E7" s="4186"/>
      <c r="F7" s="4186"/>
      <c r="G7" s="4186"/>
      <c r="H7" s="4186"/>
      <c r="I7" s="4186"/>
      <c r="J7" s="4186"/>
      <c r="K7" s="4187"/>
    </row>
    <row r="8" spans="1:11" ht="14.25" customHeight="1">
      <c r="A8" s="1333"/>
      <c r="B8" s="1333"/>
      <c r="C8" s="1365">
        <v>1</v>
      </c>
      <c r="D8" s="1352" t="s">
        <v>3972</v>
      </c>
      <c r="E8" s="1352"/>
      <c r="F8" s="1352"/>
      <c r="G8" s="1352"/>
      <c r="H8" s="1352"/>
      <c r="I8" s="1352"/>
      <c r="J8" s="4798"/>
      <c r="K8" s="4799"/>
    </row>
    <row r="9" spans="1:11" ht="7.15" customHeight="1">
      <c r="A9" s="4122"/>
      <c r="B9" s="4122"/>
      <c r="C9" s="4122"/>
      <c r="D9" s="4123"/>
      <c r="E9" s="4123"/>
      <c r="F9" s="4123"/>
      <c r="G9" s="4123"/>
      <c r="H9" s="4123"/>
      <c r="I9" s="4123"/>
      <c r="J9" s="4123"/>
      <c r="K9" s="1353"/>
    </row>
    <row r="10" spans="1:11">
      <c r="A10" s="4188" t="s">
        <v>3973</v>
      </c>
      <c r="B10" s="4189"/>
      <c r="C10" s="4189"/>
      <c r="D10" s="4189"/>
      <c r="E10" s="4189"/>
      <c r="F10" s="4189"/>
      <c r="G10" s="4189"/>
      <c r="H10" s="4189"/>
      <c r="I10" s="4189"/>
      <c r="J10" s="4189"/>
      <c r="K10" s="4190"/>
    </row>
    <row r="11" spans="1:11" ht="14.25" customHeight="1">
      <c r="A11" s="1333"/>
      <c r="B11" s="1333"/>
      <c r="C11" s="1365">
        <v>2</v>
      </c>
      <c r="D11" s="1352" t="s">
        <v>3974</v>
      </c>
      <c r="E11" s="1354"/>
      <c r="F11" s="1354"/>
      <c r="G11" s="1354"/>
      <c r="H11" s="1354"/>
      <c r="I11" s="1354"/>
      <c r="J11" s="4796"/>
      <c r="K11" s="4797"/>
    </row>
    <row r="12" spans="1:11" ht="7.15" customHeight="1">
      <c r="A12" s="4122"/>
      <c r="B12" s="4122"/>
      <c r="C12" s="4122"/>
      <c r="D12" s="4123"/>
      <c r="E12" s="4123"/>
      <c r="F12" s="4123"/>
      <c r="G12" s="4123"/>
      <c r="H12" s="4123"/>
      <c r="I12" s="4123"/>
      <c r="J12" s="4123"/>
      <c r="K12" s="1355"/>
    </row>
    <row r="13" spans="1:11">
      <c r="A13" s="4188" t="s">
        <v>3975</v>
      </c>
      <c r="B13" s="4189"/>
      <c r="C13" s="4189"/>
      <c r="D13" s="4189"/>
      <c r="E13" s="4189"/>
      <c r="F13" s="4189"/>
      <c r="G13" s="4189"/>
      <c r="H13" s="4189"/>
      <c r="I13" s="4189"/>
      <c r="J13" s="4189"/>
      <c r="K13" s="4190"/>
    </row>
    <row r="14" spans="1:11" ht="14.25" customHeight="1">
      <c r="A14" s="1333"/>
      <c r="B14" s="1333"/>
      <c r="C14" s="1366">
        <v>3</v>
      </c>
      <c r="D14" s="1356" t="s">
        <v>3976</v>
      </c>
      <c r="E14" s="1356"/>
      <c r="F14" s="1356"/>
      <c r="G14" s="1356"/>
      <c r="H14" s="1356"/>
      <c r="I14" s="1356"/>
      <c r="J14" s="4794"/>
      <c r="K14" s="4795"/>
    </row>
    <row r="15" spans="1:11" ht="14.25" customHeight="1">
      <c r="A15" s="1333"/>
      <c r="B15" s="1333"/>
      <c r="C15" s="1367">
        <v>4</v>
      </c>
      <c r="D15" s="1333" t="s">
        <v>3977</v>
      </c>
      <c r="E15" s="1333"/>
      <c r="F15" s="1333"/>
      <c r="G15" s="1333"/>
      <c r="H15" s="1333"/>
      <c r="I15" s="1333"/>
      <c r="J15" s="4792"/>
      <c r="K15" s="4793"/>
    </row>
    <row r="16" spans="1:11" ht="14.25" customHeight="1">
      <c r="A16" s="1333"/>
      <c r="B16" s="1333"/>
      <c r="C16" s="1367">
        <v>5</v>
      </c>
      <c r="D16" s="1333" t="s">
        <v>3978</v>
      </c>
      <c r="E16" s="1333"/>
      <c r="F16" s="1333"/>
      <c r="G16" s="1333"/>
      <c r="H16" s="1333"/>
      <c r="I16" s="1333"/>
      <c r="J16" s="4792"/>
      <c r="K16" s="4793"/>
    </row>
    <row r="17" spans="1:13" ht="14.25" customHeight="1">
      <c r="A17" s="1333"/>
      <c r="B17" s="1333"/>
      <c r="C17" s="1368">
        <v>6</v>
      </c>
      <c r="D17" s="1336" t="s">
        <v>3979</v>
      </c>
      <c r="E17" s="1336"/>
      <c r="F17" s="1336"/>
      <c r="G17" s="1336"/>
      <c r="H17" s="1336"/>
      <c r="I17" s="1336"/>
      <c r="J17" s="4800"/>
      <c r="K17" s="480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3980</v>
      </c>
      <c r="E19" s="1356"/>
      <c r="F19" s="1356"/>
      <c r="G19" s="1356"/>
      <c r="H19" s="1356"/>
      <c r="I19" s="1356"/>
      <c r="J19" s="4116" t="str">
        <f>IF(J17="No",J14-J15,IF(J17="Yes",J14-J15-J16,"Error"))</f>
        <v>Error</v>
      </c>
      <c r="K19" s="4117"/>
    </row>
    <row r="20" spans="1:13" ht="14.25" customHeight="1">
      <c r="A20" s="1333"/>
      <c r="B20" s="1333"/>
      <c r="C20" s="1368">
        <v>8</v>
      </c>
      <c r="D20" s="1336" t="s">
        <v>3981</v>
      </c>
      <c r="E20" s="1336"/>
      <c r="F20" s="1336"/>
      <c r="G20" s="1336"/>
      <c r="H20" s="1336"/>
      <c r="I20" s="1336"/>
      <c r="J20" s="4114" t="e">
        <f>ROUNDDOWN(J19/J8,2)</f>
        <v>#VALUE!</v>
      </c>
      <c r="K20" s="411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3982</v>
      </c>
      <c r="E22" s="1357"/>
      <c r="F22" s="1357"/>
      <c r="G22" s="1357"/>
      <c r="H22" s="1357"/>
      <c r="I22" s="1357"/>
      <c r="J22" s="4112" t="e">
        <f>J11/J19</f>
        <v>#VALUE!</v>
      </c>
      <c r="K22" s="4113"/>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5" t="s">
        <v>4013</v>
      </c>
      <c r="B30" s="4156"/>
      <c r="C30" s="4156"/>
      <c r="D30" s="4156"/>
      <c r="E30" s="4156"/>
      <c r="F30" s="4156"/>
      <c r="G30" s="4156"/>
      <c r="H30" s="4156"/>
      <c r="I30" s="4156"/>
      <c r="J30" s="4156"/>
      <c r="K30" s="4157"/>
    </row>
    <row r="31" spans="1:13">
      <c r="B31" s="4806" t="s">
        <v>3970</v>
      </c>
      <c r="C31" s="4806"/>
      <c r="D31" s="4806"/>
      <c r="E31" s="4806"/>
      <c r="F31" s="4806"/>
      <c r="G31" s="4159" t="s">
        <v>3984</v>
      </c>
      <c r="H31" s="4160"/>
      <c r="I31" s="4160"/>
      <c r="J31" s="4160"/>
      <c r="K31" s="4161"/>
    </row>
    <row r="32" spans="1:13" ht="56.25" customHeight="1">
      <c r="A32" s="1351"/>
      <c r="B32" s="1369" t="s">
        <v>4012</v>
      </c>
      <c r="C32" s="1370" t="s">
        <v>4008</v>
      </c>
      <c r="D32" s="1370" t="s">
        <v>4007</v>
      </c>
      <c r="E32" s="4162" t="s">
        <v>6098</v>
      </c>
      <c r="F32" s="4163"/>
      <c r="G32" s="1371" t="s">
        <v>3985</v>
      </c>
      <c r="H32" s="1371" t="s">
        <v>3986</v>
      </c>
      <c r="J32" s="1371" t="s">
        <v>3987</v>
      </c>
      <c r="K32" s="1371" t="s">
        <v>3988</v>
      </c>
      <c r="L32" s="4164" t="s">
        <v>3989</v>
      </c>
      <c r="M32" s="4164"/>
    </row>
    <row r="33" spans="2:14" ht="12.75" customHeight="1">
      <c r="B33" s="1494"/>
      <c r="C33" s="1495"/>
      <c r="D33" s="1496"/>
      <c r="E33" s="4815"/>
      <c r="F33" s="4816"/>
      <c r="G33" s="1387" t="e">
        <f t="shared" ref="G33:G51" si="0">$J$22*B33</f>
        <v>#VALUE!</v>
      </c>
      <c r="H33" s="1388" t="e">
        <f>ROUNDUP(G33,0)</f>
        <v>#VALUE!</v>
      </c>
      <c r="I33" s="1389"/>
      <c r="J33" s="1390" t="e">
        <f t="shared" ref="J33:J51" si="1">$J$20*E33</f>
        <v>#VALUE!</v>
      </c>
      <c r="K33" s="1390" t="e">
        <f t="shared" ref="K33:K51" si="2">ROUNDDOWN(J33*H33,0)</f>
        <v>#VALUE!</v>
      </c>
      <c r="L33" s="4164"/>
      <c r="M33" s="4164"/>
    </row>
    <row r="34" spans="2:14" ht="12.75" customHeight="1">
      <c r="B34" s="1497"/>
      <c r="C34" s="1498"/>
      <c r="D34" s="1499"/>
      <c r="E34" s="4804"/>
      <c r="F34" s="4805"/>
      <c r="G34" s="1391" t="e">
        <f t="shared" si="0"/>
        <v>#VALUE!</v>
      </c>
      <c r="H34" s="1392" t="e">
        <f t="shared" ref="H34:H51" si="3">ROUNDUP(G34,0)</f>
        <v>#VALUE!</v>
      </c>
      <c r="I34" s="1389"/>
      <c r="J34" s="1393" t="e">
        <f t="shared" si="1"/>
        <v>#VALUE!</v>
      </c>
      <c r="K34" s="1393" t="e">
        <f t="shared" si="2"/>
        <v>#VALUE!</v>
      </c>
      <c r="L34" s="4164"/>
      <c r="M34" s="4164"/>
    </row>
    <row r="35" spans="2:14" ht="12.75" customHeight="1">
      <c r="B35" s="1497"/>
      <c r="C35" s="1498"/>
      <c r="D35" s="1499"/>
      <c r="E35" s="4804"/>
      <c r="F35" s="4805"/>
      <c r="G35" s="1391" t="e">
        <f t="shared" si="0"/>
        <v>#VALUE!</v>
      </c>
      <c r="H35" s="1392" t="e">
        <f t="shared" si="3"/>
        <v>#VALUE!</v>
      </c>
      <c r="I35" s="1389"/>
      <c r="J35" s="1393" t="e">
        <f t="shared" si="1"/>
        <v>#VALUE!</v>
      </c>
      <c r="K35" s="1393" t="e">
        <f t="shared" si="2"/>
        <v>#VALUE!</v>
      </c>
      <c r="L35" s="4164"/>
      <c r="M35" s="4164"/>
    </row>
    <row r="36" spans="2:14" ht="12.75" customHeight="1">
      <c r="B36" s="1497"/>
      <c r="C36" s="1498"/>
      <c r="D36" s="1499"/>
      <c r="E36" s="4804"/>
      <c r="F36" s="4805"/>
      <c r="G36" s="1391" t="e">
        <f t="shared" si="0"/>
        <v>#VALUE!</v>
      </c>
      <c r="H36" s="1392" t="e">
        <f t="shared" si="3"/>
        <v>#VALUE!</v>
      </c>
      <c r="I36" s="1389"/>
      <c r="J36" s="1393" t="e">
        <f t="shared" si="1"/>
        <v>#VALUE!</v>
      </c>
      <c r="K36" s="1393" t="e">
        <f t="shared" si="2"/>
        <v>#VALUE!</v>
      </c>
      <c r="L36" s="4164"/>
      <c r="M36" s="4164"/>
      <c r="N36" s="1346"/>
    </row>
    <row r="37" spans="2:14" ht="12.75" customHeight="1">
      <c r="B37" s="1497"/>
      <c r="C37" s="1498"/>
      <c r="D37" s="1499"/>
      <c r="E37" s="4804"/>
      <c r="F37" s="4805"/>
      <c r="G37" s="1391" t="e">
        <f t="shared" si="0"/>
        <v>#VALUE!</v>
      </c>
      <c r="H37" s="1392" t="e">
        <f t="shared" si="3"/>
        <v>#VALUE!</v>
      </c>
      <c r="I37" s="1389"/>
      <c r="J37" s="1393" t="e">
        <f t="shared" si="1"/>
        <v>#VALUE!</v>
      </c>
      <c r="K37" s="1393" t="e">
        <f t="shared" si="2"/>
        <v>#VALUE!</v>
      </c>
      <c r="L37" s="4164"/>
      <c r="M37" s="4164"/>
    </row>
    <row r="38" spans="2:14" ht="12.75" customHeight="1">
      <c r="B38" s="1497"/>
      <c r="C38" s="1498"/>
      <c r="D38" s="1499"/>
      <c r="E38" s="4804"/>
      <c r="F38" s="4805"/>
      <c r="G38" s="1391" t="e">
        <f t="shared" si="0"/>
        <v>#VALUE!</v>
      </c>
      <c r="H38" s="1392" t="e">
        <f t="shared" si="3"/>
        <v>#VALUE!</v>
      </c>
      <c r="I38" s="1389"/>
      <c r="J38" s="1393" t="e">
        <f t="shared" si="1"/>
        <v>#VALUE!</v>
      </c>
      <c r="K38" s="1393" t="e">
        <f t="shared" si="2"/>
        <v>#VALUE!</v>
      </c>
      <c r="L38" s="4164"/>
      <c r="M38" s="4164"/>
    </row>
    <row r="39" spans="2:14" ht="12.75" customHeight="1">
      <c r="B39" s="1497"/>
      <c r="C39" s="1498"/>
      <c r="D39" s="1499"/>
      <c r="E39" s="4804"/>
      <c r="F39" s="4805"/>
      <c r="G39" s="1391" t="e">
        <f t="shared" si="0"/>
        <v>#VALUE!</v>
      </c>
      <c r="H39" s="1392" t="e">
        <f t="shared" si="3"/>
        <v>#VALUE!</v>
      </c>
      <c r="I39" s="1389"/>
      <c r="J39" s="1393" t="e">
        <f t="shared" si="1"/>
        <v>#VALUE!</v>
      </c>
      <c r="K39" s="1393" t="e">
        <f t="shared" si="2"/>
        <v>#VALUE!</v>
      </c>
      <c r="L39" s="4164"/>
      <c r="M39" s="4164"/>
    </row>
    <row r="40" spans="2:14" ht="12.75" customHeight="1">
      <c r="B40" s="1497"/>
      <c r="C40" s="1498"/>
      <c r="D40" s="1499"/>
      <c r="E40" s="4804"/>
      <c r="F40" s="4805"/>
      <c r="G40" s="1391" t="e">
        <f t="shared" si="0"/>
        <v>#VALUE!</v>
      </c>
      <c r="H40" s="1392" t="e">
        <f t="shared" si="3"/>
        <v>#VALUE!</v>
      </c>
      <c r="I40" s="1389"/>
      <c r="J40" s="1393" t="e">
        <f t="shared" si="1"/>
        <v>#VALUE!</v>
      </c>
      <c r="K40" s="1393" t="e">
        <f t="shared" si="2"/>
        <v>#VALUE!</v>
      </c>
      <c r="L40" s="4164"/>
      <c r="M40" s="4164"/>
    </row>
    <row r="41" spans="2:14" ht="12.75" customHeight="1">
      <c r="B41" s="1497"/>
      <c r="C41" s="1498"/>
      <c r="D41" s="1499"/>
      <c r="E41" s="4804"/>
      <c r="F41" s="4805"/>
      <c r="G41" s="1391" t="e">
        <f t="shared" si="0"/>
        <v>#VALUE!</v>
      </c>
      <c r="H41" s="1392" t="e">
        <f t="shared" si="3"/>
        <v>#VALUE!</v>
      </c>
      <c r="I41" s="1389"/>
      <c r="J41" s="1393" t="e">
        <f t="shared" si="1"/>
        <v>#VALUE!</v>
      </c>
      <c r="K41" s="1393" t="e">
        <f t="shared" si="2"/>
        <v>#VALUE!</v>
      </c>
      <c r="L41" s="4164"/>
      <c r="M41" s="4164"/>
    </row>
    <row r="42" spans="2:14" ht="12.75" customHeight="1">
      <c r="B42" s="1497"/>
      <c r="C42" s="1498"/>
      <c r="D42" s="1499"/>
      <c r="E42" s="4804"/>
      <c r="F42" s="4805"/>
      <c r="G42" s="1391" t="e">
        <f t="shared" si="0"/>
        <v>#VALUE!</v>
      </c>
      <c r="H42" s="1392" t="e">
        <f>ROUNDUP(G42,0)</f>
        <v>#VALUE!</v>
      </c>
      <c r="I42" s="1389"/>
      <c r="J42" s="1393" t="e">
        <f t="shared" si="1"/>
        <v>#VALUE!</v>
      </c>
      <c r="K42" s="1393" t="e">
        <f t="shared" si="2"/>
        <v>#VALUE!</v>
      </c>
      <c r="L42" s="4164"/>
      <c r="M42" s="4164"/>
    </row>
    <row r="43" spans="2:14" ht="12.75" customHeight="1">
      <c r="B43" s="1497"/>
      <c r="C43" s="1498"/>
      <c r="D43" s="1499"/>
      <c r="E43" s="4804"/>
      <c r="F43" s="4805"/>
      <c r="G43" s="1391" t="e">
        <f t="shared" si="0"/>
        <v>#VALUE!</v>
      </c>
      <c r="H43" s="1392" t="e">
        <f>ROUNDUP(G43,0)</f>
        <v>#VALUE!</v>
      </c>
      <c r="I43" s="1389"/>
      <c r="J43" s="1393" t="e">
        <f t="shared" si="1"/>
        <v>#VALUE!</v>
      </c>
      <c r="K43" s="1393" t="e">
        <f t="shared" si="2"/>
        <v>#VALUE!</v>
      </c>
      <c r="L43" s="4164"/>
      <c r="M43" s="4164"/>
    </row>
    <row r="44" spans="2:14" ht="12.75" customHeight="1">
      <c r="B44" s="1497"/>
      <c r="C44" s="1498"/>
      <c r="D44" s="1499"/>
      <c r="E44" s="4804"/>
      <c r="F44" s="4805"/>
      <c r="G44" s="1391" t="e">
        <f t="shared" si="0"/>
        <v>#VALUE!</v>
      </c>
      <c r="H44" s="1392" t="e">
        <f>ROUNDUP(G44,0)</f>
        <v>#VALUE!</v>
      </c>
      <c r="I44" s="1389"/>
      <c r="J44" s="1393" t="e">
        <f t="shared" si="1"/>
        <v>#VALUE!</v>
      </c>
      <c r="K44" s="1393" t="e">
        <f t="shared" si="2"/>
        <v>#VALUE!</v>
      </c>
      <c r="L44" s="4164"/>
      <c r="M44" s="4164"/>
    </row>
    <row r="45" spans="2:14" ht="12.75" customHeight="1">
      <c r="B45" s="1497"/>
      <c r="C45" s="1498"/>
      <c r="D45" s="1499"/>
      <c r="E45" s="4804"/>
      <c r="F45" s="4805"/>
      <c r="G45" s="1391" t="e">
        <f t="shared" si="0"/>
        <v>#VALUE!</v>
      </c>
      <c r="H45" s="1392" t="e">
        <f>ROUNDUP(G45,0)</f>
        <v>#VALUE!</v>
      </c>
      <c r="I45" s="1389"/>
      <c r="J45" s="1393" t="e">
        <f t="shared" si="1"/>
        <v>#VALUE!</v>
      </c>
      <c r="K45" s="1393" t="e">
        <f t="shared" si="2"/>
        <v>#VALUE!</v>
      </c>
      <c r="L45" s="4164"/>
      <c r="M45" s="4164"/>
    </row>
    <row r="46" spans="2:14" ht="12.75" customHeight="1">
      <c r="B46" s="1497"/>
      <c r="C46" s="1498"/>
      <c r="D46" s="1499"/>
      <c r="E46" s="4804"/>
      <c r="F46" s="4805"/>
      <c r="G46" s="1391" t="e">
        <f t="shared" si="0"/>
        <v>#VALUE!</v>
      </c>
      <c r="H46" s="1392" t="e">
        <f t="shared" si="3"/>
        <v>#VALUE!</v>
      </c>
      <c r="I46" s="1389"/>
      <c r="J46" s="1393" t="e">
        <f t="shared" si="1"/>
        <v>#VALUE!</v>
      </c>
      <c r="K46" s="1393" t="e">
        <f t="shared" si="2"/>
        <v>#VALUE!</v>
      </c>
      <c r="L46" s="4164"/>
      <c r="M46" s="4164"/>
    </row>
    <row r="47" spans="2:14" ht="12.75" customHeight="1">
      <c r="B47" s="1497"/>
      <c r="C47" s="1498"/>
      <c r="D47" s="1499"/>
      <c r="E47" s="4804"/>
      <c r="F47" s="4805"/>
      <c r="G47" s="1391" t="e">
        <f t="shared" si="0"/>
        <v>#VALUE!</v>
      </c>
      <c r="H47" s="1392" t="e">
        <f t="shared" si="3"/>
        <v>#VALUE!</v>
      </c>
      <c r="I47" s="1389"/>
      <c r="J47" s="1393" t="e">
        <f t="shared" si="1"/>
        <v>#VALUE!</v>
      </c>
      <c r="K47" s="1393" t="e">
        <f t="shared" si="2"/>
        <v>#VALUE!</v>
      </c>
      <c r="L47" s="4164"/>
      <c r="M47" s="4164"/>
    </row>
    <row r="48" spans="2:14" ht="12.75" customHeight="1">
      <c r="B48" s="1497"/>
      <c r="C48" s="1498"/>
      <c r="D48" s="1499"/>
      <c r="E48" s="4804"/>
      <c r="F48" s="4805"/>
      <c r="G48" s="1391" t="e">
        <f t="shared" si="0"/>
        <v>#VALUE!</v>
      </c>
      <c r="H48" s="1392" t="e">
        <f>ROUNDUP(G48,0)</f>
        <v>#VALUE!</v>
      </c>
      <c r="I48" s="1389"/>
      <c r="J48" s="1393" t="e">
        <f t="shared" si="1"/>
        <v>#VALUE!</v>
      </c>
      <c r="K48" s="1393" t="e">
        <f t="shared" si="2"/>
        <v>#VALUE!</v>
      </c>
      <c r="L48" s="4164"/>
      <c r="M48" s="4164"/>
    </row>
    <row r="49" spans="1:13" ht="12.75" customHeight="1">
      <c r="B49" s="1497"/>
      <c r="C49" s="1498"/>
      <c r="D49" s="1499"/>
      <c r="E49" s="4804"/>
      <c r="F49" s="4805"/>
      <c r="G49" s="1391" t="e">
        <f t="shared" si="0"/>
        <v>#VALUE!</v>
      </c>
      <c r="H49" s="1392" t="e">
        <f t="shared" si="3"/>
        <v>#VALUE!</v>
      </c>
      <c r="I49" s="1389"/>
      <c r="J49" s="1393" t="e">
        <f t="shared" si="1"/>
        <v>#VALUE!</v>
      </c>
      <c r="K49" s="1393" t="e">
        <f t="shared" si="2"/>
        <v>#VALUE!</v>
      </c>
      <c r="L49" s="4164"/>
      <c r="M49" s="4164"/>
    </row>
    <row r="50" spans="1:13" ht="12.75" customHeight="1">
      <c r="B50" s="1497"/>
      <c r="C50" s="1498"/>
      <c r="D50" s="1499"/>
      <c r="E50" s="4804"/>
      <c r="F50" s="4805"/>
      <c r="G50" s="1391" t="e">
        <f t="shared" si="0"/>
        <v>#VALUE!</v>
      </c>
      <c r="H50" s="1392" t="e">
        <f t="shared" si="3"/>
        <v>#VALUE!</v>
      </c>
      <c r="I50" s="1389"/>
      <c r="J50" s="1393" t="e">
        <f t="shared" si="1"/>
        <v>#VALUE!</v>
      </c>
      <c r="K50" s="1393" t="e">
        <f t="shared" si="2"/>
        <v>#VALUE!</v>
      </c>
      <c r="L50" s="4164"/>
      <c r="M50" s="4164"/>
    </row>
    <row r="51" spans="1:13" ht="12.75" customHeight="1" thickBot="1">
      <c r="B51" s="1500"/>
      <c r="C51" s="1501"/>
      <c r="D51" s="1502"/>
      <c r="E51" s="4802"/>
      <c r="F51" s="4803"/>
      <c r="G51" s="1394" t="e">
        <f t="shared" si="0"/>
        <v>#VALUE!</v>
      </c>
      <c r="H51" s="1395" t="e">
        <f t="shared" si="3"/>
        <v>#VALUE!</v>
      </c>
      <c r="I51" s="1389"/>
      <c r="J51" s="1396" t="e">
        <f t="shared" si="1"/>
        <v>#VALUE!</v>
      </c>
      <c r="K51" s="1396" t="e">
        <f t="shared" si="2"/>
        <v>#VALUE!</v>
      </c>
      <c r="L51" s="4164"/>
      <c r="M51" s="4164"/>
    </row>
    <row r="52" spans="1:13" ht="15" customHeight="1" thickBot="1">
      <c r="B52" s="1362"/>
      <c r="D52" s="1356"/>
      <c r="E52" s="1356"/>
      <c r="F52" s="1356"/>
      <c r="G52" s="1373" t="s">
        <v>3990</v>
      </c>
      <c r="H52" s="1372" t="e">
        <f>SUM(H33:H51)</f>
        <v>#VALUE!</v>
      </c>
      <c r="I52" s="1356"/>
      <c r="J52" s="1362" t="s">
        <v>3991</v>
      </c>
      <c r="K52" s="1358" t="e">
        <f>SUM(K33:K51)</f>
        <v>#VALUE!</v>
      </c>
      <c r="L52" s="4164"/>
      <c r="M52" s="4164"/>
    </row>
    <row r="53" spans="1:13" ht="15" customHeight="1">
      <c r="B53" s="1363"/>
      <c r="C53" s="4150" t="s">
        <v>3992</v>
      </c>
      <c r="D53" s="4150"/>
      <c r="E53" s="4150"/>
      <c r="F53" s="4150"/>
      <c r="G53" s="4150"/>
      <c r="H53" s="4150"/>
      <c r="I53" s="4150"/>
      <c r="J53" s="4151"/>
      <c r="K53" s="1364" t="str">
        <f>IF(J17="no",0,IF(J17="yes",J16,"Error"))</f>
        <v>Error</v>
      </c>
      <c r="L53" s="4164"/>
      <c r="M53" s="4164"/>
    </row>
    <row r="54" spans="1:13" ht="15" customHeight="1" thickBot="1">
      <c r="B54" s="1363"/>
      <c r="C54" s="4152" t="s">
        <v>3993</v>
      </c>
      <c r="D54" s="4152"/>
      <c r="E54" s="4152"/>
      <c r="F54" s="4152"/>
      <c r="G54" s="4152"/>
      <c r="H54" s="4152"/>
      <c r="I54" s="4152"/>
      <c r="J54" s="4153"/>
      <c r="K54" s="1375" t="e">
        <f>K52+K53</f>
        <v>#VALUE!</v>
      </c>
    </row>
    <row r="55" spans="1:13" ht="7.9" customHeight="1">
      <c r="A55" s="4154"/>
      <c r="B55" s="4124"/>
      <c r="C55" s="4124"/>
      <c r="D55" s="4124"/>
      <c r="E55" s="4124"/>
      <c r="F55" s="4124"/>
      <c r="G55" s="4124"/>
      <c r="H55" s="4124"/>
      <c r="I55" s="4124"/>
      <c r="J55" s="4124"/>
      <c r="K55" s="1386"/>
    </row>
    <row r="56" spans="1:13" ht="15" customHeight="1">
      <c r="A56" s="4125" t="s">
        <v>3994</v>
      </c>
      <c r="B56" s="4126"/>
      <c r="C56" s="4126"/>
      <c r="D56" s="4126"/>
      <c r="E56" s="4126"/>
      <c r="F56" s="4126"/>
      <c r="G56" s="4126"/>
      <c r="H56" s="4126"/>
      <c r="I56" s="4126"/>
      <c r="J56" s="4126"/>
      <c r="K56" s="4127"/>
    </row>
    <row r="57" spans="1:13" ht="48" customHeight="1">
      <c r="A57" s="1348"/>
      <c r="B57" s="1339"/>
      <c r="C57" s="1350" t="s">
        <v>3995</v>
      </c>
      <c r="D57" s="1483" t="s">
        <v>6063</v>
      </c>
      <c r="E57" s="4137" t="s">
        <v>4011</v>
      </c>
      <c r="F57" s="4138"/>
      <c r="G57" s="4811" t="s">
        <v>3996</v>
      </c>
      <c r="H57" s="4812"/>
      <c r="I57" s="4137" t="s">
        <v>4010</v>
      </c>
      <c r="J57" s="4138"/>
      <c r="K57" s="4141"/>
    </row>
    <row r="58" spans="1:13" ht="15" customHeight="1">
      <c r="A58" s="1465"/>
      <c r="B58" s="1381"/>
      <c r="C58" s="1359">
        <f>SUMIF(C33:C51, "0", H33:H51)</f>
        <v>0</v>
      </c>
      <c r="D58" s="1484">
        <f t="shared" ref="D58:D63" si="4">ROUNDUP(C58*1.1,0)</f>
        <v>0</v>
      </c>
      <c r="E58" s="4143" t="s">
        <v>3997</v>
      </c>
      <c r="F58" s="4144"/>
      <c r="G58" s="4813">
        <f>'DCA Underwriting Assumptions'!H129</f>
        <v>159753.60000000001</v>
      </c>
      <c r="H58" s="4814"/>
      <c r="I58" s="4145">
        <f t="shared" ref="I58:I63" si="5">D58*G58</f>
        <v>0</v>
      </c>
      <c r="J58" s="4145"/>
      <c r="K58" s="4142"/>
    </row>
    <row r="59" spans="1:13">
      <c r="A59" s="1465"/>
      <c r="B59" s="1381"/>
      <c r="C59" s="1360">
        <f>SUMIF(C33:C51, "1", H33:H51)</f>
        <v>0</v>
      </c>
      <c r="D59" s="1485">
        <f t="shared" si="4"/>
        <v>0</v>
      </c>
      <c r="E59" s="4129" t="s">
        <v>2462</v>
      </c>
      <c r="F59" s="4130"/>
      <c r="G59" s="4809">
        <f>'DCA Underwriting Assumptions'!H130</f>
        <v>183132</v>
      </c>
      <c r="H59" s="4810"/>
      <c r="I59" s="4133">
        <f t="shared" si="5"/>
        <v>0</v>
      </c>
      <c r="J59" s="4133"/>
      <c r="K59" s="4142"/>
    </row>
    <row r="60" spans="1:13" ht="15" customHeight="1">
      <c r="A60" s="1465"/>
      <c r="B60" s="1381"/>
      <c r="C60" s="1360">
        <f>SUMIF(C33:C51, "2", H33:H51)</f>
        <v>0</v>
      </c>
      <c r="D60" s="1485">
        <f t="shared" si="4"/>
        <v>0</v>
      </c>
      <c r="E60" s="4129" t="s">
        <v>2463</v>
      </c>
      <c r="F60" s="4130"/>
      <c r="G60" s="4809">
        <f>'DCA Underwriting Assumptions'!H131</f>
        <v>222693.6</v>
      </c>
      <c r="H60" s="4810"/>
      <c r="I60" s="4133">
        <f t="shared" si="5"/>
        <v>0</v>
      </c>
      <c r="J60" s="4133"/>
      <c r="K60" s="4142"/>
    </row>
    <row r="61" spans="1:13">
      <c r="A61" s="1465"/>
      <c r="B61" s="1381"/>
      <c r="C61" s="1360">
        <f>SUMIF(C33:C51, "3", H33:H51)</f>
        <v>0</v>
      </c>
      <c r="D61" s="1485">
        <f t="shared" si="4"/>
        <v>0</v>
      </c>
      <c r="E61" s="4129" t="s">
        <v>2466</v>
      </c>
      <c r="F61" s="4130"/>
      <c r="G61" s="4809">
        <f>'DCA Underwriting Assumptions'!H132</f>
        <v>288093.59999999998</v>
      </c>
      <c r="H61" s="4810"/>
      <c r="I61" s="4133">
        <f t="shared" si="5"/>
        <v>0</v>
      </c>
      <c r="J61" s="4133"/>
      <c r="K61" s="4142"/>
    </row>
    <row r="62" spans="1:13">
      <c r="A62" s="1465"/>
      <c r="B62" s="1381"/>
      <c r="C62" s="1360">
        <f>SUMIF(C33:C51, "4", H33:H51)</f>
        <v>0</v>
      </c>
      <c r="D62" s="1485">
        <f t="shared" si="4"/>
        <v>0</v>
      </c>
      <c r="E62" s="4129" t="s">
        <v>3998</v>
      </c>
      <c r="F62" s="4130"/>
      <c r="G62" s="4809">
        <f>'DCA Underwriting Assumptions'!H133</f>
        <v>316236</v>
      </c>
      <c r="H62" s="4810"/>
      <c r="I62" s="4133">
        <f t="shared" si="5"/>
        <v>0</v>
      </c>
      <c r="J62" s="4133"/>
      <c r="K62" s="4142"/>
    </row>
    <row r="63" spans="1:13">
      <c r="A63" s="1482"/>
      <c r="B63" s="1382"/>
      <c r="C63" s="1361">
        <f>SUMIF(C33:C51, "5", H33:H51)</f>
        <v>0</v>
      </c>
      <c r="D63" s="1486">
        <f t="shared" si="4"/>
        <v>0</v>
      </c>
      <c r="E63" s="4134" t="s">
        <v>3999</v>
      </c>
      <c r="F63" s="4135"/>
      <c r="G63" s="4807">
        <f>'DCA Underwriting Assumptions'!H133</f>
        <v>316236</v>
      </c>
      <c r="H63" s="4808"/>
      <c r="I63" s="4136">
        <f t="shared" si="5"/>
        <v>0</v>
      </c>
      <c r="J63" s="4136"/>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4"/>
      <c r="B65" s="4124"/>
      <c r="C65" s="4124"/>
      <c r="D65" s="4124"/>
      <c r="E65" s="4124"/>
      <c r="F65" s="4124"/>
      <c r="G65" s="4124"/>
      <c r="H65" s="4124"/>
      <c r="I65" s="4124"/>
      <c r="J65" s="4124"/>
    </row>
    <row r="66" spans="1:11">
      <c r="A66" s="4125" t="s">
        <v>4002</v>
      </c>
      <c r="B66" s="4126"/>
      <c r="C66" s="4126"/>
      <c r="D66" s="4126"/>
      <c r="E66" s="4126"/>
      <c r="F66" s="4126"/>
      <c r="G66" s="4126"/>
      <c r="H66" s="4126"/>
      <c r="I66" s="4126"/>
      <c r="J66" s="4126"/>
      <c r="K66" s="4127"/>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8" t="s">
        <v>4006</v>
      </c>
      <c r="D70" s="4128"/>
      <c r="E70" s="4128"/>
      <c r="F70" s="4128"/>
      <c r="G70" s="4128"/>
      <c r="H70" s="4128"/>
      <c r="I70" s="4128"/>
      <c r="J70" s="412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West Pine Residences</v>
      </c>
    </row>
    <row r="2" spans="1:11">
      <c r="A2" s="560" t="s">
        <v>2882</v>
      </c>
      <c r="H2" s="432" t="str">
        <f>'Sensitivity Analysis'!E8</f>
        <v>2023-0</v>
      </c>
    </row>
    <row r="3" spans="1:11" ht="3" customHeight="1"/>
    <row r="4" spans="1:11" ht="51.75" customHeight="1">
      <c r="A4" s="4823" t="s">
        <v>2978</v>
      </c>
      <c r="B4" s="4823"/>
      <c r="C4" s="4823"/>
      <c r="D4" s="4823"/>
      <c r="E4" s="4823"/>
      <c r="F4" s="4823"/>
      <c r="G4" s="4823"/>
      <c r="H4" s="4823"/>
      <c r="J4" s="1009">
        <f>SUM('Part VI-Pro Forma'!B15:B17)/12</f>
        <v>23487.335999999999</v>
      </c>
      <c r="K4" s="1008" t="s">
        <v>3663</v>
      </c>
    </row>
    <row r="5" spans="1:11" ht="1.5" customHeight="1"/>
    <row r="6" spans="1:11" ht="12.75" customHeight="1">
      <c r="B6" s="635" t="s">
        <v>2240</v>
      </c>
      <c r="C6" s="4823" t="s">
        <v>2883</v>
      </c>
      <c r="D6" s="4823"/>
      <c r="E6" s="4823"/>
      <c r="F6" s="4823"/>
      <c r="G6" s="4823"/>
      <c r="H6" s="4823"/>
    </row>
    <row r="7" spans="1:11" ht="12.75" customHeight="1">
      <c r="B7" s="635" t="s">
        <v>2241</v>
      </c>
      <c r="C7" s="4823" t="s">
        <v>2884</v>
      </c>
      <c r="D7" s="4823"/>
      <c r="E7" s="4823"/>
      <c r="F7" s="4823"/>
      <c r="G7" s="4823"/>
      <c r="H7" s="4823"/>
    </row>
    <row r="8" spans="1:11" ht="3" customHeight="1"/>
    <row r="9" spans="1:11">
      <c r="A9" s="432" t="s">
        <v>2885</v>
      </c>
    </row>
    <row r="10" spans="1:11" ht="1.5" customHeight="1"/>
    <row r="11" spans="1:11" ht="26.25" customHeight="1">
      <c r="A11" s="636" t="s">
        <v>1841</v>
      </c>
      <c r="B11" s="4827" t="s">
        <v>2975</v>
      </c>
      <c r="C11" s="4827"/>
      <c r="D11" s="4827"/>
      <c r="E11" s="4827"/>
      <c r="F11" s="4827"/>
      <c r="G11" s="4828">
        <f>'Part II-Sources of Funds'!I51+'Part II-Sources of Funds'!I52</f>
        <v>13313919</v>
      </c>
      <c r="H11" s="4828"/>
    </row>
    <row r="12" spans="1:11" ht="1.5" customHeight="1">
      <c r="G12" s="617"/>
      <c r="H12" s="617"/>
    </row>
    <row r="13" spans="1:11" ht="26.25" customHeight="1">
      <c r="A13" s="636" t="s">
        <v>1843</v>
      </c>
      <c r="B13" s="4827" t="s">
        <v>2976</v>
      </c>
      <c r="C13" s="4827"/>
      <c r="D13" s="4827"/>
      <c r="E13" s="4827"/>
      <c r="F13" s="4827"/>
      <c r="G13" s="4829" t="s">
        <v>2813</v>
      </c>
      <c r="H13" s="4829"/>
    </row>
    <row r="14" spans="1:11" ht="12" hidden="1" customHeight="1">
      <c r="A14" s="636"/>
      <c r="B14" s="4784"/>
      <c r="C14" s="4784"/>
      <c r="D14" s="4784"/>
      <c r="E14" s="4784"/>
      <c r="F14" s="4784"/>
      <c r="G14" s="4784"/>
      <c r="H14" s="4784"/>
    </row>
    <row r="15" spans="1:11" ht="1.5" customHeight="1"/>
    <row r="16" spans="1:11" ht="12" customHeight="1">
      <c r="A16" s="636" t="s">
        <v>698</v>
      </c>
      <c r="B16" s="432" t="s">
        <v>2979</v>
      </c>
      <c r="G16" s="4830" t="s">
        <v>2652</v>
      </c>
      <c r="H16" s="4830"/>
    </row>
    <row r="17" spans="1:8" ht="1.5" customHeight="1">
      <c r="G17" s="620"/>
    </row>
    <row r="18" spans="1:8" ht="12" customHeight="1">
      <c r="A18" s="636" t="s">
        <v>1962</v>
      </c>
      <c r="B18" s="617" t="s">
        <v>2977</v>
      </c>
      <c r="C18" s="636"/>
      <c r="D18" s="636"/>
      <c r="E18" s="636"/>
      <c r="G18" s="4784" t="s">
        <v>2514</v>
      </c>
      <c r="H18" s="4784"/>
    </row>
    <row r="19" spans="1:8" ht="12" hidden="1" customHeight="1">
      <c r="B19" s="4784"/>
      <c r="C19" s="4784"/>
      <c r="D19" s="4784"/>
      <c r="E19" s="4784"/>
      <c r="F19" s="4784"/>
      <c r="G19" s="4784"/>
      <c r="H19" s="4784"/>
    </row>
    <row r="20" spans="1:8" ht="13.5" customHeight="1"/>
    <row r="21" spans="1:8" ht="12" customHeight="1">
      <c r="A21" s="560" t="s">
        <v>2886</v>
      </c>
    </row>
    <row r="22" spans="1:8" ht="3" customHeight="1"/>
    <row r="23" spans="1:8" ht="24.75" customHeight="1">
      <c r="A23" s="4831" t="s">
        <v>4080</v>
      </c>
      <c r="B23" s="4831"/>
      <c r="C23" s="4831"/>
      <c r="D23" s="4831"/>
      <c r="E23" s="4831"/>
      <c r="F23" s="4831"/>
      <c r="G23" s="4831"/>
      <c r="H23" s="4831"/>
    </row>
    <row r="24" spans="1:8" ht="9" customHeight="1" thickBot="1">
      <c r="A24" s="611"/>
    </row>
    <row r="25" spans="1:8" ht="16.149999999999999" customHeight="1" thickBot="1">
      <c r="A25" s="4824">
        <v>20</v>
      </c>
      <c r="B25" s="4825"/>
      <c r="C25" s="1451" t="s">
        <v>975</v>
      </c>
    </row>
    <row r="26" spans="1:8" ht="9" customHeight="1">
      <c r="A26" s="611"/>
    </row>
    <row r="27" spans="1:8" ht="28.15" customHeight="1">
      <c r="A27" s="4823" t="s">
        <v>4085</v>
      </c>
      <c r="B27" s="4823"/>
      <c r="C27" s="4823"/>
      <c r="D27" s="4823"/>
      <c r="E27" s="4823"/>
      <c r="F27" s="4823"/>
      <c r="G27" s="4823"/>
      <c r="H27" s="4823"/>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3" t="s">
        <v>2888</v>
      </c>
      <c r="G31" s="4823"/>
      <c r="H31" s="4823"/>
    </row>
    <row r="32" spans="1:8" ht="12.75" customHeight="1">
      <c r="C32" s="641" t="s">
        <v>1275</v>
      </c>
      <c r="D32" s="639" t="s">
        <v>1846</v>
      </c>
      <c r="E32" s="4823" t="s">
        <v>2985</v>
      </c>
      <c r="F32" s="4823"/>
      <c r="G32" s="4823"/>
      <c r="H32" s="4823"/>
    </row>
    <row r="33" spans="1:11" ht="12.75" customHeight="1">
      <c r="C33" s="1449" t="s">
        <v>4083</v>
      </c>
      <c r="E33" s="4823" t="s">
        <v>3121</v>
      </c>
      <c r="F33" s="4823"/>
      <c r="G33" s="4823"/>
      <c r="H33" s="4823"/>
    </row>
    <row r="34" spans="1:11" ht="12.75" customHeight="1">
      <c r="C34" s="1450"/>
      <c r="D34" s="1448" t="s">
        <v>2984</v>
      </c>
      <c r="E34" s="4826" t="s">
        <v>3122</v>
      </c>
      <c r="F34" s="4826"/>
      <c r="G34" s="4826"/>
      <c r="H34" s="482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3" t="s">
        <v>2985</v>
      </c>
      <c r="F37" s="4823"/>
      <c r="G37" s="4823"/>
      <c r="H37" s="4823"/>
    </row>
    <row r="38" spans="1:11" ht="12.75" customHeight="1">
      <c r="C38" s="1449" t="s">
        <v>4083</v>
      </c>
      <c r="E38" s="4823" t="s">
        <v>3121</v>
      </c>
      <c r="F38" s="4823"/>
      <c r="G38" s="4823"/>
      <c r="H38" s="4823"/>
    </row>
    <row r="39" spans="1:11" ht="12.75" customHeight="1">
      <c r="C39" s="1450"/>
      <c r="D39" s="1448" t="s">
        <v>2984</v>
      </c>
      <c r="E39" s="4826" t="s">
        <v>3122</v>
      </c>
      <c r="F39" s="4826"/>
      <c r="G39" s="4826"/>
      <c r="H39" s="482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3" t="s">
        <v>2985</v>
      </c>
      <c r="F42" s="4823"/>
      <c r="G42" s="4823"/>
      <c r="H42" s="4823"/>
    </row>
    <row r="43" spans="1:11" ht="12.75" customHeight="1">
      <c r="C43" s="1449" t="s">
        <v>4083</v>
      </c>
      <c r="E43" s="4823" t="s">
        <v>3121</v>
      </c>
      <c r="F43" s="4823"/>
      <c r="G43" s="4823"/>
      <c r="H43" s="4823"/>
    </row>
    <row r="44" spans="1:11" ht="12.75" customHeight="1">
      <c r="C44" s="1450"/>
      <c r="D44" s="1448" t="s">
        <v>2984</v>
      </c>
      <c r="E44" s="4826" t="s">
        <v>3122</v>
      </c>
      <c r="F44" s="4826"/>
      <c r="G44" s="4826"/>
      <c r="H44" s="482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3" t="s">
        <v>2985</v>
      </c>
      <c r="F49" s="4823"/>
      <c r="G49" s="4823"/>
      <c r="H49" s="4823"/>
      <c r="K49" s="610"/>
    </row>
    <row r="50" spans="1:11" ht="12.75" customHeight="1">
      <c r="C50" s="1449" t="s">
        <v>4083</v>
      </c>
      <c r="E50" s="4823" t="s">
        <v>3121</v>
      </c>
      <c r="F50" s="4823"/>
      <c r="G50" s="4823"/>
      <c r="H50" s="4823"/>
    </row>
    <row r="51" spans="1:11" ht="12.75" customHeight="1">
      <c r="C51" s="1450"/>
      <c r="D51" s="642" t="s">
        <v>2984</v>
      </c>
      <c r="E51" s="4823" t="s">
        <v>3122</v>
      </c>
      <c r="F51" s="4823"/>
      <c r="G51" s="4823"/>
      <c r="H51" s="482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3" t="s">
        <v>2985</v>
      </c>
      <c r="F54" s="4823"/>
      <c r="G54" s="4823"/>
      <c r="H54" s="4823"/>
    </row>
    <row r="55" spans="1:11" ht="12.75" customHeight="1">
      <c r="C55" s="1449" t="s">
        <v>4083</v>
      </c>
      <c r="E55" s="4823" t="s">
        <v>3121</v>
      </c>
      <c r="F55" s="4823"/>
      <c r="G55" s="4823"/>
      <c r="H55" s="4823"/>
    </row>
    <row r="56" spans="1:11" ht="12.75" customHeight="1">
      <c r="C56" s="1450"/>
      <c r="D56" s="1448" t="s">
        <v>2984</v>
      </c>
      <c r="E56" s="4826" t="s">
        <v>3122</v>
      </c>
      <c r="F56" s="4826"/>
      <c r="G56" s="4826"/>
      <c r="H56" s="482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3" t="s">
        <v>2985</v>
      </c>
      <c r="F59" s="4823"/>
      <c r="G59" s="4823"/>
      <c r="H59" s="4823"/>
    </row>
    <row r="60" spans="1:11" ht="12.75" customHeight="1">
      <c r="C60" s="1449" t="s">
        <v>4083</v>
      </c>
      <c r="E60" s="4823" t="s">
        <v>3121</v>
      </c>
      <c r="F60" s="4823"/>
      <c r="G60" s="4823"/>
      <c r="H60" s="4823"/>
    </row>
    <row r="61" spans="1:11" ht="12.75" customHeight="1">
      <c r="C61" s="1450"/>
      <c r="D61" s="1448" t="s">
        <v>2984</v>
      </c>
      <c r="E61" s="4826" t="s">
        <v>3122</v>
      </c>
      <c r="F61" s="4826"/>
      <c r="G61" s="4826"/>
      <c r="H61" s="482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3" t="s">
        <v>2985</v>
      </c>
      <c r="F66" s="4823"/>
      <c r="G66" s="4823"/>
      <c r="H66" s="4823"/>
    </row>
    <row r="67" spans="1:8" ht="12.75" customHeight="1">
      <c r="C67" s="1449" t="s">
        <v>4083</v>
      </c>
      <c r="E67" s="4823" t="s">
        <v>3121</v>
      </c>
      <c r="F67" s="4823"/>
      <c r="G67" s="4823"/>
      <c r="H67" s="4823"/>
    </row>
    <row r="68" spans="1:8" ht="12.75" customHeight="1">
      <c r="C68" s="1450"/>
      <c r="D68" s="642" t="s">
        <v>2984</v>
      </c>
      <c r="E68" s="4823" t="s">
        <v>3122</v>
      </c>
      <c r="F68" s="4823"/>
      <c r="G68" s="4823"/>
      <c r="H68" s="482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3" t="s">
        <v>2985</v>
      </c>
      <c r="F71" s="4823"/>
      <c r="G71" s="4823"/>
      <c r="H71" s="4823"/>
    </row>
    <row r="72" spans="1:8" ht="12.75" customHeight="1">
      <c r="C72" s="1449" t="s">
        <v>4083</v>
      </c>
      <c r="E72" s="4823" t="s">
        <v>3121</v>
      </c>
      <c r="F72" s="4823"/>
      <c r="G72" s="4823"/>
      <c r="H72" s="4823"/>
    </row>
    <row r="73" spans="1:8" ht="12.75" customHeight="1">
      <c r="C73" s="1450"/>
      <c r="D73" s="1448" t="s">
        <v>2984</v>
      </c>
      <c r="E73" s="4826" t="s">
        <v>3122</v>
      </c>
      <c r="F73" s="4826"/>
      <c r="G73" s="4826"/>
      <c r="H73" s="482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3" t="s">
        <v>2985</v>
      </c>
      <c r="F76" s="4823"/>
      <c r="G76" s="4823"/>
      <c r="H76" s="4823"/>
    </row>
    <row r="77" spans="1:8" ht="12.75" customHeight="1">
      <c r="C77" s="1449" t="s">
        <v>4083</v>
      </c>
      <c r="E77" s="4823" t="s">
        <v>3121</v>
      </c>
      <c r="F77" s="4823"/>
      <c r="G77" s="4823"/>
      <c r="H77" s="4823"/>
    </row>
    <row r="78" spans="1:8" ht="12.75" customHeight="1">
      <c r="C78" s="1450"/>
      <c r="D78" s="1448" t="s">
        <v>2984</v>
      </c>
      <c r="E78" s="4826" t="s">
        <v>3122</v>
      </c>
      <c r="F78" s="4826"/>
      <c r="G78" s="4826"/>
      <c r="H78" s="4826"/>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3" t="s">
        <v>2985</v>
      </c>
      <c r="F83" s="4823"/>
      <c r="G83" s="4823"/>
      <c r="H83" s="4823"/>
    </row>
    <row r="84" spans="3:8" ht="12.75" customHeight="1">
      <c r="C84" s="1449" t="s">
        <v>4083</v>
      </c>
      <c r="E84" s="4823" t="s">
        <v>3121</v>
      </c>
      <c r="F84" s="4823"/>
      <c r="G84" s="4823"/>
      <c r="H84" s="4823"/>
    </row>
    <row r="85" spans="3:8" ht="12.75" customHeight="1">
      <c r="C85" s="1450"/>
      <c r="D85" s="642" t="s">
        <v>2984</v>
      </c>
      <c r="E85" s="4823" t="s">
        <v>3122</v>
      </c>
      <c r="F85" s="4823"/>
      <c r="G85" s="4823"/>
      <c r="H85" s="482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3" t="s">
        <v>2985</v>
      </c>
      <c r="F88" s="4823"/>
      <c r="G88" s="4823"/>
      <c r="H88" s="4823"/>
    </row>
    <row r="89" spans="3:8" ht="12.75" customHeight="1">
      <c r="C89" s="1449" t="s">
        <v>4083</v>
      </c>
      <c r="E89" s="4823" t="s">
        <v>3121</v>
      </c>
      <c r="F89" s="4823"/>
      <c r="G89" s="4823"/>
      <c r="H89" s="4823"/>
    </row>
    <row r="90" spans="3:8" ht="12.75" customHeight="1">
      <c r="C90" s="1450"/>
      <c r="D90" s="1448" t="s">
        <v>2984</v>
      </c>
      <c r="E90" s="4826" t="s">
        <v>3122</v>
      </c>
      <c r="F90" s="4826"/>
      <c r="G90" s="4826"/>
      <c r="H90" s="482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3" t="s">
        <v>2985</v>
      </c>
      <c r="F93" s="4823"/>
      <c r="G93" s="4823"/>
      <c r="H93" s="4823"/>
    </row>
    <row r="94" spans="3:8" ht="12.75" customHeight="1">
      <c r="C94" s="1449" t="s">
        <v>4083</v>
      </c>
      <c r="E94" s="4823" t="s">
        <v>3121</v>
      </c>
      <c r="F94" s="4823"/>
      <c r="G94" s="4823"/>
      <c r="H94" s="4823"/>
    </row>
    <row r="95" spans="3:8" ht="12.75" customHeight="1">
      <c r="C95" s="1450"/>
      <c r="D95" s="1448" t="s">
        <v>2984</v>
      </c>
      <c r="E95" s="4826" t="s">
        <v>3122</v>
      </c>
      <c r="F95" s="4826"/>
      <c r="G95" s="4826"/>
      <c r="H95" s="4826"/>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3" t="s">
        <v>2888</v>
      </c>
      <c r="G99" s="4823"/>
      <c r="H99" s="4823"/>
      <c r="K99" s="432" t="s">
        <v>233</v>
      </c>
    </row>
    <row r="100" spans="1:11" ht="12.75" customHeight="1">
      <c r="C100" s="641" t="s">
        <v>1275</v>
      </c>
      <c r="D100" s="639" t="s">
        <v>1846</v>
      </c>
      <c r="E100" s="4823" t="s">
        <v>2986</v>
      </c>
      <c r="F100" s="4823"/>
      <c r="G100" s="4823"/>
      <c r="H100" s="4823"/>
    </row>
    <row r="101" spans="1:11" ht="12.75" customHeight="1">
      <c r="E101" s="4823" t="s">
        <v>3121</v>
      </c>
      <c r="F101" s="4823"/>
      <c r="G101" s="4823"/>
      <c r="H101" s="4823"/>
    </row>
    <row r="102" spans="1:11" ht="12.75" customHeight="1">
      <c r="D102" s="642" t="s">
        <v>2984</v>
      </c>
      <c r="E102" s="4823" t="s">
        <v>3122</v>
      </c>
      <c r="F102" s="4823"/>
      <c r="G102" s="4823"/>
      <c r="H102" s="4823"/>
    </row>
    <row r="103" spans="1:11" ht="9" customHeight="1" thickBot="1"/>
    <row r="104" spans="1:11" ht="16.149999999999999" customHeight="1" thickBot="1">
      <c r="A104" s="4824">
        <v>30</v>
      </c>
      <c r="B104" s="4825"/>
      <c r="C104" s="1451" t="s">
        <v>975</v>
      </c>
    </row>
    <row r="105" spans="1:11" ht="9" customHeight="1">
      <c r="A105" s="611"/>
    </row>
    <row r="106" spans="1:11" ht="28.15" customHeight="1">
      <c r="A106" s="4823" t="s">
        <v>4086</v>
      </c>
      <c r="B106" s="4823"/>
      <c r="C106" s="4823"/>
      <c r="D106" s="4823"/>
      <c r="E106" s="4823"/>
      <c r="F106" s="4823"/>
      <c r="G106" s="4823"/>
      <c r="H106" s="4823"/>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3" t="s">
        <v>2888</v>
      </c>
      <c r="G110" s="4823"/>
      <c r="H110" s="4823"/>
    </row>
    <row r="111" spans="1:11" ht="12.75" customHeight="1">
      <c r="C111" s="641" t="s">
        <v>1275</v>
      </c>
      <c r="D111" s="639" t="s">
        <v>1846</v>
      </c>
      <c r="E111" s="4823" t="s">
        <v>2985</v>
      </c>
      <c r="F111" s="4823"/>
      <c r="G111" s="4823"/>
      <c r="H111" s="4823"/>
    </row>
    <row r="112" spans="1:11" ht="12.75" customHeight="1">
      <c r="C112" s="1449" t="s">
        <v>4083</v>
      </c>
      <c r="E112" s="4823" t="s">
        <v>3121</v>
      </c>
      <c r="F112" s="4823"/>
      <c r="G112" s="4823"/>
      <c r="H112" s="4823"/>
    </row>
    <row r="113" spans="1:8" ht="12.75" customHeight="1">
      <c r="C113" s="1450"/>
      <c r="D113" s="1448" t="s">
        <v>2984</v>
      </c>
      <c r="E113" s="4826" t="s">
        <v>3122</v>
      </c>
      <c r="F113" s="4826"/>
      <c r="G113" s="4826"/>
      <c r="H113" s="482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3" t="s">
        <v>2985</v>
      </c>
      <c r="F116" s="4823"/>
      <c r="G116" s="4823"/>
      <c r="H116" s="4823"/>
    </row>
    <row r="117" spans="1:8" ht="12.75" customHeight="1">
      <c r="C117" s="1449" t="s">
        <v>4083</v>
      </c>
      <c r="E117" s="4823" t="s">
        <v>3121</v>
      </c>
      <c r="F117" s="4823"/>
      <c r="G117" s="4823"/>
      <c r="H117" s="4823"/>
    </row>
    <row r="118" spans="1:8" ht="12.75" customHeight="1">
      <c r="C118" s="1450"/>
      <c r="D118" s="1448" t="s">
        <v>2984</v>
      </c>
      <c r="E118" s="4826" t="s">
        <v>3122</v>
      </c>
      <c r="F118" s="4826"/>
      <c r="G118" s="4826"/>
      <c r="H118" s="482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3" t="s">
        <v>2985</v>
      </c>
      <c r="F121" s="4823"/>
      <c r="G121" s="4823"/>
      <c r="H121" s="4823"/>
    </row>
    <row r="122" spans="1:8" ht="12.75" customHeight="1">
      <c r="C122" s="1449" t="s">
        <v>4083</v>
      </c>
      <c r="E122" s="4823" t="s">
        <v>3121</v>
      </c>
      <c r="F122" s="4823"/>
      <c r="G122" s="4823"/>
      <c r="H122" s="4823"/>
    </row>
    <row r="123" spans="1:8" ht="12.75" customHeight="1">
      <c r="C123" s="1450"/>
      <c r="D123" s="1448" t="s">
        <v>2984</v>
      </c>
      <c r="E123" s="4826" t="s">
        <v>3122</v>
      </c>
      <c r="F123" s="4826"/>
      <c r="G123" s="4826"/>
      <c r="H123" s="4826"/>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3" t="s">
        <v>2985</v>
      </c>
      <c r="F128" s="4823"/>
      <c r="G128" s="4823"/>
      <c r="H128" s="4823"/>
    </row>
    <row r="129" spans="1:8" ht="12.75" customHeight="1">
      <c r="C129" s="1449" t="s">
        <v>4083</v>
      </c>
      <c r="E129" s="4823" t="s">
        <v>3121</v>
      </c>
      <c r="F129" s="4823"/>
      <c r="G129" s="4823"/>
      <c r="H129" s="4823"/>
    </row>
    <row r="130" spans="1:8" ht="12.75" customHeight="1">
      <c r="C130" s="1450"/>
      <c r="D130" s="642" t="s">
        <v>2984</v>
      </c>
      <c r="E130" s="4823" t="s">
        <v>3122</v>
      </c>
      <c r="F130" s="4823"/>
      <c r="G130" s="4823"/>
      <c r="H130" s="482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3" t="s">
        <v>2985</v>
      </c>
      <c r="F133" s="4823"/>
      <c r="G133" s="4823"/>
      <c r="H133" s="4823"/>
    </row>
    <row r="134" spans="1:8" ht="12.75" customHeight="1">
      <c r="C134" s="1449" t="s">
        <v>4083</v>
      </c>
      <c r="E134" s="4823" t="s">
        <v>3121</v>
      </c>
      <c r="F134" s="4823"/>
      <c r="G134" s="4823"/>
      <c r="H134" s="4823"/>
    </row>
    <row r="135" spans="1:8" ht="12.75" customHeight="1">
      <c r="C135" s="1450"/>
      <c r="D135" s="1448" t="s">
        <v>2984</v>
      </c>
      <c r="E135" s="4826" t="s">
        <v>3122</v>
      </c>
      <c r="F135" s="4826"/>
      <c r="G135" s="4826"/>
      <c r="H135" s="482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3" t="s">
        <v>2985</v>
      </c>
      <c r="F138" s="4823"/>
      <c r="G138" s="4823"/>
      <c r="H138" s="4823"/>
    </row>
    <row r="139" spans="1:8" ht="12.75" customHeight="1">
      <c r="C139" s="1449" t="s">
        <v>4083</v>
      </c>
      <c r="E139" s="4823" t="s">
        <v>3121</v>
      </c>
      <c r="F139" s="4823"/>
      <c r="G139" s="4823"/>
      <c r="H139" s="4823"/>
    </row>
    <row r="140" spans="1:8" ht="12.75" customHeight="1">
      <c r="C140" s="1450"/>
      <c r="D140" s="1448" t="s">
        <v>2984</v>
      </c>
      <c r="E140" s="4826" t="s">
        <v>3122</v>
      </c>
      <c r="F140" s="4826"/>
      <c r="G140" s="4826"/>
      <c r="H140" s="4826"/>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3" t="s">
        <v>2985</v>
      </c>
      <c r="F145" s="4823"/>
      <c r="G145" s="4823"/>
      <c r="H145" s="4823"/>
    </row>
    <row r="146" spans="1:8" ht="12.75" customHeight="1">
      <c r="C146" s="1449" t="s">
        <v>4083</v>
      </c>
      <c r="E146" s="4823" t="s">
        <v>3121</v>
      </c>
      <c r="F146" s="4823"/>
      <c r="G146" s="4823"/>
      <c r="H146" s="4823"/>
    </row>
    <row r="147" spans="1:8" ht="12.75" customHeight="1">
      <c r="C147" s="1450"/>
      <c r="D147" s="642" t="s">
        <v>2984</v>
      </c>
      <c r="E147" s="4823" t="s">
        <v>3122</v>
      </c>
      <c r="F147" s="4823"/>
      <c r="G147" s="4823"/>
      <c r="H147" s="482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3" t="s">
        <v>2985</v>
      </c>
      <c r="F150" s="4823"/>
      <c r="G150" s="4823"/>
      <c r="H150" s="4823"/>
    </row>
    <row r="151" spans="1:8" ht="12.75" customHeight="1">
      <c r="C151" s="1449" t="s">
        <v>4083</v>
      </c>
      <c r="E151" s="4823" t="s">
        <v>3121</v>
      </c>
      <c r="F151" s="4823"/>
      <c r="G151" s="4823"/>
      <c r="H151" s="4823"/>
    </row>
    <row r="152" spans="1:8" ht="12.75" customHeight="1">
      <c r="C152" s="1450"/>
      <c r="D152" s="1448" t="s">
        <v>2984</v>
      </c>
      <c r="E152" s="4826" t="s">
        <v>3122</v>
      </c>
      <c r="F152" s="4826"/>
      <c r="G152" s="4826"/>
      <c r="H152" s="482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3" t="s">
        <v>2985</v>
      </c>
      <c r="F155" s="4823"/>
      <c r="G155" s="4823"/>
      <c r="H155" s="4823"/>
    </row>
    <row r="156" spans="1:8" ht="12.75" customHeight="1">
      <c r="C156" s="1449" t="s">
        <v>4083</v>
      </c>
      <c r="E156" s="4823" t="s">
        <v>3121</v>
      </c>
      <c r="F156" s="4823"/>
      <c r="G156" s="4823"/>
      <c r="H156" s="4823"/>
    </row>
    <row r="157" spans="1:8" ht="12.75" customHeight="1">
      <c r="C157" s="1450"/>
      <c r="D157" s="1448" t="s">
        <v>2984</v>
      </c>
      <c r="E157" s="4826" t="s">
        <v>3122</v>
      </c>
      <c r="F157" s="4826"/>
      <c r="G157" s="4826"/>
      <c r="H157" s="4826"/>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3" t="s">
        <v>2985</v>
      </c>
      <c r="F162" s="4823"/>
      <c r="G162" s="4823"/>
      <c r="H162" s="4823"/>
    </row>
    <row r="163" spans="1:8" ht="12.75" customHeight="1">
      <c r="C163" s="1449" t="s">
        <v>4083</v>
      </c>
      <c r="E163" s="4823" t="s">
        <v>3121</v>
      </c>
      <c r="F163" s="4823"/>
      <c r="G163" s="4823"/>
      <c r="H163" s="4823"/>
    </row>
    <row r="164" spans="1:8" ht="12.75" customHeight="1">
      <c r="C164" s="1450"/>
      <c r="D164" s="642" t="s">
        <v>2984</v>
      </c>
      <c r="E164" s="4823" t="s">
        <v>3122</v>
      </c>
      <c r="F164" s="4823"/>
      <c r="G164" s="4823"/>
      <c r="H164" s="482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3" t="s">
        <v>2985</v>
      </c>
      <c r="F167" s="4823"/>
      <c r="G167" s="4823"/>
      <c r="H167" s="4823"/>
    </row>
    <row r="168" spans="1:8" ht="12.75" customHeight="1">
      <c r="C168" s="1449" t="s">
        <v>4083</v>
      </c>
      <c r="E168" s="4823" t="s">
        <v>3121</v>
      </c>
      <c r="F168" s="4823"/>
      <c r="G168" s="4823"/>
      <c r="H168" s="4823"/>
    </row>
    <row r="169" spans="1:8" ht="12.75" customHeight="1">
      <c r="C169" s="1450"/>
      <c r="D169" s="1448" t="s">
        <v>2984</v>
      </c>
      <c r="E169" s="4826" t="s">
        <v>3122</v>
      </c>
      <c r="F169" s="4826"/>
      <c r="G169" s="4826"/>
      <c r="H169" s="482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3" t="s">
        <v>2985</v>
      </c>
      <c r="F172" s="4823"/>
      <c r="G172" s="4823"/>
      <c r="H172" s="4823"/>
    </row>
    <row r="173" spans="1:8" ht="12.75" customHeight="1">
      <c r="C173" s="1449" t="s">
        <v>4083</v>
      </c>
      <c r="E173" s="4823" t="s">
        <v>3121</v>
      </c>
      <c r="F173" s="4823"/>
      <c r="G173" s="4823"/>
      <c r="H173" s="4823"/>
    </row>
    <row r="174" spans="1:8" ht="12.75" customHeight="1">
      <c r="C174" s="1450"/>
      <c r="D174" s="1448" t="s">
        <v>2984</v>
      </c>
      <c r="E174" s="4826" t="s">
        <v>3122</v>
      </c>
      <c r="F174" s="4826"/>
      <c r="G174" s="4826"/>
      <c r="H174" s="4826"/>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3" t="s">
        <v>2888</v>
      </c>
      <c r="G178" s="4823"/>
      <c r="H178" s="4823"/>
      <c r="K178" s="432" t="s">
        <v>233</v>
      </c>
    </row>
    <row r="179" spans="1:11" ht="12.75" customHeight="1">
      <c r="C179" s="641" t="s">
        <v>1275</v>
      </c>
      <c r="D179" s="639" t="s">
        <v>1846</v>
      </c>
      <c r="E179" s="4823" t="s">
        <v>2986</v>
      </c>
      <c r="F179" s="4823"/>
      <c r="G179" s="4823"/>
      <c r="H179" s="4823"/>
    </row>
    <row r="180" spans="1:11" ht="12.75" customHeight="1">
      <c r="E180" s="4823" t="s">
        <v>3121</v>
      </c>
      <c r="F180" s="4823"/>
      <c r="G180" s="4823"/>
      <c r="H180" s="4823"/>
    </row>
    <row r="181" spans="1:11" ht="12.75" customHeight="1">
      <c r="D181" s="642" t="s">
        <v>2984</v>
      </c>
      <c r="E181" s="4823" t="s">
        <v>3122</v>
      </c>
      <c r="F181" s="4823"/>
      <c r="G181" s="4823"/>
      <c r="H181" s="4823"/>
    </row>
    <row r="182" spans="1:11" ht="9" customHeight="1" thickBot="1"/>
    <row r="183" spans="1:11" ht="16.149999999999999" customHeight="1" thickBot="1">
      <c r="A183" s="4824">
        <v>40</v>
      </c>
      <c r="B183" s="4825"/>
      <c r="C183" s="1451" t="s">
        <v>975</v>
      </c>
    </row>
    <row r="184" spans="1:11" ht="9" customHeight="1">
      <c r="A184" s="611"/>
    </row>
    <row r="185" spans="1:11" ht="28.15" customHeight="1">
      <c r="A185" s="4823" t="s">
        <v>4087</v>
      </c>
      <c r="B185" s="4823"/>
      <c r="C185" s="4823"/>
      <c r="D185" s="4823"/>
      <c r="E185" s="4823"/>
      <c r="F185" s="4823"/>
      <c r="G185" s="4823"/>
      <c r="H185" s="4823"/>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3" t="s">
        <v>2888</v>
      </c>
      <c r="G189" s="4823"/>
      <c r="H189" s="4823"/>
    </row>
    <row r="190" spans="1:11" ht="12.75" customHeight="1">
      <c r="C190" s="641" t="s">
        <v>1275</v>
      </c>
      <c r="D190" s="639" t="s">
        <v>1846</v>
      </c>
      <c r="E190" s="4823" t="s">
        <v>2985</v>
      </c>
      <c r="F190" s="4823"/>
      <c r="G190" s="4823"/>
      <c r="H190" s="4823"/>
    </row>
    <row r="191" spans="1:11" ht="12.75" customHeight="1">
      <c r="C191" s="1449" t="s">
        <v>4083</v>
      </c>
      <c r="E191" s="4823" t="s">
        <v>3121</v>
      </c>
      <c r="F191" s="4823"/>
      <c r="G191" s="4823"/>
      <c r="H191" s="4823"/>
    </row>
    <row r="192" spans="1:11" ht="12.75" customHeight="1">
      <c r="C192" s="1450"/>
      <c r="D192" s="1448" t="s">
        <v>2984</v>
      </c>
      <c r="E192" s="4826" t="s">
        <v>3122</v>
      </c>
      <c r="F192" s="4826"/>
      <c r="G192" s="4826"/>
      <c r="H192" s="482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3" t="s">
        <v>2985</v>
      </c>
      <c r="F195" s="4823"/>
      <c r="G195" s="4823"/>
      <c r="H195" s="4823"/>
    </row>
    <row r="196" spans="1:8" ht="12.75" customHeight="1">
      <c r="C196" s="1449" t="s">
        <v>4083</v>
      </c>
      <c r="E196" s="4823" t="s">
        <v>3121</v>
      </c>
      <c r="F196" s="4823"/>
      <c r="G196" s="4823"/>
      <c r="H196" s="4823"/>
    </row>
    <row r="197" spans="1:8" ht="12.75" customHeight="1">
      <c r="C197" s="1450"/>
      <c r="D197" s="1448" t="s">
        <v>2984</v>
      </c>
      <c r="E197" s="4826" t="s">
        <v>3122</v>
      </c>
      <c r="F197" s="4826"/>
      <c r="G197" s="4826"/>
      <c r="H197" s="482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3" t="s">
        <v>2985</v>
      </c>
      <c r="F200" s="4823"/>
      <c r="G200" s="4823"/>
      <c r="H200" s="4823"/>
    </row>
    <row r="201" spans="1:8" ht="12.75" customHeight="1">
      <c r="C201" s="1449" t="s">
        <v>4083</v>
      </c>
      <c r="E201" s="4823" t="s">
        <v>3121</v>
      </c>
      <c r="F201" s="4823"/>
      <c r="G201" s="4823"/>
      <c r="H201" s="4823"/>
    </row>
    <row r="202" spans="1:8" ht="12.75" customHeight="1">
      <c r="C202" s="1450"/>
      <c r="D202" s="1448" t="s">
        <v>2984</v>
      </c>
      <c r="E202" s="4826" t="s">
        <v>3122</v>
      </c>
      <c r="F202" s="4826"/>
      <c r="G202" s="4826"/>
      <c r="H202" s="4826"/>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3" t="s">
        <v>2985</v>
      </c>
      <c r="F207" s="4823"/>
      <c r="G207" s="4823"/>
      <c r="H207" s="4823"/>
    </row>
    <row r="208" spans="1:8" ht="12.75" customHeight="1">
      <c r="C208" s="1449" t="s">
        <v>4083</v>
      </c>
      <c r="E208" s="4823" t="s">
        <v>3121</v>
      </c>
      <c r="F208" s="4823"/>
      <c r="G208" s="4823"/>
      <c r="H208" s="4823"/>
    </row>
    <row r="209" spans="1:8" ht="12.75" customHeight="1">
      <c r="C209" s="1450"/>
      <c r="D209" s="642" t="s">
        <v>2984</v>
      </c>
      <c r="E209" s="4823" t="s">
        <v>3122</v>
      </c>
      <c r="F209" s="4823"/>
      <c r="G209" s="4823"/>
      <c r="H209" s="482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3" t="s">
        <v>2985</v>
      </c>
      <c r="F212" s="4823"/>
      <c r="G212" s="4823"/>
      <c r="H212" s="4823"/>
    </row>
    <row r="213" spans="1:8" ht="12.75" customHeight="1">
      <c r="C213" s="1449" t="s">
        <v>4083</v>
      </c>
      <c r="E213" s="4823" t="s">
        <v>3121</v>
      </c>
      <c r="F213" s="4823"/>
      <c r="G213" s="4823"/>
      <c r="H213" s="4823"/>
    </row>
    <row r="214" spans="1:8" ht="12.75" customHeight="1">
      <c r="C214" s="1450"/>
      <c r="D214" s="1448" t="s">
        <v>2984</v>
      </c>
      <c r="E214" s="4826" t="s">
        <v>3122</v>
      </c>
      <c r="F214" s="4826"/>
      <c r="G214" s="4826"/>
      <c r="H214" s="482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3" t="s">
        <v>2985</v>
      </c>
      <c r="F217" s="4823"/>
      <c r="G217" s="4823"/>
      <c r="H217" s="4823"/>
    </row>
    <row r="218" spans="1:8" ht="12.75" customHeight="1">
      <c r="C218" s="1449" t="s">
        <v>4083</v>
      </c>
      <c r="E218" s="4823" t="s">
        <v>3121</v>
      </c>
      <c r="F218" s="4823"/>
      <c r="G218" s="4823"/>
      <c r="H218" s="4823"/>
    </row>
    <row r="219" spans="1:8" ht="12.75" customHeight="1">
      <c r="C219" s="1450"/>
      <c r="D219" s="1448" t="s">
        <v>2984</v>
      </c>
      <c r="E219" s="4826" t="s">
        <v>3122</v>
      </c>
      <c r="F219" s="4826"/>
      <c r="G219" s="4826"/>
      <c r="H219" s="4826"/>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3" t="s">
        <v>2985</v>
      </c>
      <c r="F224" s="4823"/>
      <c r="G224" s="4823"/>
      <c r="H224" s="4823"/>
    </row>
    <row r="225" spans="1:8" ht="12.75" customHeight="1">
      <c r="C225" s="1449" t="s">
        <v>4083</v>
      </c>
      <c r="E225" s="4823" t="s">
        <v>3121</v>
      </c>
      <c r="F225" s="4823"/>
      <c r="G225" s="4823"/>
      <c r="H225" s="4823"/>
    </row>
    <row r="226" spans="1:8" ht="12.75" customHeight="1">
      <c r="C226" s="1450"/>
      <c r="D226" s="642" t="s">
        <v>2984</v>
      </c>
      <c r="E226" s="4823" t="s">
        <v>3122</v>
      </c>
      <c r="F226" s="4823"/>
      <c r="G226" s="4823"/>
      <c r="H226" s="482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3" t="s">
        <v>2985</v>
      </c>
      <c r="F229" s="4823"/>
      <c r="G229" s="4823"/>
      <c r="H229" s="4823"/>
    </row>
    <row r="230" spans="1:8" ht="12.75" customHeight="1">
      <c r="C230" s="1449" t="s">
        <v>4083</v>
      </c>
      <c r="E230" s="4823" t="s">
        <v>3121</v>
      </c>
      <c r="F230" s="4823"/>
      <c r="G230" s="4823"/>
      <c r="H230" s="4823"/>
    </row>
    <row r="231" spans="1:8" ht="12.75" customHeight="1">
      <c r="C231" s="1450"/>
      <c r="D231" s="1448" t="s">
        <v>2984</v>
      </c>
      <c r="E231" s="4826" t="s">
        <v>3122</v>
      </c>
      <c r="F231" s="4826"/>
      <c r="G231" s="4826"/>
      <c r="H231" s="482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3" t="s">
        <v>2985</v>
      </c>
      <c r="F234" s="4823"/>
      <c r="G234" s="4823"/>
      <c r="H234" s="4823"/>
    </row>
    <row r="235" spans="1:8" ht="12.75" customHeight="1">
      <c r="C235" s="1449" t="s">
        <v>4083</v>
      </c>
      <c r="E235" s="4823" t="s">
        <v>3121</v>
      </c>
      <c r="F235" s="4823"/>
      <c r="G235" s="4823"/>
      <c r="H235" s="4823"/>
    </row>
    <row r="236" spans="1:8" ht="12.75" customHeight="1">
      <c r="C236" s="1450"/>
      <c r="D236" s="1448" t="s">
        <v>2984</v>
      </c>
      <c r="E236" s="4826" t="s">
        <v>3122</v>
      </c>
      <c r="F236" s="4826"/>
      <c r="G236" s="4826"/>
      <c r="H236" s="4826"/>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3" t="s">
        <v>2985</v>
      </c>
      <c r="F241" s="4823"/>
      <c r="G241" s="4823"/>
      <c r="H241" s="4823"/>
    </row>
    <row r="242" spans="1:8" ht="12.75" customHeight="1">
      <c r="C242" s="1449" t="s">
        <v>4083</v>
      </c>
      <c r="E242" s="4823" t="s">
        <v>3121</v>
      </c>
      <c r="F242" s="4823"/>
      <c r="G242" s="4823"/>
      <c r="H242" s="4823"/>
    </row>
    <row r="243" spans="1:8" ht="12.75" customHeight="1">
      <c r="C243" s="1450"/>
      <c r="D243" s="642" t="s">
        <v>2984</v>
      </c>
      <c r="E243" s="4823" t="s">
        <v>3122</v>
      </c>
      <c r="F243" s="4823"/>
      <c r="G243" s="4823"/>
      <c r="H243" s="482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3" t="s">
        <v>2985</v>
      </c>
      <c r="F246" s="4823"/>
      <c r="G246" s="4823"/>
      <c r="H246" s="4823"/>
    </row>
    <row r="247" spans="1:8" ht="12.75" customHeight="1">
      <c r="C247" s="1449" t="s">
        <v>4083</v>
      </c>
      <c r="E247" s="4823" t="s">
        <v>3121</v>
      </c>
      <c r="F247" s="4823"/>
      <c r="G247" s="4823"/>
      <c r="H247" s="4823"/>
    </row>
    <row r="248" spans="1:8" ht="12.75" customHeight="1">
      <c r="C248" s="1450"/>
      <c r="D248" s="1448" t="s">
        <v>2984</v>
      </c>
      <c r="E248" s="4826" t="s">
        <v>3122</v>
      </c>
      <c r="F248" s="4826"/>
      <c r="G248" s="4826"/>
      <c r="H248" s="482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3" t="s">
        <v>2985</v>
      </c>
      <c r="F251" s="4823"/>
      <c r="G251" s="4823"/>
      <c r="H251" s="4823"/>
    </row>
    <row r="252" spans="1:8" ht="12.75" customHeight="1">
      <c r="C252" s="1449" t="s">
        <v>4083</v>
      </c>
      <c r="E252" s="4823" t="s">
        <v>3121</v>
      </c>
      <c r="F252" s="4823"/>
      <c r="G252" s="4823"/>
      <c r="H252" s="4823"/>
    </row>
    <row r="253" spans="1:8" ht="12.75" customHeight="1">
      <c r="C253" s="1450"/>
      <c r="D253" s="1448" t="s">
        <v>2984</v>
      </c>
      <c r="E253" s="4826" t="s">
        <v>3122</v>
      </c>
      <c r="F253" s="4826"/>
      <c r="G253" s="4826"/>
      <c r="H253" s="4826"/>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3" t="s">
        <v>2888</v>
      </c>
      <c r="G257" s="4823"/>
      <c r="H257" s="4823"/>
      <c r="K257" s="432" t="s">
        <v>233</v>
      </c>
    </row>
    <row r="258" spans="1:11" ht="12.75" customHeight="1">
      <c r="C258" s="641" t="s">
        <v>1275</v>
      </c>
      <c r="D258" s="639" t="s">
        <v>1846</v>
      </c>
      <c r="E258" s="4823" t="s">
        <v>2986</v>
      </c>
      <c r="F258" s="4823"/>
      <c r="G258" s="4823"/>
      <c r="H258" s="4823"/>
    </row>
    <row r="259" spans="1:11" ht="12.75" customHeight="1">
      <c r="E259" s="4823" t="s">
        <v>3121</v>
      </c>
      <c r="F259" s="4823"/>
      <c r="G259" s="4823"/>
      <c r="H259" s="4823"/>
    </row>
    <row r="260" spans="1:11" ht="12.75" customHeight="1">
      <c r="D260" s="642" t="s">
        <v>2984</v>
      </c>
      <c r="E260" s="4823" t="s">
        <v>3122</v>
      </c>
      <c r="F260" s="4823"/>
      <c r="G260" s="4823"/>
      <c r="H260" s="4823"/>
    </row>
    <row r="261" spans="1:11" ht="9" customHeight="1" thickBot="1"/>
    <row r="262" spans="1:11" ht="16.149999999999999" customHeight="1" thickBot="1">
      <c r="A262" s="4824">
        <v>50</v>
      </c>
      <c r="B262" s="4825"/>
      <c r="C262" s="1451" t="s">
        <v>975</v>
      </c>
    </row>
    <row r="263" spans="1:11" ht="9" customHeight="1">
      <c r="A263" s="611"/>
    </row>
    <row r="264" spans="1:11" ht="28.15" customHeight="1">
      <c r="A264" s="4823" t="s">
        <v>4084</v>
      </c>
      <c r="B264" s="4823"/>
      <c r="C264" s="4823"/>
      <c r="D264" s="4823"/>
      <c r="E264" s="4823"/>
      <c r="F264" s="4823"/>
      <c r="G264" s="4823"/>
      <c r="H264" s="4823"/>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3" t="s">
        <v>2888</v>
      </c>
      <c r="G268" s="4823"/>
      <c r="H268" s="4823"/>
    </row>
    <row r="269" spans="1:11" ht="12.75" customHeight="1">
      <c r="C269" s="641" t="s">
        <v>1275</v>
      </c>
      <c r="D269" s="639" t="s">
        <v>1846</v>
      </c>
      <c r="E269" s="4823" t="s">
        <v>2985</v>
      </c>
      <c r="F269" s="4823"/>
      <c r="G269" s="4823"/>
      <c r="H269" s="4823"/>
    </row>
    <row r="270" spans="1:11" ht="12.75" customHeight="1">
      <c r="C270" s="1449" t="s">
        <v>4083</v>
      </c>
      <c r="E270" s="4823" t="s">
        <v>3121</v>
      </c>
      <c r="F270" s="4823"/>
      <c r="G270" s="4823"/>
      <c r="H270" s="4823"/>
    </row>
    <row r="271" spans="1:11" ht="12.75" customHeight="1">
      <c r="C271" s="1450"/>
      <c r="D271" s="1448" t="s">
        <v>2984</v>
      </c>
      <c r="E271" s="4826" t="s">
        <v>3122</v>
      </c>
      <c r="F271" s="4826"/>
      <c r="G271" s="4826"/>
      <c r="H271" s="482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3" t="s">
        <v>2985</v>
      </c>
      <c r="F274" s="4823"/>
      <c r="G274" s="4823"/>
      <c r="H274" s="4823"/>
    </row>
    <row r="275" spans="1:8" ht="12.75" customHeight="1">
      <c r="C275" s="1449" t="s">
        <v>4083</v>
      </c>
      <c r="E275" s="4823" t="s">
        <v>3121</v>
      </c>
      <c r="F275" s="4823"/>
      <c r="G275" s="4823"/>
      <c r="H275" s="4823"/>
    </row>
    <row r="276" spans="1:8" ht="12.75" customHeight="1">
      <c r="C276" s="1450"/>
      <c r="D276" s="1448" t="s">
        <v>2984</v>
      </c>
      <c r="E276" s="4826" t="s">
        <v>3122</v>
      </c>
      <c r="F276" s="4826"/>
      <c r="G276" s="4826"/>
      <c r="H276" s="482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3" t="s">
        <v>2985</v>
      </c>
      <c r="F279" s="4823"/>
      <c r="G279" s="4823"/>
      <c r="H279" s="4823"/>
    </row>
    <row r="280" spans="1:8" ht="12.75" customHeight="1">
      <c r="C280" s="1449" t="s">
        <v>4083</v>
      </c>
      <c r="E280" s="4823" t="s">
        <v>3121</v>
      </c>
      <c r="F280" s="4823"/>
      <c r="G280" s="4823"/>
      <c r="H280" s="4823"/>
    </row>
    <row r="281" spans="1:8" ht="12.75" customHeight="1">
      <c r="C281" s="1450"/>
      <c r="D281" s="1448" t="s">
        <v>2984</v>
      </c>
      <c r="E281" s="4826" t="s">
        <v>3122</v>
      </c>
      <c r="F281" s="4826"/>
      <c r="G281" s="4826"/>
      <c r="H281" s="4826"/>
    </row>
    <row r="282" spans="1:8" ht="6" customHeight="1">
      <c r="D282" s="639"/>
      <c r="E282" s="1025"/>
      <c r="F282" s="1025"/>
      <c r="G282" s="1025"/>
      <c r="H282" s="1025"/>
    </row>
    <row r="283" spans="1:8">
      <c r="A283" s="620" t="s">
        <v>2980</v>
      </c>
      <c r="B283" s="637">
        <f>IF('Part V-Revenues &amp; Expenses'!$L$59=0,"",'Part V-Revenues &amp; Expenses'!$L$59)</f>
        <v>2</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3" t="s">
        <v>2985</v>
      </c>
      <c r="F286" s="4823"/>
      <c r="G286" s="4823"/>
      <c r="H286" s="4823"/>
    </row>
    <row r="287" spans="1:8" ht="12.75" customHeight="1">
      <c r="C287" s="1449" t="s">
        <v>4083</v>
      </c>
      <c r="E287" s="4823" t="s">
        <v>3121</v>
      </c>
      <c r="F287" s="4823"/>
      <c r="G287" s="4823"/>
      <c r="H287" s="4823"/>
    </row>
    <row r="288" spans="1:8" ht="12.75" customHeight="1">
      <c r="C288" s="1450"/>
      <c r="D288" s="642" t="s">
        <v>2984</v>
      </c>
      <c r="E288" s="4823" t="s">
        <v>3122</v>
      </c>
      <c r="F288" s="4823"/>
      <c r="G288" s="4823"/>
      <c r="H288" s="482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3" t="s">
        <v>2985</v>
      </c>
      <c r="F291" s="4823"/>
      <c r="G291" s="4823"/>
      <c r="H291" s="4823"/>
    </row>
    <row r="292" spans="1:8" ht="12.75" customHeight="1">
      <c r="C292" s="1449" t="s">
        <v>4083</v>
      </c>
      <c r="E292" s="4823" t="s">
        <v>3121</v>
      </c>
      <c r="F292" s="4823"/>
      <c r="G292" s="4823"/>
      <c r="H292" s="4823"/>
    </row>
    <row r="293" spans="1:8" ht="12.75" customHeight="1">
      <c r="C293" s="1450"/>
      <c r="D293" s="1448" t="s">
        <v>2984</v>
      </c>
      <c r="E293" s="4826" t="s">
        <v>3122</v>
      </c>
      <c r="F293" s="4826"/>
      <c r="G293" s="4826"/>
      <c r="H293" s="482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3" t="s">
        <v>2985</v>
      </c>
      <c r="F296" s="4823"/>
      <c r="G296" s="4823"/>
      <c r="H296" s="4823"/>
    </row>
    <row r="297" spans="1:8" ht="12.75" customHeight="1">
      <c r="C297" s="1449" t="s">
        <v>4083</v>
      </c>
      <c r="E297" s="4823" t="s">
        <v>3121</v>
      </c>
      <c r="F297" s="4823"/>
      <c r="G297" s="4823"/>
      <c r="H297" s="4823"/>
    </row>
    <row r="298" spans="1:8" ht="12.75" customHeight="1">
      <c r="C298" s="1450"/>
      <c r="D298" s="1448" t="s">
        <v>2984</v>
      </c>
      <c r="E298" s="4826" t="s">
        <v>3122</v>
      </c>
      <c r="F298" s="4826"/>
      <c r="G298" s="4826"/>
      <c r="H298" s="4826"/>
    </row>
    <row r="299" spans="1:8" ht="6" customHeight="1">
      <c r="D299" s="639"/>
      <c r="E299" s="1025"/>
      <c r="F299" s="1025"/>
      <c r="G299" s="1025"/>
      <c r="H299" s="1025"/>
    </row>
    <row r="300" spans="1:8">
      <c r="A300" s="620" t="s">
        <v>2980</v>
      </c>
      <c r="B300" s="637">
        <f>IF('Part V-Revenues &amp; Expenses'!$M$59=0,"",'Part V-Revenues &amp; Expenses'!$M$59)</f>
        <v>9</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3" t="s">
        <v>2985</v>
      </c>
      <c r="F303" s="4823"/>
      <c r="G303" s="4823"/>
      <c r="H303" s="4823"/>
    </row>
    <row r="304" spans="1:8" ht="12.75" customHeight="1">
      <c r="C304" s="1449" t="s">
        <v>4083</v>
      </c>
      <c r="E304" s="4823" t="s">
        <v>3121</v>
      </c>
      <c r="F304" s="4823"/>
      <c r="G304" s="4823"/>
      <c r="H304" s="4823"/>
    </row>
    <row r="305" spans="1:8" ht="12.75" customHeight="1">
      <c r="C305" s="1450"/>
      <c r="D305" s="642" t="s">
        <v>2984</v>
      </c>
      <c r="E305" s="4823" t="s">
        <v>3122</v>
      </c>
      <c r="F305" s="4823"/>
      <c r="G305" s="4823"/>
      <c r="H305" s="482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3" t="s">
        <v>2985</v>
      </c>
      <c r="F308" s="4823"/>
      <c r="G308" s="4823"/>
      <c r="H308" s="4823"/>
    </row>
    <row r="309" spans="1:8" ht="12.75" customHeight="1">
      <c r="C309" s="1449" t="s">
        <v>4083</v>
      </c>
      <c r="E309" s="4823" t="s">
        <v>3121</v>
      </c>
      <c r="F309" s="4823"/>
      <c r="G309" s="4823"/>
      <c r="H309" s="4823"/>
    </row>
    <row r="310" spans="1:8" ht="12.75" customHeight="1">
      <c r="C310" s="1450"/>
      <c r="D310" s="1448" t="s">
        <v>2984</v>
      </c>
      <c r="E310" s="4826" t="s">
        <v>3122</v>
      </c>
      <c r="F310" s="4826"/>
      <c r="G310" s="4826"/>
      <c r="H310" s="482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3" t="s">
        <v>2985</v>
      </c>
      <c r="F313" s="4823"/>
      <c r="G313" s="4823"/>
      <c r="H313" s="4823"/>
    </row>
    <row r="314" spans="1:8" ht="12.75" customHeight="1">
      <c r="C314" s="1449" t="s">
        <v>4083</v>
      </c>
      <c r="E314" s="4823" t="s">
        <v>3121</v>
      </c>
      <c r="F314" s="4823"/>
      <c r="G314" s="4823"/>
      <c r="H314" s="4823"/>
    </row>
    <row r="315" spans="1:8" ht="12.75" customHeight="1">
      <c r="C315" s="1450"/>
      <c r="D315" s="1448" t="s">
        <v>2984</v>
      </c>
      <c r="E315" s="4826" t="s">
        <v>3122</v>
      </c>
      <c r="F315" s="4826"/>
      <c r="G315" s="4826"/>
      <c r="H315" s="4826"/>
    </row>
    <row r="316" spans="1:8" ht="6" customHeight="1">
      <c r="D316" s="639"/>
      <c r="E316" s="1025"/>
      <c r="F316" s="1025"/>
      <c r="G316" s="1025"/>
      <c r="H316" s="1025"/>
    </row>
    <row r="317" spans="1:8">
      <c r="A317" s="620" t="s">
        <v>2980</v>
      </c>
      <c r="B317" s="637">
        <f>IF('Part V-Revenues &amp; Expenses'!$N$59=0,"",'Part V-Revenues &amp; Expenses'!$N$59)</f>
        <v>5</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3" t="s">
        <v>2985</v>
      </c>
      <c r="F320" s="4823"/>
      <c r="G320" s="4823"/>
      <c r="H320" s="4823"/>
    </row>
    <row r="321" spans="1:11" ht="12.75" customHeight="1">
      <c r="C321" s="1449" t="s">
        <v>4083</v>
      </c>
      <c r="E321" s="4823" t="s">
        <v>3121</v>
      </c>
      <c r="F321" s="4823"/>
      <c r="G321" s="4823"/>
      <c r="H321" s="4823"/>
    </row>
    <row r="322" spans="1:11" ht="12.75" customHeight="1">
      <c r="C322" s="1450"/>
      <c r="D322" s="642" t="s">
        <v>2984</v>
      </c>
      <c r="E322" s="4823" t="s">
        <v>3122</v>
      </c>
      <c r="F322" s="4823"/>
      <c r="G322" s="4823"/>
      <c r="H322" s="482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3" t="s">
        <v>2985</v>
      </c>
      <c r="F325" s="4823"/>
      <c r="G325" s="4823"/>
      <c r="H325" s="4823"/>
    </row>
    <row r="326" spans="1:11" ht="12.75" customHeight="1">
      <c r="C326" s="1449" t="s">
        <v>4083</v>
      </c>
      <c r="E326" s="4823" t="s">
        <v>3121</v>
      </c>
      <c r="F326" s="4823"/>
      <c r="G326" s="4823"/>
      <c r="H326" s="4823"/>
    </row>
    <row r="327" spans="1:11" ht="12.75" customHeight="1">
      <c r="C327" s="1450"/>
      <c r="D327" s="1448" t="s">
        <v>2984</v>
      </c>
      <c r="E327" s="4826" t="s">
        <v>3122</v>
      </c>
      <c r="F327" s="4826"/>
      <c r="G327" s="4826"/>
      <c r="H327" s="482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3" t="s">
        <v>2985</v>
      </c>
      <c r="F330" s="4823"/>
      <c r="G330" s="4823"/>
      <c r="H330" s="4823"/>
    </row>
    <row r="331" spans="1:11" ht="12.75" customHeight="1">
      <c r="C331" s="1449" t="s">
        <v>4083</v>
      </c>
      <c r="E331" s="4823" t="s">
        <v>3121</v>
      </c>
      <c r="F331" s="4823"/>
      <c r="G331" s="4823"/>
      <c r="H331" s="4823"/>
    </row>
    <row r="332" spans="1:11" ht="12.75" customHeight="1">
      <c r="C332" s="1450"/>
      <c r="D332" s="1448" t="s">
        <v>2984</v>
      </c>
      <c r="E332" s="4826" t="s">
        <v>3122</v>
      </c>
      <c r="F332" s="4826"/>
      <c r="G332" s="4826"/>
      <c r="H332" s="4826"/>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3" t="s">
        <v>2888</v>
      </c>
      <c r="G336" s="4823"/>
      <c r="H336" s="4823"/>
      <c r="K336" s="432" t="s">
        <v>233</v>
      </c>
    </row>
    <row r="337" spans="1:8" ht="12.75" customHeight="1">
      <c r="C337" s="641" t="s">
        <v>1275</v>
      </c>
      <c r="D337" s="639" t="s">
        <v>1846</v>
      </c>
      <c r="E337" s="4823" t="s">
        <v>2986</v>
      </c>
      <c r="F337" s="4823"/>
      <c r="G337" s="4823"/>
      <c r="H337" s="4823"/>
    </row>
    <row r="338" spans="1:8" ht="12.75" customHeight="1">
      <c r="E338" s="4823" t="s">
        <v>3121</v>
      </c>
      <c r="F338" s="4823"/>
      <c r="G338" s="4823"/>
      <c r="H338" s="4823"/>
    </row>
    <row r="339" spans="1:8" ht="12.75" customHeight="1">
      <c r="D339" s="642" t="s">
        <v>2984</v>
      </c>
      <c r="E339" s="4823" t="s">
        <v>3122</v>
      </c>
      <c r="F339" s="4823"/>
      <c r="G339" s="4823"/>
      <c r="H339" s="4823"/>
    </row>
    <row r="340" spans="1:8" ht="9" customHeight="1"/>
    <row r="341" spans="1:8" ht="7.5" customHeight="1" thickBot="1">
      <c r="E341" s="4823"/>
      <c r="F341" s="4823"/>
      <c r="G341" s="4823"/>
      <c r="H341" s="4823"/>
    </row>
    <row r="342" spans="1:8" ht="16.149999999999999" customHeight="1" thickBot="1">
      <c r="A342" s="4824">
        <v>60</v>
      </c>
      <c r="B342" s="4825"/>
      <c r="C342" s="1451" t="s">
        <v>975</v>
      </c>
    </row>
    <row r="343" spans="1:8" ht="9" customHeight="1">
      <c r="A343" s="611"/>
    </row>
    <row r="344" spans="1:8" ht="28.15" customHeight="1">
      <c r="A344" s="4823" t="s">
        <v>4088</v>
      </c>
      <c r="B344" s="4823"/>
      <c r="C344" s="4823"/>
      <c r="D344" s="4823"/>
      <c r="E344" s="4823"/>
      <c r="F344" s="4823"/>
      <c r="G344" s="4823"/>
      <c r="H344" s="4823"/>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3" t="s">
        <v>2888</v>
      </c>
      <c r="G348" s="4823"/>
      <c r="H348" s="4823"/>
    </row>
    <row r="349" spans="1:8" ht="12.75" customHeight="1">
      <c r="C349" s="641" t="s">
        <v>1275</v>
      </c>
      <c r="D349" s="639" t="s">
        <v>1846</v>
      </c>
      <c r="E349" s="4823" t="s">
        <v>2985</v>
      </c>
      <c r="F349" s="4823"/>
      <c r="G349" s="4823"/>
      <c r="H349" s="4823"/>
    </row>
    <row r="350" spans="1:8" ht="12.75" customHeight="1">
      <c r="C350" s="1449" t="s">
        <v>4083</v>
      </c>
      <c r="E350" s="4823" t="s">
        <v>3121</v>
      </c>
      <c r="F350" s="4823"/>
      <c r="G350" s="4823"/>
      <c r="H350" s="4823"/>
    </row>
    <row r="351" spans="1:8" ht="12.75" customHeight="1">
      <c r="C351" s="1450"/>
      <c r="D351" s="1448" t="s">
        <v>2984</v>
      </c>
      <c r="E351" s="4826" t="s">
        <v>3122</v>
      </c>
      <c r="F351" s="4826"/>
      <c r="G351" s="4826"/>
      <c r="H351" s="482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3" t="s">
        <v>2985</v>
      </c>
      <c r="F354" s="4823"/>
      <c r="G354" s="4823"/>
      <c r="H354" s="4823"/>
    </row>
    <row r="355" spans="1:8" ht="12.75" customHeight="1">
      <c r="C355" s="1449" t="s">
        <v>4083</v>
      </c>
      <c r="E355" s="4823" t="s">
        <v>3121</v>
      </c>
      <c r="F355" s="4823"/>
      <c r="G355" s="4823"/>
      <c r="H355" s="4823"/>
    </row>
    <row r="356" spans="1:8" ht="12.75" customHeight="1">
      <c r="C356" s="1450"/>
      <c r="D356" s="1448" t="s">
        <v>2984</v>
      </c>
      <c r="E356" s="4826" t="s">
        <v>3122</v>
      </c>
      <c r="F356" s="4826"/>
      <c r="G356" s="4826"/>
      <c r="H356" s="482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3" t="s">
        <v>2985</v>
      </c>
      <c r="F359" s="4823"/>
      <c r="G359" s="4823"/>
      <c r="H359" s="4823"/>
    </row>
    <row r="360" spans="1:8" ht="12.75" customHeight="1">
      <c r="C360" s="1449" t="s">
        <v>4083</v>
      </c>
      <c r="E360" s="4823" t="s">
        <v>3121</v>
      </c>
      <c r="F360" s="4823"/>
      <c r="G360" s="4823"/>
      <c r="H360" s="4823"/>
    </row>
    <row r="361" spans="1:8" ht="12.75" customHeight="1">
      <c r="C361" s="1450"/>
      <c r="D361" s="1448" t="s">
        <v>2984</v>
      </c>
      <c r="E361" s="4826" t="s">
        <v>3122</v>
      </c>
      <c r="F361" s="4826"/>
      <c r="G361" s="4826"/>
      <c r="H361" s="4826"/>
    </row>
    <row r="362" spans="1:8" ht="6" customHeight="1">
      <c r="D362" s="639"/>
      <c r="E362" s="1025"/>
      <c r="F362" s="1025"/>
      <c r="G362" s="1025"/>
      <c r="H362" s="1025"/>
    </row>
    <row r="363" spans="1:8">
      <c r="A363" s="620" t="s">
        <v>2980</v>
      </c>
      <c r="B363" s="637">
        <f>IF('Part V-Revenues &amp; Expenses'!$L$58=0,"",'Part V-Revenues &amp; Expenses'!$L$58)</f>
        <v>3</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3" t="s">
        <v>2985</v>
      </c>
      <c r="F366" s="4823"/>
      <c r="G366" s="4823"/>
      <c r="H366" s="4823"/>
    </row>
    <row r="367" spans="1:8" ht="12.75" customHeight="1">
      <c r="C367" s="1449" t="s">
        <v>4083</v>
      </c>
      <c r="E367" s="4823" t="s">
        <v>3121</v>
      </c>
      <c r="F367" s="4823"/>
      <c r="G367" s="4823"/>
      <c r="H367" s="4823"/>
    </row>
    <row r="368" spans="1:8" ht="12.75" customHeight="1">
      <c r="C368" s="1450"/>
      <c r="D368" s="642" t="s">
        <v>2984</v>
      </c>
      <c r="E368" s="4823" t="s">
        <v>3122</v>
      </c>
      <c r="F368" s="4823"/>
      <c r="G368" s="4823"/>
      <c r="H368" s="482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3" t="s">
        <v>2985</v>
      </c>
      <c r="F371" s="4823"/>
      <c r="G371" s="4823"/>
      <c r="H371" s="4823"/>
    </row>
    <row r="372" spans="1:8" ht="12.75" customHeight="1">
      <c r="C372" s="1449" t="s">
        <v>4083</v>
      </c>
      <c r="E372" s="4823" t="s">
        <v>3121</v>
      </c>
      <c r="F372" s="4823"/>
      <c r="G372" s="4823"/>
      <c r="H372" s="4823"/>
    </row>
    <row r="373" spans="1:8" ht="12.75" customHeight="1">
      <c r="C373" s="1450"/>
      <c r="D373" s="1448" t="s">
        <v>2984</v>
      </c>
      <c r="E373" s="4826" t="s">
        <v>3122</v>
      </c>
      <c r="F373" s="4826"/>
      <c r="G373" s="4826"/>
      <c r="H373" s="482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3" t="s">
        <v>2985</v>
      </c>
      <c r="F376" s="4823"/>
      <c r="G376" s="4823"/>
      <c r="H376" s="4823"/>
    </row>
    <row r="377" spans="1:8" ht="12.75" customHeight="1">
      <c r="C377" s="1449" t="s">
        <v>4083</v>
      </c>
      <c r="E377" s="4823" t="s">
        <v>3121</v>
      </c>
      <c r="F377" s="4823"/>
      <c r="G377" s="4823"/>
      <c r="H377" s="4823"/>
    </row>
    <row r="378" spans="1:8" ht="12.75" customHeight="1">
      <c r="C378" s="1450"/>
      <c r="D378" s="1448" t="s">
        <v>2984</v>
      </c>
      <c r="E378" s="4826" t="s">
        <v>3122</v>
      </c>
      <c r="F378" s="4826"/>
      <c r="G378" s="4826"/>
      <c r="H378" s="4826"/>
    </row>
    <row r="379" spans="1:8" ht="6" customHeight="1">
      <c r="D379" s="639"/>
      <c r="E379" s="1025"/>
      <c r="F379" s="1025"/>
      <c r="G379" s="1025"/>
      <c r="H379" s="1025"/>
    </row>
    <row r="380" spans="1:8">
      <c r="A380" s="620" t="s">
        <v>2980</v>
      </c>
      <c r="B380" s="637">
        <f>IF('Part V-Revenues &amp; Expenses'!$M$58=0,"",'Part V-Revenues &amp; Expenses'!$M$58)</f>
        <v>11</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3" t="s">
        <v>2985</v>
      </c>
      <c r="F383" s="4823"/>
      <c r="G383" s="4823"/>
      <c r="H383" s="4823"/>
    </row>
    <row r="384" spans="1:8" ht="12.75" customHeight="1">
      <c r="C384" s="1449" t="s">
        <v>4083</v>
      </c>
      <c r="E384" s="4823" t="s">
        <v>3121</v>
      </c>
      <c r="F384" s="4823"/>
      <c r="G384" s="4823"/>
      <c r="H384" s="4823"/>
    </row>
    <row r="385" spans="1:8" ht="12.75" customHeight="1">
      <c r="C385" s="1450"/>
      <c r="D385" s="642" t="s">
        <v>2984</v>
      </c>
      <c r="E385" s="4823" t="s">
        <v>3122</v>
      </c>
      <c r="F385" s="4823"/>
      <c r="G385" s="4823"/>
      <c r="H385" s="482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3" t="s">
        <v>2985</v>
      </c>
      <c r="F388" s="4823"/>
      <c r="G388" s="4823"/>
      <c r="H388" s="4823"/>
    </row>
    <row r="389" spans="1:8" ht="12.75" customHeight="1">
      <c r="C389" s="1449" t="s">
        <v>4083</v>
      </c>
      <c r="E389" s="4823" t="s">
        <v>3121</v>
      </c>
      <c r="F389" s="4823"/>
      <c r="G389" s="4823"/>
      <c r="H389" s="4823"/>
    </row>
    <row r="390" spans="1:8" ht="12.75" customHeight="1">
      <c r="C390" s="1450"/>
      <c r="D390" s="1448" t="s">
        <v>2984</v>
      </c>
      <c r="E390" s="4826" t="s">
        <v>3122</v>
      </c>
      <c r="F390" s="4826"/>
      <c r="G390" s="4826"/>
      <c r="H390" s="482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3" t="s">
        <v>2985</v>
      </c>
      <c r="F393" s="4823"/>
      <c r="G393" s="4823"/>
      <c r="H393" s="4823"/>
    </row>
    <row r="394" spans="1:8" ht="12.75" customHeight="1">
      <c r="C394" s="1449" t="s">
        <v>4083</v>
      </c>
      <c r="E394" s="4823" t="s">
        <v>3121</v>
      </c>
      <c r="F394" s="4823"/>
      <c r="G394" s="4823"/>
      <c r="H394" s="4823"/>
    </row>
    <row r="395" spans="1:8" ht="12.75" customHeight="1">
      <c r="C395" s="1450"/>
      <c r="D395" s="1448" t="s">
        <v>2984</v>
      </c>
      <c r="E395" s="4826" t="s">
        <v>3122</v>
      </c>
      <c r="F395" s="4826"/>
      <c r="G395" s="4826"/>
      <c r="H395" s="4826"/>
    </row>
    <row r="396" spans="1:8" ht="6" customHeight="1">
      <c r="D396" s="639"/>
      <c r="E396" s="1025"/>
      <c r="F396" s="1025"/>
      <c r="G396" s="1025"/>
      <c r="H396" s="1025"/>
    </row>
    <row r="397" spans="1:8">
      <c r="A397" s="620" t="s">
        <v>2980</v>
      </c>
      <c r="B397" s="637">
        <f>IF('Part V-Revenues &amp; Expenses'!$N$58=0,"",'Part V-Revenues &amp; Expenses'!$N$58)</f>
        <v>7</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3" t="s">
        <v>2985</v>
      </c>
      <c r="F400" s="4823"/>
      <c r="G400" s="4823"/>
      <c r="H400" s="4823"/>
    </row>
    <row r="401" spans="1:11" ht="12.75" customHeight="1">
      <c r="C401" s="1449" t="s">
        <v>4083</v>
      </c>
      <c r="E401" s="4823" t="s">
        <v>3121</v>
      </c>
      <c r="F401" s="4823"/>
      <c r="G401" s="4823"/>
      <c r="H401" s="4823"/>
    </row>
    <row r="402" spans="1:11" ht="12.75" customHeight="1">
      <c r="C402" s="1450"/>
      <c r="D402" s="642" t="s">
        <v>2984</v>
      </c>
      <c r="E402" s="4823" t="s">
        <v>3122</v>
      </c>
      <c r="F402" s="4823"/>
      <c r="G402" s="4823"/>
      <c r="H402" s="482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3" t="s">
        <v>2985</v>
      </c>
      <c r="F405" s="4823"/>
      <c r="G405" s="4823"/>
      <c r="H405" s="4823"/>
    </row>
    <row r="406" spans="1:11" ht="12.75" customHeight="1">
      <c r="C406" s="1449" t="s">
        <v>4083</v>
      </c>
      <c r="E406" s="4823" t="s">
        <v>3121</v>
      </c>
      <c r="F406" s="4823"/>
      <c r="G406" s="4823"/>
      <c r="H406" s="4823"/>
    </row>
    <row r="407" spans="1:11" ht="12.75" customHeight="1">
      <c r="C407" s="1450"/>
      <c r="D407" s="1448" t="s">
        <v>2984</v>
      </c>
      <c r="E407" s="4826" t="s">
        <v>3122</v>
      </c>
      <c r="F407" s="4826"/>
      <c r="G407" s="4826"/>
      <c r="H407" s="482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3" t="s">
        <v>2985</v>
      </c>
      <c r="F410" s="4823"/>
      <c r="G410" s="4823"/>
      <c r="H410" s="4823"/>
    </row>
    <row r="411" spans="1:11" ht="12.75" customHeight="1">
      <c r="C411" s="1449" t="s">
        <v>4083</v>
      </c>
      <c r="E411" s="4823" t="s">
        <v>3121</v>
      </c>
      <c r="F411" s="4823"/>
      <c r="G411" s="4823"/>
      <c r="H411" s="4823"/>
    </row>
    <row r="412" spans="1:11" ht="12.75" customHeight="1">
      <c r="C412" s="1450"/>
      <c r="D412" s="1448" t="s">
        <v>2984</v>
      </c>
      <c r="E412" s="4826" t="s">
        <v>3122</v>
      </c>
      <c r="F412" s="4826"/>
      <c r="G412" s="4826"/>
      <c r="H412" s="4826"/>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3" t="s">
        <v>2888</v>
      </c>
      <c r="G416" s="4823"/>
      <c r="H416" s="4823"/>
      <c r="K416" s="432" t="s">
        <v>233</v>
      </c>
    </row>
    <row r="417" spans="1:8" ht="12.75" customHeight="1">
      <c r="C417" s="641" t="s">
        <v>1275</v>
      </c>
      <c r="D417" s="639" t="s">
        <v>1846</v>
      </c>
      <c r="E417" s="4823" t="s">
        <v>2986</v>
      </c>
      <c r="F417" s="4823"/>
      <c r="G417" s="4823"/>
      <c r="H417" s="4823"/>
    </row>
    <row r="418" spans="1:8" ht="12.75" customHeight="1">
      <c r="E418" s="4823" t="s">
        <v>3121</v>
      </c>
      <c r="F418" s="4823"/>
      <c r="G418" s="4823"/>
      <c r="H418" s="4823"/>
    </row>
    <row r="419" spans="1:8" ht="12.75" customHeight="1">
      <c r="D419" s="642" t="s">
        <v>2984</v>
      </c>
      <c r="E419" s="4823" t="s">
        <v>3122</v>
      </c>
      <c r="F419" s="4823"/>
      <c r="G419" s="4823"/>
      <c r="H419" s="4823"/>
    </row>
    <row r="420" spans="1:8" ht="9" customHeight="1" thickBot="1"/>
    <row r="421" spans="1:8" ht="16.149999999999999" customHeight="1" thickBot="1">
      <c r="A421" s="4824">
        <v>70</v>
      </c>
      <c r="B421" s="4825"/>
      <c r="C421" s="1451" t="s">
        <v>975</v>
      </c>
    </row>
    <row r="422" spans="1:8" ht="9" customHeight="1">
      <c r="A422" s="611"/>
    </row>
    <row r="423" spans="1:8" ht="28.15" customHeight="1">
      <c r="A423" s="4823" t="s">
        <v>4089</v>
      </c>
      <c r="B423" s="4823"/>
      <c r="C423" s="4823"/>
      <c r="D423" s="4823"/>
      <c r="E423" s="4823"/>
      <c r="F423" s="4823"/>
      <c r="G423" s="4823"/>
      <c r="H423" s="4823"/>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3" t="s">
        <v>2888</v>
      </c>
      <c r="G427" s="4823"/>
      <c r="H427" s="4823"/>
    </row>
    <row r="428" spans="1:8" ht="12.75" customHeight="1">
      <c r="C428" s="641" t="s">
        <v>1275</v>
      </c>
      <c r="D428" s="639" t="s">
        <v>1846</v>
      </c>
      <c r="E428" s="4823" t="s">
        <v>2985</v>
      </c>
      <c r="F428" s="4823"/>
      <c r="G428" s="4823"/>
      <c r="H428" s="4823"/>
    </row>
    <row r="429" spans="1:8" ht="12.75" customHeight="1">
      <c r="C429" s="1449" t="s">
        <v>4083</v>
      </c>
      <c r="E429" s="4823" t="s">
        <v>3121</v>
      </c>
      <c r="F429" s="4823"/>
      <c r="G429" s="4823"/>
      <c r="H429" s="4823"/>
    </row>
    <row r="430" spans="1:8" ht="12.75" customHeight="1">
      <c r="C430" s="1450"/>
      <c r="D430" s="1448" t="s">
        <v>2984</v>
      </c>
      <c r="E430" s="4826" t="s">
        <v>3122</v>
      </c>
      <c r="F430" s="4826"/>
      <c r="G430" s="4826"/>
      <c r="H430" s="482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3" t="s">
        <v>2985</v>
      </c>
      <c r="F433" s="4823"/>
      <c r="G433" s="4823"/>
      <c r="H433" s="4823"/>
    </row>
    <row r="434" spans="1:8" ht="12.75" customHeight="1">
      <c r="C434" s="1449" t="s">
        <v>4083</v>
      </c>
      <c r="E434" s="4823" t="s">
        <v>3121</v>
      </c>
      <c r="F434" s="4823"/>
      <c r="G434" s="4823"/>
      <c r="H434" s="4823"/>
    </row>
    <row r="435" spans="1:8" ht="12.75" customHeight="1">
      <c r="C435" s="1450"/>
      <c r="D435" s="1448" t="s">
        <v>2984</v>
      </c>
      <c r="E435" s="4826" t="s">
        <v>3122</v>
      </c>
      <c r="F435" s="4826"/>
      <c r="G435" s="4826"/>
      <c r="H435" s="482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3" t="s">
        <v>2985</v>
      </c>
      <c r="F438" s="4823"/>
      <c r="G438" s="4823"/>
      <c r="H438" s="4823"/>
    </row>
    <row r="439" spans="1:8" ht="12.75" customHeight="1">
      <c r="C439" s="1449" t="s">
        <v>4083</v>
      </c>
      <c r="E439" s="4823" t="s">
        <v>3121</v>
      </c>
      <c r="F439" s="4823"/>
      <c r="G439" s="4823"/>
      <c r="H439" s="4823"/>
    </row>
    <row r="440" spans="1:8" ht="12.75" customHeight="1">
      <c r="C440" s="1450"/>
      <c r="D440" s="1448" t="s">
        <v>2984</v>
      </c>
      <c r="E440" s="4826" t="s">
        <v>3122</v>
      </c>
      <c r="F440" s="4826"/>
      <c r="G440" s="4826"/>
      <c r="H440" s="4826"/>
    </row>
    <row r="441" spans="1:8" ht="6" customHeight="1">
      <c r="D441" s="639"/>
      <c r="E441" s="1025"/>
      <c r="F441" s="1025"/>
      <c r="G441" s="1025"/>
      <c r="H441" s="1025"/>
    </row>
    <row r="442" spans="1:8">
      <c r="A442" s="620" t="s">
        <v>2980</v>
      </c>
      <c r="B442" s="637">
        <f>IF('Part V-Revenues &amp; Expenses'!$L$57=0,"",'Part V-Revenues &amp; Expenses'!$L$57)</f>
        <v>1</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3" t="s">
        <v>2985</v>
      </c>
      <c r="F445" s="4823"/>
      <c r="G445" s="4823"/>
      <c r="H445" s="4823"/>
    </row>
    <row r="446" spans="1:8" ht="12.75" customHeight="1">
      <c r="C446" s="1449" t="s">
        <v>4083</v>
      </c>
      <c r="E446" s="4823" t="s">
        <v>3121</v>
      </c>
      <c r="F446" s="4823"/>
      <c r="G446" s="4823"/>
      <c r="H446" s="4823"/>
    </row>
    <row r="447" spans="1:8" ht="12.75" customHeight="1">
      <c r="C447" s="1450"/>
      <c r="D447" s="642" t="s">
        <v>2984</v>
      </c>
      <c r="E447" s="4823" t="s">
        <v>3122</v>
      </c>
      <c r="F447" s="4823"/>
      <c r="G447" s="4823"/>
      <c r="H447" s="482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3" t="s">
        <v>2985</v>
      </c>
      <c r="F450" s="4823"/>
      <c r="G450" s="4823"/>
      <c r="H450" s="4823"/>
    </row>
    <row r="451" spans="1:8" ht="12.75" customHeight="1">
      <c r="C451" s="1449" t="s">
        <v>4083</v>
      </c>
      <c r="E451" s="4823" t="s">
        <v>3121</v>
      </c>
      <c r="F451" s="4823"/>
      <c r="G451" s="4823"/>
      <c r="H451" s="4823"/>
    </row>
    <row r="452" spans="1:8" ht="12.75" customHeight="1">
      <c r="C452" s="1450"/>
      <c r="D452" s="1448" t="s">
        <v>2984</v>
      </c>
      <c r="E452" s="4826" t="s">
        <v>3122</v>
      </c>
      <c r="F452" s="4826"/>
      <c r="G452" s="4826"/>
      <c r="H452" s="482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3" t="s">
        <v>2985</v>
      </c>
      <c r="F455" s="4823"/>
      <c r="G455" s="4823"/>
      <c r="H455" s="4823"/>
    </row>
    <row r="456" spans="1:8" ht="12.75" customHeight="1">
      <c r="C456" s="1449" t="s">
        <v>4083</v>
      </c>
      <c r="E456" s="4823" t="s">
        <v>3121</v>
      </c>
      <c r="F456" s="4823"/>
      <c r="G456" s="4823"/>
      <c r="H456" s="4823"/>
    </row>
    <row r="457" spans="1:8" ht="12.75" customHeight="1">
      <c r="C457" s="1450"/>
      <c r="D457" s="1448" t="s">
        <v>2984</v>
      </c>
      <c r="E457" s="4826" t="s">
        <v>3122</v>
      </c>
      <c r="F457" s="4826"/>
      <c r="G457" s="4826"/>
      <c r="H457" s="4826"/>
    </row>
    <row r="458" spans="1:8" ht="6" customHeight="1">
      <c r="D458" s="639"/>
      <c r="E458" s="1025"/>
      <c r="F458" s="1025"/>
      <c r="G458" s="1025"/>
      <c r="H458" s="1025"/>
    </row>
    <row r="459" spans="1:8">
      <c r="A459" s="620" t="s">
        <v>2980</v>
      </c>
      <c r="B459" s="637">
        <f>IF('Part V-Revenues &amp; Expenses'!$M$57=0,"",'Part V-Revenues &amp; Expenses'!$M$57)</f>
        <v>4</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3" t="s">
        <v>2985</v>
      </c>
      <c r="F462" s="4823"/>
      <c r="G462" s="4823"/>
      <c r="H462" s="4823"/>
    </row>
    <row r="463" spans="1:8" ht="12.75" customHeight="1">
      <c r="C463" s="1449" t="s">
        <v>4083</v>
      </c>
      <c r="E463" s="4823" t="s">
        <v>3121</v>
      </c>
      <c r="F463" s="4823"/>
      <c r="G463" s="4823"/>
      <c r="H463" s="4823"/>
    </row>
    <row r="464" spans="1:8" ht="12.75" customHeight="1">
      <c r="C464" s="1450"/>
      <c r="D464" s="642" t="s">
        <v>2984</v>
      </c>
      <c r="E464" s="4823" t="s">
        <v>3122</v>
      </c>
      <c r="F464" s="4823"/>
      <c r="G464" s="4823"/>
      <c r="H464" s="482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3" t="s">
        <v>2985</v>
      </c>
      <c r="F467" s="4823"/>
      <c r="G467" s="4823"/>
      <c r="H467" s="4823"/>
    </row>
    <row r="468" spans="1:8" ht="12.75" customHeight="1">
      <c r="C468" s="1449" t="s">
        <v>4083</v>
      </c>
      <c r="E468" s="4823" t="s">
        <v>3121</v>
      </c>
      <c r="F468" s="4823"/>
      <c r="G468" s="4823"/>
      <c r="H468" s="4823"/>
    </row>
    <row r="469" spans="1:8" ht="12.75" customHeight="1">
      <c r="C469" s="1450"/>
      <c r="D469" s="1448" t="s">
        <v>2984</v>
      </c>
      <c r="E469" s="4826" t="s">
        <v>3122</v>
      </c>
      <c r="F469" s="4826"/>
      <c r="G469" s="4826"/>
      <c r="H469" s="482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3" t="s">
        <v>2985</v>
      </c>
      <c r="F472" s="4823"/>
      <c r="G472" s="4823"/>
      <c r="H472" s="4823"/>
    </row>
    <row r="473" spans="1:8" ht="12.75" customHeight="1">
      <c r="C473" s="1449" t="s">
        <v>4083</v>
      </c>
      <c r="E473" s="4823" t="s">
        <v>3121</v>
      </c>
      <c r="F473" s="4823"/>
      <c r="G473" s="4823"/>
      <c r="H473" s="4823"/>
    </row>
    <row r="474" spans="1:8" ht="12.75" customHeight="1">
      <c r="C474" s="1450"/>
      <c r="D474" s="1448" t="s">
        <v>2984</v>
      </c>
      <c r="E474" s="4826" t="s">
        <v>3122</v>
      </c>
      <c r="F474" s="4826"/>
      <c r="G474" s="4826"/>
      <c r="H474" s="4826"/>
    </row>
    <row r="475" spans="1:8" ht="6" customHeight="1">
      <c r="D475" s="639"/>
      <c r="E475" s="1025"/>
      <c r="F475" s="1025"/>
      <c r="G475" s="1025"/>
      <c r="H475" s="1025"/>
    </row>
    <row r="476" spans="1:8">
      <c r="A476" s="620" t="s">
        <v>2980</v>
      </c>
      <c r="B476" s="637">
        <f>IF('Part V-Revenues &amp; Expenses'!$N$57=0,"",'Part V-Revenues &amp; Expenses'!$N$57)</f>
        <v>2</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3" t="s">
        <v>2985</v>
      </c>
      <c r="F479" s="4823"/>
      <c r="G479" s="4823"/>
      <c r="H479" s="4823"/>
    </row>
    <row r="480" spans="1:8" ht="12.75" customHeight="1">
      <c r="C480" s="1449" t="s">
        <v>4083</v>
      </c>
      <c r="E480" s="4823" t="s">
        <v>3121</v>
      </c>
      <c r="F480" s="4823"/>
      <c r="G480" s="4823"/>
      <c r="H480" s="4823"/>
    </row>
    <row r="481" spans="1:11" ht="12.75" customHeight="1">
      <c r="C481" s="1450"/>
      <c r="D481" s="642" t="s">
        <v>2984</v>
      </c>
      <c r="E481" s="4823" t="s">
        <v>3122</v>
      </c>
      <c r="F481" s="4823"/>
      <c r="G481" s="4823"/>
      <c r="H481" s="482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3" t="s">
        <v>2985</v>
      </c>
      <c r="F484" s="4823"/>
      <c r="G484" s="4823"/>
      <c r="H484" s="4823"/>
    </row>
    <row r="485" spans="1:11" ht="12.75" customHeight="1">
      <c r="C485" s="1449" t="s">
        <v>4083</v>
      </c>
      <c r="E485" s="4823" t="s">
        <v>3121</v>
      </c>
      <c r="F485" s="4823"/>
      <c r="G485" s="4823"/>
      <c r="H485" s="4823"/>
    </row>
    <row r="486" spans="1:11" ht="12.75" customHeight="1">
      <c r="C486" s="1450"/>
      <c r="D486" s="1448" t="s">
        <v>2984</v>
      </c>
      <c r="E486" s="4826" t="s">
        <v>3122</v>
      </c>
      <c r="F486" s="4826"/>
      <c r="G486" s="4826"/>
      <c r="H486" s="482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3" t="s">
        <v>2985</v>
      </c>
      <c r="F489" s="4823"/>
      <c r="G489" s="4823"/>
      <c r="H489" s="4823"/>
    </row>
    <row r="490" spans="1:11" ht="12.75" customHeight="1">
      <c r="C490" s="1449" t="s">
        <v>4083</v>
      </c>
      <c r="E490" s="4823" t="s">
        <v>3121</v>
      </c>
      <c r="F490" s="4823"/>
      <c r="G490" s="4823"/>
      <c r="H490" s="4823"/>
    </row>
    <row r="491" spans="1:11" ht="12.75" customHeight="1">
      <c r="C491" s="1450"/>
      <c r="D491" s="1448" t="s">
        <v>2984</v>
      </c>
      <c r="E491" s="4826" t="s">
        <v>3122</v>
      </c>
      <c r="F491" s="4826"/>
      <c r="G491" s="4826"/>
      <c r="H491" s="4826"/>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3" t="s">
        <v>2888</v>
      </c>
      <c r="G495" s="4823"/>
      <c r="H495" s="4823"/>
      <c r="K495" s="432" t="s">
        <v>233</v>
      </c>
    </row>
    <row r="496" spans="1:11" ht="12.75" customHeight="1">
      <c r="C496" s="641" t="s">
        <v>1275</v>
      </c>
      <c r="D496" s="639" t="s">
        <v>1846</v>
      </c>
      <c r="E496" s="4823" t="s">
        <v>2986</v>
      </c>
      <c r="F496" s="4823"/>
      <c r="G496" s="4823"/>
      <c r="H496" s="4823"/>
    </row>
    <row r="497" spans="1:8" ht="12.75" customHeight="1">
      <c r="E497" s="4823" t="s">
        <v>3121</v>
      </c>
      <c r="F497" s="4823"/>
      <c r="G497" s="4823"/>
      <c r="H497" s="4823"/>
    </row>
    <row r="498" spans="1:8" ht="12.75" customHeight="1">
      <c r="D498" s="642" t="s">
        <v>2984</v>
      </c>
      <c r="E498" s="4823" t="s">
        <v>3122</v>
      </c>
      <c r="F498" s="4823"/>
      <c r="G498" s="4823"/>
      <c r="H498" s="4823"/>
    </row>
    <row r="499" spans="1:8" ht="9" customHeight="1" thickBot="1"/>
    <row r="500" spans="1:8" ht="16.149999999999999" customHeight="1" thickBot="1">
      <c r="A500" s="4824">
        <v>80</v>
      </c>
      <c r="B500" s="4825"/>
      <c r="C500" s="1451" t="s">
        <v>975</v>
      </c>
    </row>
    <row r="501" spans="1:8" ht="9" customHeight="1">
      <c r="A501" s="611"/>
    </row>
    <row r="502" spans="1:8" ht="28.15" customHeight="1">
      <c r="A502" s="4823" t="s">
        <v>4090</v>
      </c>
      <c r="B502" s="4823"/>
      <c r="C502" s="4823"/>
      <c r="D502" s="4823"/>
      <c r="E502" s="4823"/>
      <c r="F502" s="4823"/>
      <c r="G502" s="4823"/>
      <c r="H502" s="4823"/>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3" t="s">
        <v>2888</v>
      </c>
      <c r="G506" s="4823"/>
      <c r="H506" s="4823"/>
    </row>
    <row r="507" spans="1:8" ht="12.75" customHeight="1">
      <c r="C507" s="641" t="s">
        <v>1275</v>
      </c>
      <c r="D507" s="639" t="s">
        <v>1846</v>
      </c>
      <c r="E507" s="4823" t="s">
        <v>2985</v>
      </c>
      <c r="F507" s="4823"/>
      <c r="G507" s="4823"/>
      <c r="H507" s="4823"/>
    </row>
    <row r="508" spans="1:8" ht="12.75" customHeight="1">
      <c r="C508" s="1449" t="s">
        <v>4083</v>
      </c>
      <c r="E508" s="4823" t="s">
        <v>3121</v>
      </c>
      <c r="F508" s="4823"/>
      <c r="G508" s="4823"/>
      <c r="H508" s="4823"/>
    </row>
    <row r="509" spans="1:8" ht="12.75" customHeight="1">
      <c r="C509" s="1450"/>
      <c r="D509" s="1448" t="s">
        <v>2984</v>
      </c>
      <c r="E509" s="4826" t="s">
        <v>3122</v>
      </c>
      <c r="F509" s="4826"/>
      <c r="G509" s="4826"/>
      <c r="H509" s="482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3" t="s">
        <v>2985</v>
      </c>
      <c r="F512" s="4823"/>
      <c r="G512" s="4823"/>
      <c r="H512" s="4823"/>
    </row>
    <row r="513" spans="1:8" ht="12.75" customHeight="1">
      <c r="C513" s="1449" t="s">
        <v>4083</v>
      </c>
      <c r="E513" s="4823" t="s">
        <v>3121</v>
      </c>
      <c r="F513" s="4823"/>
      <c r="G513" s="4823"/>
      <c r="H513" s="4823"/>
    </row>
    <row r="514" spans="1:8" ht="12.75" customHeight="1">
      <c r="C514" s="1450"/>
      <c r="D514" s="1448" t="s">
        <v>2984</v>
      </c>
      <c r="E514" s="4826" t="s">
        <v>3122</v>
      </c>
      <c r="F514" s="4826"/>
      <c r="G514" s="4826"/>
      <c r="H514" s="482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3" t="s">
        <v>2985</v>
      </c>
      <c r="F517" s="4823"/>
      <c r="G517" s="4823"/>
      <c r="H517" s="4823"/>
    </row>
    <row r="518" spans="1:8" ht="12.75" customHeight="1">
      <c r="C518" s="1449" t="s">
        <v>4083</v>
      </c>
      <c r="E518" s="4823" t="s">
        <v>3121</v>
      </c>
      <c r="F518" s="4823"/>
      <c r="G518" s="4823"/>
      <c r="H518" s="4823"/>
    </row>
    <row r="519" spans="1:8" ht="12.75" customHeight="1">
      <c r="C519" s="1450"/>
      <c r="D519" s="1448" t="s">
        <v>2984</v>
      </c>
      <c r="E519" s="4826" t="s">
        <v>3122</v>
      </c>
      <c r="F519" s="4826"/>
      <c r="G519" s="4826"/>
      <c r="H519" s="4826"/>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3" t="s">
        <v>2985</v>
      </c>
      <c r="F524" s="4823"/>
      <c r="G524" s="4823"/>
      <c r="H524" s="4823"/>
    </row>
    <row r="525" spans="1:8" ht="12.75" customHeight="1">
      <c r="C525" s="1449" t="s">
        <v>4083</v>
      </c>
      <c r="E525" s="4823" t="s">
        <v>3121</v>
      </c>
      <c r="F525" s="4823"/>
      <c r="G525" s="4823"/>
      <c r="H525" s="4823"/>
    </row>
    <row r="526" spans="1:8" ht="12.75" customHeight="1">
      <c r="C526" s="1450"/>
      <c r="D526" s="642" t="s">
        <v>2984</v>
      </c>
      <c r="E526" s="4823" t="s">
        <v>3122</v>
      </c>
      <c r="F526" s="4823"/>
      <c r="G526" s="4823"/>
      <c r="H526" s="482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3" t="s">
        <v>2985</v>
      </c>
      <c r="F529" s="4823"/>
      <c r="G529" s="4823"/>
      <c r="H529" s="4823"/>
    </row>
    <row r="530" spans="1:8" ht="12.75" customHeight="1">
      <c r="C530" s="1449" t="s">
        <v>4083</v>
      </c>
      <c r="E530" s="4823" t="s">
        <v>3121</v>
      </c>
      <c r="F530" s="4823"/>
      <c r="G530" s="4823"/>
      <c r="H530" s="4823"/>
    </row>
    <row r="531" spans="1:8" ht="12.75" customHeight="1">
      <c r="C531" s="1450"/>
      <c r="D531" s="1448" t="s">
        <v>2984</v>
      </c>
      <c r="E531" s="4826" t="s">
        <v>3122</v>
      </c>
      <c r="F531" s="4826"/>
      <c r="G531" s="4826"/>
      <c r="H531" s="482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3" t="s">
        <v>2985</v>
      </c>
      <c r="F534" s="4823"/>
      <c r="G534" s="4823"/>
      <c r="H534" s="4823"/>
    </row>
    <row r="535" spans="1:8" ht="12.75" customHeight="1">
      <c r="C535" s="1449" t="s">
        <v>4083</v>
      </c>
      <c r="E535" s="4823" t="s">
        <v>3121</v>
      </c>
      <c r="F535" s="4823"/>
      <c r="G535" s="4823"/>
      <c r="H535" s="4823"/>
    </row>
    <row r="536" spans="1:8" ht="12.75" customHeight="1">
      <c r="C536" s="1450"/>
      <c r="D536" s="1448" t="s">
        <v>2984</v>
      </c>
      <c r="E536" s="4826" t="s">
        <v>3122</v>
      </c>
      <c r="F536" s="4826"/>
      <c r="G536" s="4826"/>
      <c r="H536" s="4826"/>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3" t="s">
        <v>2985</v>
      </c>
      <c r="F541" s="4823"/>
      <c r="G541" s="4823"/>
      <c r="H541" s="4823"/>
    </row>
    <row r="542" spans="1:8" ht="12.75" customHeight="1">
      <c r="C542" s="1449" t="s">
        <v>4083</v>
      </c>
      <c r="E542" s="4823" t="s">
        <v>3121</v>
      </c>
      <c r="F542" s="4823"/>
      <c r="G542" s="4823"/>
      <c r="H542" s="4823"/>
    </row>
    <row r="543" spans="1:8" ht="12.75" customHeight="1">
      <c r="C543" s="1450"/>
      <c r="D543" s="642" t="s">
        <v>2984</v>
      </c>
      <c r="E543" s="4823" t="s">
        <v>3122</v>
      </c>
      <c r="F543" s="4823"/>
      <c r="G543" s="4823"/>
      <c r="H543" s="482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3" t="s">
        <v>2985</v>
      </c>
      <c r="F546" s="4823"/>
      <c r="G546" s="4823"/>
      <c r="H546" s="4823"/>
    </row>
    <row r="547" spans="1:8" ht="12.75" customHeight="1">
      <c r="C547" s="1449" t="s">
        <v>4083</v>
      </c>
      <c r="E547" s="4823" t="s">
        <v>3121</v>
      </c>
      <c r="F547" s="4823"/>
      <c r="G547" s="4823"/>
      <c r="H547" s="4823"/>
    </row>
    <row r="548" spans="1:8" ht="12.75" customHeight="1">
      <c r="C548" s="1450"/>
      <c r="D548" s="1448" t="s">
        <v>2984</v>
      </c>
      <c r="E548" s="4826" t="s">
        <v>3122</v>
      </c>
      <c r="F548" s="4826"/>
      <c r="G548" s="4826"/>
      <c r="H548" s="482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3" t="s">
        <v>2985</v>
      </c>
      <c r="F551" s="4823"/>
      <c r="G551" s="4823"/>
      <c r="H551" s="4823"/>
    </row>
    <row r="552" spans="1:8" ht="12.75" customHeight="1">
      <c r="C552" s="1449" t="s">
        <v>4083</v>
      </c>
      <c r="E552" s="4823" t="s">
        <v>3121</v>
      </c>
      <c r="F552" s="4823"/>
      <c r="G552" s="4823"/>
      <c r="H552" s="4823"/>
    </row>
    <row r="553" spans="1:8" ht="12.75" customHeight="1">
      <c r="C553" s="1450"/>
      <c r="D553" s="1448" t="s">
        <v>2984</v>
      </c>
      <c r="E553" s="4826" t="s">
        <v>3122</v>
      </c>
      <c r="F553" s="4826"/>
      <c r="G553" s="4826"/>
      <c r="H553" s="4826"/>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3" t="s">
        <v>2985</v>
      </c>
      <c r="F558" s="4823"/>
      <c r="G558" s="4823"/>
      <c r="H558" s="4823"/>
    </row>
    <row r="559" spans="1:8" ht="12.75" customHeight="1">
      <c r="C559" s="1449" t="s">
        <v>4083</v>
      </c>
      <c r="E559" s="4823" t="s">
        <v>3121</v>
      </c>
      <c r="F559" s="4823"/>
      <c r="G559" s="4823"/>
      <c r="H559" s="4823"/>
    </row>
    <row r="560" spans="1:8" ht="12.75" customHeight="1">
      <c r="C560" s="1450"/>
      <c r="D560" s="642" t="s">
        <v>2984</v>
      </c>
      <c r="E560" s="4823" t="s">
        <v>3122</v>
      </c>
      <c r="F560" s="4823"/>
      <c r="G560" s="4823"/>
      <c r="H560" s="482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3" t="s">
        <v>2985</v>
      </c>
      <c r="F563" s="4823"/>
      <c r="G563" s="4823"/>
      <c r="H563" s="4823"/>
    </row>
    <row r="564" spans="1:11" ht="12.75" customHeight="1">
      <c r="C564" s="1449" t="s">
        <v>4083</v>
      </c>
      <c r="E564" s="4823" t="s">
        <v>3121</v>
      </c>
      <c r="F564" s="4823"/>
      <c r="G564" s="4823"/>
      <c r="H564" s="4823"/>
    </row>
    <row r="565" spans="1:11" ht="12.75" customHeight="1">
      <c r="C565" s="1450"/>
      <c r="D565" s="1448" t="s">
        <v>2984</v>
      </c>
      <c r="E565" s="4826" t="s">
        <v>3122</v>
      </c>
      <c r="F565" s="4826"/>
      <c r="G565" s="4826"/>
      <c r="H565" s="482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3" t="s">
        <v>2985</v>
      </c>
      <c r="F568" s="4823"/>
      <c r="G568" s="4823"/>
      <c r="H568" s="4823"/>
    </row>
    <row r="569" spans="1:11" ht="12.75" customHeight="1">
      <c r="C569" s="1449" t="s">
        <v>4083</v>
      </c>
      <c r="E569" s="4823" t="s">
        <v>3121</v>
      </c>
      <c r="F569" s="4823"/>
      <c r="G569" s="4823"/>
      <c r="H569" s="4823"/>
    </row>
    <row r="570" spans="1:11" ht="12.75" customHeight="1">
      <c r="C570" s="1450"/>
      <c r="D570" s="1448" t="s">
        <v>2984</v>
      </c>
      <c r="E570" s="4826" t="s">
        <v>3122</v>
      </c>
      <c r="F570" s="4826"/>
      <c r="G570" s="4826"/>
      <c r="H570" s="4826"/>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3" t="s">
        <v>2888</v>
      </c>
      <c r="G574" s="4823"/>
      <c r="H574" s="4823"/>
      <c r="K574" s="432" t="s">
        <v>233</v>
      </c>
    </row>
    <row r="575" spans="1:11" ht="12.75" customHeight="1">
      <c r="C575" s="641" t="s">
        <v>1275</v>
      </c>
      <c r="D575" s="639" t="s">
        <v>1846</v>
      </c>
      <c r="E575" s="4823" t="s">
        <v>2986</v>
      </c>
      <c r="F575" s="4823"/>
      <c r="G575" s="4823"/>
      <c r="H575" s="4823"/>
    </row>
    <row r="576" spans="1:11" ht="12.75" customHeight="1">
      <c r="E576" s="4823" t="s">
        <v>3121</v>
      </c>
      <c r="F576" s="4823"/>
      <c r="G576" s="4823"/>
      <c r="H576" s="4823"/>
    </row>
    <row r="577" spans="4:8" ht="12.75" customHeight="1">
      <c r="D577" s="642" t="s">
        <v>2984</v>
      </c>
      <c r="E577" s="4823" t="s">
        <v>3122</v>
      </c>
      <c r="F577" s="4823"/>
      <c r="G577" s="4823"/>
      <c r="H577" s="4823"/>
    </row>
    <row r="578" spans="4:8" ht="9" customHeight="1"/>
    <row r="579" spans="4:8" ht="7.5" customHeight="1">
      <c r="E579" s="4823"/>
      <c r="F579" s="4823"/>
      <c r="G579" s="4823"/>
      <c r="H579" s="4823"/>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West Pine Residences, Sylvester, Worth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West Pine Residences</v>
      </c>
    </row>
    <row r="2" spans="1:14">
      <c r="A2" s="560" t="s">
        <v>2882</v>
      </c>
      <c r="H2" s="432" t="str">
        <f>'Sensitivity Analysis'!E8</f>
        <v>2023-0</v>
      </c>
    </row>
    <row r="3" spans="1:14" ht="3" customHeight="1"/>
    <row r="4" spans="1:14" ht="69.599999999999994" customHeight="1">
      <c r="A4" s="4827" t="s">
        <v>2978</v>
      </c>
      <c r="B4" s="4827"/>
      <c r="C4" s="4827"/>
      <c r="D4" s="4827"/>
      <c r="E4" s="4827"/>
      <c r="F4" s="4827"/>
      <c r="G4" s="4827"/>
      <c r="H4" s="4827"/>
      <c r="I4" s="4827"/>
      <c r="J4" s="4827"/>
      <c r="K4" s="4827"/>
      <c r="L4" s="4869">
        <f>SUM('Part VI-Pro Forma'!B15:B17)/12</f>
        <v>23487.335999999999</v>
      </c>
      <c r="M4" s="4869"/>
      <c r="N4" s="1493" t="s">
        <v>3663</v>
      </c>
    </row>
    <row r="5" spans="1:14" ht="1.5" customHeight="1"/>
    <row r="6" spans="1:14" ht="12.75" customHeight="1">
      <c r="B6" s="635" t="s">
        <v>2240</v>
      </c>
      <c r="C6" s="617" t="s">
        <v>2883</v>
      </c>
      <c r="D6" s="617"/>
      <c r="E6" s="617"/>
      <c r="F6" s="617"/>
      <c r="G6" s="617"/>
      <c r="H6" s="617"/>
    </row>
    <row r="7" spans="1:14" ht="12.75" customHeight="1">
      <c r="B7" s="635" t="s">
        <v>2241</v>
      </c>
      <c r="C7" s="4827" t="s">
        <v>2884</v>
      </c>
      <c r="D7" s="4827"/>
      <c r="E7" s="4827"/>
      <c r="F7" s="4827"/>
      <c r="G7" s="4827"/>
      <c r="H7" s="4827"/>
      <c r="I7" s="4827"/>
      <c r="J7" s="4827"/>
      <c r="K7" s="4827"/>
      <c r="L7" s="4827"/>
      <c r="M7" s="4827"/>
    </row>
    <row r="8" spans="1:14" ht="3" customHeight="1"/>
    <row r="9" spans="1:14">
      <c r="A9" s="432" t="s">
        <v>2885</v>
      </c>
    </row>
    <row r="10" spans="1:14" ht="1.5" customHeight="1"/>
    <row r="11" spans="1:14" ht="26.25" customHeight="1">
      <c r="A11" s="636" t="s">
        <v>1841</v>
      </c>
      <c r="B11" s="4827" t="s">
        <v>2975</v>
      </c>
      <c r="C11" s="4827"/>
      <c r="D11" s="4827"/>
      <c r="E11" s="4827"/>
      <c r="F11" s="4827"/>
      <c r="G11" s="4827"/>
      <c r="H11" s="4827"/>
      <c r="I11" s="4827"/>
      <c r="J11" s="4827"/>
      <c r="K11" s="4827"/>
      <c r="L11" s="4828">
        <f>'Part II-Sources of Funds'!I51+'Part II-Sources of Funds'!I52</f>
        <v>13313919</v>
      </c>
      <c r="M11" s="4828"/>
    </row>
    <row r="12" spans="1:14" ht="1.5" customHeight="1">
      <c r="G12" s="617"/>
      <c r="H12" s="617"/>
    </row>
    <row r="13" spans="1:14" ht="25.9" customHeight="1">
      <c r="A13" s="636" t="s">
        <v>1843</v>
      </c>
      <c r="B13" s="4827" t="s">
        <v>2976</v>
      </c>
      <c r="C13" s="4827"/>
      <c r="D13" s="4827"/>
      <c r="E13" s="4827"/>
      <c r="F13" s="4827"/>
      <c r="G13" s="4827"/>
      <c r="H13" s="4827"/>
      <c r="I13" s="4827"/>
      <c r="J13" s="4827"/>
      <c r="K13" s="4827"/>
      <c r="L13" s="4829" t="s">
        <v>2813</v>
      </c>
      <c r="M13" s="4829"/>
    </row>
    <row r="14" spans="1:14">
      <c r="A14" s="636"/>
      <c r="B14" s="4784"/>
      <c r="C14" s="4784"/>
      <c r="D14" s="4784"/>
      <c r="E14" s="4784"/>
      <c r="F14" s="4784"/>
      <c r="G14" s="4784"/>
      <c r="H14" s="4784"/>
    </row>
    <row r="15" spans="1:14" ht="3" customHeight="1"/>
    <row r="16" spans="1:14">
      <c r="A16" s="636" t="s">
        <v>698</v>
      </c>
      <c r="B16" s="432" t="s">
        <v>2979</v>
      </c>
      <c r="L16" s="4830" t="s">
        <v>2652</v>
      </c>
      <c r="M16" s="4830"/>
    </row>
    <row r="17" spans="1:19" ht="1.5" customHeight="1">
      <c r="L17" s="620"/>
    </row>
    <row r="18" spans="1:19" ht="12" customHeight="1">
      <c r="A18" s="636" t="s">
        <v>1962</v>
      </c>
      <c r="B18" s="617" t="s">
        <v>2977</v>
      </c>
      <c r="C18" s="636"/>
      <c r="D18" s="636"/>
      <c r="E18" s="636"/>
      <c r="L18" s="4784" t="s">
        <v>2514</v>
      </c>
      <c r="M18" s="4784"/>
    </row>
    <row r="19" spans="1:19" ht="12" hidden="1" customHeight="1">
      <c r="B19" s="4784"/>
      <c r="C19" s="4784"/>
      <c r="D19" s="4784"/>
      <c r="E19" s="4784"/>
      <c r="F19" s="4784"/>
      <c r="G19" s="4784"/>
      <c r="H19" s="4784"/>
    </row>
    <row r="20" spans="1:19" ht="13.5" customHeight="1"/>
    <row r="21" spans="1:19" ht="12" customHeight="1">
      <c r="A21" s="560" t="s">
        <v>2886</v>
      </c>
    </row>
    <row r="22" spans="1:19" ht="3" customHeight="1"/>
    <row r="23" spans="1:19" ht="42.6" customHeight="1">
      <c r="A23" s="4831" t="s">
        <v>4080</v>
      </c>
      <c r="B23" s="4831"/>
      <c r="C23" s="4831"/>
      <c r="D23" s="4831"/>
      <c r="E23" s="4831"/>
      <c r="F23" s="4831"/>
      <c r="G23" s="4831"/>
      <c r="H23" s="4831"/>
      <c r="I23" s="4831"/>
      <c r="J23" s="4831"/>
      <c r="K23" s="4831"/>
      <c r="L23" s="4831"/>
      <c r="M23" s="4831"/>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1</v>
      </c>
      <c r="G26" s="1585">
        <f>'Part V-Revenues &amp; Expenses'!M57</f>
        <v>4</v>
      </c>
      <c r="H26" s="1585">
        <f>'Part V-Revenues &amp; Expenses'!N57</f>
        <v>2</v>
      </c>
      <c r="I26" s="1585">
        <f>'Part V-Revenues &amp; Expenses'!O57</f>
        <v>0</v>
      </c>
      <c r="J26" s="1586">
        <f>'Part V-Revenues &amp; Expenses'!P57</f>
        <v>7</v>
      </c>
      <c r="K26" s="432"/>
      <c r="S26" s="432"/>
    </row>
    <row r="27" spans="1:19" ht="15" customHeight="1">
      <c r="C27" s="736" t="s">
        <v>1081</v>
      </c>
      <c r="D27" s="439"/>
      <c r="E27" s="1584">
        <f>'Part V-Revenues &amp; Expenses'!K58</f>
        <v>0</v>
      </c>
      <c r="F27" s="1585">
        <f>'Part V-Revenues &amp; Expenses'!L58</f>
        <v>3</v>
      </c>
      <c r="G27" s="1585">
        <f>'Part V-Revenues &amp; Expenses'!M58</f>
        <v>11</v>
      </c>
      <c r="H27" s="1585">
        <f>'Part V-Revenues &amp; Expenses'!N58</f>
        <v>7</v>
      </c>
      <c r="I27" s="1585">
        <f>'Part V-Revenues &amp; Expenses'!O58</f>
        <v>0</v>
      </c>
      <c r="J27" s="1586">
        <f>'Part V-Revenues &amp; Expenses'!P58</f>
        <v>21</v>
      </c>
      <c r="K27" s="432"/>
      <c r="S27" s="432"/>
    </row>
    <row r="28" spans="1:19" ht="15" customHeight="1">
      <c r="C28" s="736" t="s">
        <v>112</v>
      </c>
      <c r="D28" s="439"/>
      <c r="E28" s="1584">
        <f>'Part V-Revenues &amp; Expenses'!K59</f>
        <v>0</v>
      </c>
      <c r="F28" s="1585">
        <f>'Part V-Revenues &amp; Expenses'!L59</f>
        <v>2</v>
      </c>
      <c r="G28" s="1585">
        <f>'Part V-Revenues &amp; Expenses'!M59</f>
        <v>9</v>
      </c>
      <c r="H28" s="1585">
        <f>'Part V-Revenues &amp; Expenses'!N59</f>
        <v>5</v>
      </c>
      <c r="I28" s="1585">
        <f>'Part V-Revenues &amp; Expenses'!O59</f>
        <v>0</v>
      </c>
      <c r="J28" s="1586">
        <f>'Part V-Revenues &amp; Expenses'!P59</f>
        <v>16</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6</v>
      </c>
      <c r="G32" s="1579">
        <f>'Part V-Revenues &amp; Expenses'!M63</f>
        <v>24</v>
      </c>
      <c r="H32" s="1579">
        <f>'Part V-Revenues &amp; Expenses'!N63</f>
        <v>14</v>
      </c>
      <c r="I32" s="1579">
        <f>'Part V-Revenues &amp; Expenses'!O63</f>
        <v>0</v>
      </c>
      <c r="J32" s="1588">
        <f>'Part V-Revenues &amp; Expenses'!P63</f>
        <v>44</v>
      </c>
      <c r="K32" s="432"/>
      <c r="S32" s="432"/>
    </row>
    <row r="33" spans="1:12" s="432" customFormat="1" ht="13.15" customHeight="1" thickBot="1">
      <c r="K33" s="1492"/>
    </row>
    <row r="34" spans="1:12" s="432" customFormat="1" ht="14.25" customHeight="1" thickBot="1">
      <c r="A34" s="1492"/>
      <c r="B34" s="4843" t="s">
        <v>6171</v>
      </c>
      <c r="E34" s="4844" t="s">
        <v>6067</v>
      </c>
      <c r="F34" s="4845"/>
      <c r="G34" s="4845"/>
      <c r="H34" s="4845"/>
      <c r="I34" s="4845"/>
      <c r="J34" s="4845"/>
      <c r="K34" s="4845"/>
      <c r="L34" s="4846"/>
    </row>
    <row r="35" spans="1:12" s="432" customFormat="1" ht="14.25" customHeight="1">
      <c r="A35" s="1492"/>
      <c r="B35" s="4843"/>
      <c r="C35" s="4847" t="s">
        <v>6172</v>
      </c>
      <c r="D35" s="4843" t="s">
        <v>6173</v>
      </c>
      <c r="E35" s="4848" t="s">
        <v>6070</v>
      </c>
      <c r="F35" s="4849"/>
      <c r="G35" s="4852" t="s">
        <v>1275</v>
      </c>
      <c r="H35" s="4854" t="s">
        <v>6066</v>
      </c>
      <c r="I35" s="4855"/>
      <c r="J35" s="4855"/>
      <c r="K35" s="4855"/>
      <c r="L35" s="4856"/>
    </row>
    <row r="36" spans="1:12" s="432" customFormat="1" ht="23.25" customHeight="1">
      <c r="A36" s="4847" t="s">
        <v>975</v>
      </c>
      <c r="B36" s="4843"/>
      <c r="C36" s="4847"/>
      <c r="D36" s="4843"/>
      <c r="E36" s="4850"/>
      <c r="F36" s="4851"/>
      <c r="G36" s="4853"/>
      <c r="H36" s="4857" t="s">
        <v>6068</v>
      </c>
      <c r="I36" s="4858"/>
      <c r="J36" s="4861" t="s">
        <v>1275</v>
      </c>
      <c r="K36" s="4858" t="s">
        <v>6069</v>
      </c>
      <c r="L36" s="4863"/>
    </row>
    <row r="37" spans="1:12" s="432" customFormat="1" ht="23.25" customHeight="1">
      <c r="A37" s="4847"/>
      <c r="B37" s="4843"/>
      <c r="C37" s="4847"/>
      <c r="D37" s="4843"/>
      <c r="E37" s="4850"/>
      <c r="F37" s="4851"/>
      <c r="G37" s="4853"/>
      <c r="H37" s="4857"/>
      <c r="I37" s="4858"/>
      <c r="J37" s="4862"/>
      <c r="K37" s="4858"/>
      <c r="L37" s="4863"/>
    </row>
    <row r="38" spans="1:12" s="432" customFormat="1" ht="23.25" customHeight="1">
      <c r="A38" s="4843"/>
      <c r="B38" s="4843"/>
      <c r="C38" s="4843"/>
      <c r="D38" s="4843"/>
      <c r="E38" s="4850"/>
      <c r="F38" s="4851"/>
      <c r="G38" s="4853"/>
      <c r="H38" s="4859"/>
      <c r="I38" s="4860"/>
      <c r="J38" s="4862"/>
      <c r="K38" s="4860"/>
      <c r="L38" s="4864"/>
    </row>
    <row r="39" spans="1:12" s="432" customFormat="1" ht="13.15" customHeight="1">
      <c r="A39" s="1571">
        <f>'Part V-Revenues &amp; Expenses'!B18</f>
        <v>50</v>
      </c>
      <c r="B39" s="1572">
        <f>'Part V-Revenues &amp; Expenses'!E18</f>
        <v>2</v>
      </c>
      <c r="C39" s="1573" t="str">
        <f>_xlfn.CONCAT('Part V-Revenues &amp; Expenses'!C18," / ",'Part V-Revenues &amp; Expenses'!D18)</f>
        <v>1 / 1</v>
      </c>
      <c r="D39" s="1572">
        <f>'Part V-Revenues &amp; Expenses'!F18</f>
        <v>750</v>
      </c>
      <c r="E39" s="4867">
        <f>'Part V-Revenues &amp; Expenses'!H18</f>
        <v>554</v>
      </c>
      <c r="F39" s="4868"/>
      <c r="G39" s="439"/>
      <c r="H39" s="4837"/>
      <c r="I39" s="4838"/>
      <c r="J39" s="4838"/>
      <c r="K39" s="4838"/>
      <c r="L39" s="4839"/>
    </row>
    <row r="40" spans="1:12" s="432" customFormat="1" ht="13.15" customHeight="1">
      <c r="A40" s="1574">
        <f>'Part V-Revenues &amp; Expenses'!B19</f>
        <v>50</v>
      </c>
      <c r="B40" s="1575">
        <f>'Part V-Revenues &amp; Expenses'!E19</f>
        <v>9</v>
      </c>
      <c r="C40" s="1576" t="str">
        <f>_xlfn.CONCAT('Part V-Revenues &amp; Expenses'!C19," / ",'Part V-Revenues &amp; Expenses'!D19)</f>
        <v>2 / 2</v>
      </c>
      <c r="D40" s="1575">
        <f>'Part V-Revenues &amp; Expenses'!F19</f>
        <v>964</v>
      </c>
      <c r="E40" s="4835">
        <f>'Part V-Revenues &amp; Expenses'!H19</f>
        <v>622</v>
      </c>
      <c r="F40" s="4836"/>
      <c r="G40" s="439"/>
      <c r="H40" s="4832"/>
      <c r="I40" s="4833"/>
      <c r="J40" s="4833"/>
      <c r="K40" s="4833"/>
      <c r="L40" s="4834"/>
    </row>
    <row r="41" spans="1:12" s="432" customFormat="1" ht="13.15" customHeight="1">
      <c r="A41" s="1574">
        <f>'Part V-Revenues &amp; Expenses'!B20</f>
        <v>50</v>
      </c>
      <c r="B41" s="1575">
        <f>'Part V-Revenues &amp; Expenses'!E20</f>
        <v>5</v>
      </c>
      <c r="C41" s="1576" t="str">
        <f>_xlfn.CONCAT('Part V-Revenues &amp; Expenses'!C20," / ",'Part V-Revenues &amp; Expenses'!D20)</f>
        <v>3 / 2</v>
      </c>
      <c r="D41" s="1575">
        <f>'Part V-Revenues &amp; Expenses'!F20</f>
        <v>1157</v>
      </c>
      <c r="E41" s="4835">
        <f>'Part V-Revenues &amp; Expenses'!H20</f>
        <v>691</v>
      </c>
      <c r="F41" s="4836"/>
      <c r="G41" s="439"/>
      <c r="H41" s="4832"/>
      <c r="I41" s="4833"/>
      <c r="J41" s="4833"/>
      <c r="K41" s="4833"/>
      <c r="L41" s="4834"/>
    </row>
    <row r="42" spans="1:12" s="432" customFormat="1" ht="13.15" customHeight="1">
      <c r="A42" s="1574">
        <f>'Part V-Revenues &amp; Expenses'!B21</f>
        <v>60</v>
      </c>
      <c r="B42" s="1575">
        <f>'Part V-Revenues &amp; Expenses'!E21</f>
        <v>3</v>
      </c>
      <c r="C42" s="1576" t="str">
        <f>_xlfn.CONCAT('Part V-Revenues &amp; Expenses'!C21," / ",'Part V-Revenues &amp; Expenses'!D21)</f>
        <v>1 / 1</v>
      </c>
      <c r="D42" s="1575">
        <f>'Part V-Revenues &amp; Expenses'!F21</f>
        <v>750</v>
      </c>
      <c r="E42" s="4835">
        <f>'Part V-Revenues &amp; Expenses'!H21</f>
        <v>634</v>
      </c>
      <c r="F42" s="4836"/>
      <c r="G42" s="439"/>
      <c r="H42" s="4832"/>
      <c r="I42" s="4833"/>
      <c r="J42" s="4833"/>
      <c r="K42" s="4833"/>
      <c r="L42" s="4834"/>
    </row>
    <row r="43" spans="1:12" s="432" customFormat="1" ht="13.15" customHeight="1">
      <c r="A43" s="1574">
        <f>'Part V-Revenues &amp; Expenses'!B22</f>
        <v>60</v>
      </c>
      <c r="B43" s="1575">
        <f>'Part V-Revenues &amp; Expenses'!E22</f>
        <v>11</v>
      </c>
      <c r="C43" s="1576" t="str">
        <f>_xlfn.CONCAT('Part V-Revenues &amp; Expenses'!C22," / ",'Part V-Revenues &amp; Expenses'!D22)</f>
        <v>2 / 2</v>
      </c>
      <c r="D43" s="1575">
        <f>'Part V-Revenues &amp; Expenses'!F22</f>
        <v>964</v>
      </c>
      <c r="E43" s="4835">
        <f>'Part V-Revenues &amp; Expenses'!H22</f>
        <v>702</v>
      </c>
      <c r="F43" s="4836"/>
      <c r="G43" s="439"/>
      <c r="H43" s="4832"/>
      <c r="I43" s="4833"/>
      <c r="J43" s="4833"/>
      <c r="K43" s="4833"/>
      <c r="L43" s="4834"/>
    </row>
    <row r="44" spans="1:12" s="432" customFormat="1" ht="13.15" customHeight="1">
      <c r="A44" s="1574">
        <f>'Part V-Revenues &amp; Expenses'!B23</f>
        <v>60</v>
      </c>
      <c r="B44" s="1575">
        <f>'Part V-Revenues &amp; Expenses'!E23</f>
        <v>7</v>
      </c>
      <c r="C44" s="1576" t="str">
        <f>_xlfn.CONCAT('Part V-Revenues &amp; Expenses'!C23," / ",'Part V-Revenues &amp; Expenses'!D23)</f>
        <v>3 / 2</v>
      </c>
      <c r="D44" s="1575">
        <f>'Part V-Revenues &amp; Expenses'!F23</f>
        <v>1157</v>
      </c>
      <c r="E44" s="4835">
        <f>'Part V-Revenues &amp; Expenses'!H23</f>
        <v>771</v>
      </c>
      <c r="F44" s="4836"/>
      <c r="G44" s="439"/>
      <c r="H44" s="4832"/>
      <c r="I44" s="4833"/>
      <c r="J44" s="4833"/>
      <c r="K44" s="4833"/>
      <c r="L44" s="4834"/>
    </row>
    <row r="45" spans="1:12" s="432" customFormat="1" ht="13.15" customHeight="1">
      <c r="A45" s="1574">
        <f>'Part V-Revenues &amp; Expenses'!B24</f>
        <v>70</v>
      </c>
      <c r="B45" s="1575">
        <f>'Part V-Revenues &amp; Expenses'!E24</f>
        <v>1</v>
      </c>
      <c r="C45" s="1576" t="str">
        <f>_xlfn.CONCAT('Part V-Revenues &amp; Expenses'!C24," / ",'Part V-Revenues &amp; Expenses'!D24)</f>
        <v>1 / 1</v>
      </c>
      <c r="D45" s="1575">
        <f>'Part V-Revenues &amp; Expenses'!F24</f>
        <v>750</v>
      </c>
      <c r="E45" s="4835">
        <f>'Part V-Revenues &amp; Expenses'!H24</f>
        <v>694</v>
      </c>
      <c r="F45" s="4836"/>
      <c r="G45" s="439"/>
      <c r="H45" s="4832"/>
      <c r="I45" s="4833"/>
      <c r="J45" s="4833"/>
      <c r="K45" s="4833"/>
      <c r="L45" s="4834"/>
    </row>
    <row r="46" spans="1:12" s="432" customFormat="1" ht="13.15" customHeight="1">
      <c r="A46" s="1574">
        <f>'Part V-Revenues &amp; Expenses'!B25</f>
        <v>70</v>
      </c>
      <c r="B46" s="1575">
        <f>'Part V-Revenues &amp; Expenses'!E25</f>
        <v>4</v>
      </c>
      <c r="C46" s="1576" t="str">
        <f>_xlfn.CONCAT('Part V-Revenues &amp; Expenses'!C25," / ",'Part V-Revenues &amp; Expenses'!D25)</f>
        <v>2 / 2</v>
      </c>
      <c r="D46" s="1575">
        <f>'Part V-Revenues &amp; Expenses'!F25</f>
        <v>964</v>
      </c>
      <c r="E46" s="4835">
        <f>'Part V-Revenues &amp; Expenses'!H25</f>
        <v>762</v>
      </c>
      <c r="F46" s="4836"/>
      <c r="G46" s="439"/>
      <c r="H46" s="4832"/>
      <c r="I46" s="4833"/>
      <c r="J46" s="4833"/>
      <c r="K46" s="4833"/>
      <c r="L46" s="4834"/>
    </row>
    <row r="47" spans="1:12" s="432" customFormat="1" ht="13.15" customHeight="1">
      <c r="A47" s="1574">
        <f>'Part V-Revenues &amp; Expenses'!B26</f>
        <v>70</v>
      </c>
      <c r="B47" s="1575">
        <f>'Part V-Revenues &amp; Expenses'!E26</f>
        <v>2</v>
      </c>
      <c r="C47" s="1576" t="str">
        <f>_xlfn.CONCAT('Part V-Revenues &amp; Expenses'!C26," / ",'Part V-Revenues &amp; Expenses'!D26)</f>
        <v>3 / 2</v>
      </c>
      <c r="D47" s="1575">
        <f>'Part V-Revenues &amp; Expenses'!F26</f>
        <v>1157</v>
      </c>
      <c r="E47" s="4835">
        <f>'Part V-Revenues &amp; Expenses'!H26</f>
        <v>831</v>
      </c>
      <c r="F47" s="4836"/>
      <c r="G47" s="439"/>
      <c r="H47" s="4832"/>
      <c r="I47" s="4833"/>
      <c r="J47" s="4833"/>
      <c r="K47" s="4833"/>
      <c r="L47" s="4834"/>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5">
        <f>'Part V-Revenues &amp; Expenses'!H27</f>
        <v>0</v>
      </c>
      <c r="F48" s="4836"/>
      <c r="G48" s="439"/>
      <c r="H48" s="4832"/>
      <c r="I48" s="4833"/>
      <c r="J48" s="4833"/>
      <c r="K48" s="4833"/>
      <c r="L48" s="4834"/>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5">
        <f>'Part V-Revenues &amp; Expenses'!H28</f>
        <v>0</v>
      </c>
      <c r="F49" s="4836"/>
      <c r="G49" s="439"/>
      <c r="H49" s="4832"/>
      <c r="I49" s="4833"/>
      <c r="J49" s="4833"/>
      <c r="K49" s="4833"/>
      <c r="L49" s="4834"/>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5">
        <f>'Part V-Revenues &amp; Expenses'!H29</f>
        <v>0</v>
      </c>
      <c r="F50" s="4836"/>
      <c r="G50" s="439"/>
      <c r="H50" s="4832"/>
      <c r="I50" s="4833"/>
      <c r="J50" s="4833"/>
      <c r="K50" s="4833"/>
      <c r="L50" s="4834"/>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5">
        <f>'Part V-Revenues &amp; Expenses'!H30</f>
        <v>0</v>
      </c>
      <c r="F51" s="4836"/>
      <c r="G51" s="439"/>
      <c r="H51" s="4832"/>
      <c r="I51" s="4833"/>
      <c r="J51" s="4833"/>
      <c r="K51" s="4833"/>
      <c r="L51" s="4834"/>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5">
        <f>'Part V-Revenues &amp; Expenses'!H31</f>
        <v>0</v>
      </c>
      <c r="F52" s="4836"/>
      <c r="G52" s="439"/>
      <c r="H52" s="4832"/>
      <c r="I52" s="4833"/>
      <c r="J52" s="4833"/>
      <c r="K52" s="4833"/>
      <c r="L52" s="4834"/>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5">
        <f>'Part V-Revenues &amp; Expenses'!H32</f>
        <v>0</v>
      </c>
      <c r="F53" s="4836"/>
      <c r="G53" s="439"/>
      <c r="H53" s="4832"/>
      <c r="I53" s="4833"/>
      <c r="J53" s="4833"/>
      <c r="K53" s="4833"/>
      <c r="L53" s="4834"/>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5">
        <f>'Part V-Revenues &amp; Expenses'!H33</f>
        <v>0</v>
      </c>
      <c r="F54" s="4836"/>
      <c r="G54" s="439"/>
      <c r="H54" s="4832"/>
      <c r="I54" s="4833"/>
      <c r="J54" s="4833"/>
      <c r="K54" s="4833"/>
      <c r="L54" s="4834"/>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5">
        <f>'Part V-Revenues &amp; Expenses'!H34</f>
        <v>0</v>
      </c>
      <c r="F55" s="4836"/>
      <c r="G55" s="439"/>
      <c r="H55" s="4832"/>
      <c r="I55" s="4833"/>
      <c r="J55" s="4833"/>
      <c r="K55" s="4833"/>
      <c r="L55" s="4834"/>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5">
        <f>'Part V-Revenues &amp; Expenses'!H35</f>
        <v>0</v>
      </c>
      <c r="F56" s="4836"/>
      <c r="G56" s="439"/>
      <c r="H56" s="4832"/>
      <c r="I56" s="4833"/>
      <c r="J56" s="4833"/>
      <c r="K56" s="4833"/>
      <c r="L56" s="4834"/>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5">
        <f>'Part V-Revenues &amp; Expenses'!H36</f>
        <v>0</v>
      </c>
      <c r="F57" s="4836"/>
      <c r="G57" s="439"/>
      <c r="H57" s="4832"/>
      <c r="I57" s="4833"/>
      <c r="J57" s="4833"/>
      <c r="K57" s="4833"/>
      <c r="L57" s="4834"/>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5">
        <f>'Part V-Revenues &amp; Expenses'!H37</f>
        <v>0</v>
      </c>
      <c r="F58" s="4836"/>
      <c r="G58" s="439"/>
      <c r="H58" s="4832"/>
      <c r="I58" s="4833"/>
      <c r="J58" s="4833"/>
      <c r="K58" s="4833"/>
      <c r="L58" s="4834"/>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5">
        <f>'Part V-Revenues &amp; Expenses'!H38</f>
        <v>0</v>
      </c>
      <c r="F59" s="4836"/>
      <c r="G59" s="439"/>
      <c r="H59" s="4832"/>
      <c r="I59" s="4833"/>
      <c r="J59" s="4833"/>
      <c r="K59" s="4833"/>
      <c r="L59" s="4834"/>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5">
        <f>'Part V-Revenues &amp; Expenses'!H39</f>
        <v>0</v>
      </c>
      <c r="F60" s="4836"/>
      <c r="G60" s="439"/>
      <c r="H60" s="4832"/>
      <c r="I60" s="4833"/>
      <c r="J60" s="4833"/>
      <c r="K60" s="4833"/>
      <c r="L60" s="4834"/>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5">
        <f>'Part V-Revenues &amp; Expenses'!H40</f>
        <v>0</v>
      </c>
      <c r="F61" s="4836"/>
      <c r="G61" s="439"/>
      <c r="H61" s="4832"/>
      <c r="I61" s="4833"/>
      <c r="J61" s="4833"/>
      <c r="K61" s="4833"/>
      <c r="L61" s="4834"/>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5">
        <f>'Part V-Revenues &amp; Expenses'!H41</f>
        <v>0</v>
      </c>
      <c r="F62" s="4836"/>
      <c r="G62" s="439"/>
      <c r="H62" s="4832"/>
      <c r="I62" s="4833"/>
      <c r="J62" s="4833"/>
      <c r="K62" s="4833"/>
      <c r="L62" s="4834"/>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5">
        <f>'Part V-Revenues &amp; Expenses'!H42</f>
        <v>0</v>
      </c>
      <c r="F63" s="4836"/>
      <c r="G63" s="439"/>
      <c r="H63" s="4832"/>
      <c r="I63" s="4833"/>
      <c r="J63" s="4833"/>
      <c r="K63" s="4833"/>
      <c r="L63" s="4834"/>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5">
        <f>'Part V-Revenues &amp; Expenses'!H43</f>
        <v>0</v>
      </c>
      <c r="F64" s="4836"/>
      <c r="G64" s="439"/>
      <c r="H64" s="4832"/>
      <c r="I64" s="4833"/>
      <c r="J64" s="4833"/>
      <c r="K64" s="4833"/>
      <c r="L64" s="4834"/>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5">
        <f>'Part V-Revenues &amp; Expenses'!H44</f>
        <v>0</v>
      </c>
      <c r="F65" s="4836"/>
      <c r="G65" s="439"/>
      <c r="H65" s="4832"/>
      <c r="I65" s="4833"/>
      <c r="J65" s="4833"/>
      <c r="K65" s="4833"/>
      <c r="L65" s="4834"/>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5">
        <f>'Part V-Revenues &amp; Expenses'!H45</f>
        <v>0</v>
      </c>
      <c r="F66" s="4836"/>
      <c r="G66" s="439"/>
      <c r="H66" s="4832"/>
      <c r="I66" s="4833"/>
      <c r="J66" s="4833"/>
      <c r="K66" s="4833"/>
      <c r="L66" s="4834"/>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5">
        <f>'Part V-Revenues &amp; Expenses'!H46</f>
        <v>0</v>
      </c>
      <c r="F67" s="4836"/>
      <c r="G67" s="439"/>
      <c r="H67" s="4832"/>
      <c r="I67" s="4833"/>
      <c r="J67" s="4833"/>
      <c r="K67" s="4833"/>
      <c r="L67" s="4834"/>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5">
        <f>'Part V-Revenues &amp; Expenses'!H47</f>
        <v>0</v>
      </c>
      <c r="F68" s="4836"/>
      <c r="G68" s="439"/>
      <c r="H68" s="4832"/>
      <c r="I68" s="4833"/>
      <c r="J68" s="4833"/>
      <c r="K68" s="4833"/>
      <c r="L68" s="4834"/>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5">
        <f>'Part V-Revenues &amp; Expenses'!H48</f>
        <v>0</v>
      </c>
      <c r="F69" s="4866"/>
      <c r="G69" s="1580"/>
      <c r="H69" s="4840"/>
      <c r="I69" s="4841"/>
      <c r="J69" s="4841"/>
      <c r="K69" s="4841"/>
      <c r="L69" s="4842"/>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7" t="s">
        <v>3479</v>
      </c>
      <c r="C1" s="4727"/>
      <c r="D1" s="4727"/>
      <c r="E1" s="4727"/>
      <c r="F1" s="4727"/>
      <c r="G1" s="4727"/>
      <c r="H1" s="4727"/>
      <c r="I1" s="4727"/>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79" t="s">
        <v>2889</v>
      </c>
      <c r="C4" s="4879"/>
      <c r="D4" s="4879"/>
      <c r="E4" s="4884" t="s">
        <v>2890</v>
      </c>
      <c r="F4" s="4886"/>
      <c r="G4" s="4884" t="s">
        <v>574</v>
      </c>
      <c r="H4" s="4885"/>
      <c r="I4" s="4886"/>
      <c r="J4" s="1036" t="s">
        <v>2738</v>
      </c>
      <c r="K4" s="1036"/>
      <c r="L4" s="1036"/>
      <c r="M4" s="1036"/>
    </row>
    <row r="5" spans="2:13">
      <c r="B5" s="4880">
        <f>'Closing term sheet'!C8</f>
        <v>0</v>
      </c>
      <c r="C5" s="4881"/>
      <c r="D5" s="4881"/>
      <c r="E5" s="4890"/>
      <c r="F5" s="4891"/>
      <c r="G5" s="4887" t="str">
        <f>'Closing term sheet'!C28</f>
        <v>West Pine Residences</v>
      </c>
      <c r="H5" s="4888"/>
      <c r="I5" s="4889"/>
    </row>
    <row r="6" spans="2:13" ht="4.5" customHeight="1">
      <c r="D6" s="1042"/>
      <c r="E6" s="1042"/>
      <c r="F6" s="1042"/>
      <c r="G6" s="1042"/>
      <c r="H6" s="1042"/>
      <c r="I6" s="1042"/>
    </row>
    <row r="7" spans="2:13">
      <c r="B7" s="4875" t="s">
        <v>2891</v>
      </c>
      <c r="C7" s="4875"/>
      <c r="H7" s="4882">
        <f>'Preview term'!E9</f>
        <v>0</v>
      </c>
      <c r="I7" s="4883"/>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7" t="s">
        <v>3487</v>
      </c>
      <c r="I35" s="4892"/>
    </row>
    <row r="36" spans="2:9">
      <c r="B36" s="1059" t="s">
        <v>3486</v>
      </c>
      <c r="C36" s="523"/>
      <c r="D36" s="523"/>
      <c r="F36" s="1258"/>
      <c r="G36" s="617"/>
      <c r="H36" s="4827"/>
      <c r="I36" s="4892"/>
    </row>
    <row r="37" spans="2:9">
      <c r="B37" s="1059" t="s">
        <v>3484</v>
      </c>
      <c r="D37" s="523"/>
      <c r="F37" s="1259"/>
      <c r="G37" s="617"/>
      <c r="H37" s="4827"/>
      <c r="I37" s="4892"/>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9">
        <f>'Closing term sheet'!$C$30</f>
        <v>0</v>
      </c>
      <c r="G48" s="4900"/>
      <c r="H48" s="4900"/>
      <c r="I48" s="4901"/>
    </row>
    <row r="49" spans="2:9">
      <c r="B49" s="1051" t="s">
        <v>2906</v>
      </c>
      <c r="D49" s="523" t="s">
        <v>2907</v>
      </c>
      <c r="F49" s="4902"/>
      <c r="G49" s="4903"/>
      <c r="H49" s="4903"/>
      <c r="I49" s="4904"/>
    </row>
    <row r="50" spans="2:9">
      <c r="B50" s="1051" t="s">
        <v>2908</v>
      </c>
      <c r="F50" s="1042"/>
      <c r="G50" s="1042"/>
      <c r="H50" s="1042"/>
      <c r="I50" s="1065"/>
    </row>
    <row r="51" spans="2:9" ht="7.5" customHeight="1">
      <c r="B51" s="1047"/>
      <c r="I51" s="1049"/>
    </row>
    <row r="52" spans="2:9">
      <c r="B52" s="1066" t="s">
        <v>3489</v>
      </c>
      <c r="C52" s="4872" t="str">
        <f>'Part I-Project Identification'!F26</f>
        <v>Sylvester</v>
      </c>
      <c r="D52" s="4873"/>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9806796</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7" t="s">
        <v>2912</v>
      </c>
      <c r="C61" s="4775"/>
      <c r="D61" s="4775"/>
      <c r="E61" s="4775"/>
      <c r="F61" s="4775"/>
      <c r="G61" s="4775"/>
      <c r="H61" s="4775"/>
      <c r="I61" s="4878"/>
    </row>
    <row r="62" spans="2:9" ht="7.5" customHeight="1">
      <c r="B62" s="4874"/>
      <c r="C62" s="4774"/>
      <c r="D62" s="4774"/>
      <c r="G62" s="1072"/>
      <c r="I62" s="1049"/>
    </row>
    <row r="63" spans="2:9">
      <c r="B63" s="1066" t="s">
        <v>2914</v>
      </c>
      <c r="D63" s="1058">
        <v>4</v>
      </c>
      <c r="G63" s="4875" t="s">
        <v>2913</v>
      </c>
      <c r="H63" s="4875"/>
      <c r="I63" s="487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7" t="s">
        <v>2925</v>
      </c>
      <c r="C81" s="4775"/>
      <c r="D81" s="4775"/>
      <c r="E81" s="4775"/>
      <c r="F81" s="4775"/>
      <c r="G81" s="4775"/>
      <c r="H81" s="4775"/>
      <c r="I81" s="4878"/>
    </row>
    <row r="82" spans="2:9">
      <c r="B82" s="1047"/>
      <c r="I82" s="1049"/>
    </row>
    <row r="83" spans="2:9">
      <c r="B83" s="1047" t="s">
        <v>2926</v>
      </c>
      <c r="I83" s="1049"/>
    </row>
    <row r="84" spans="2:9">
      <c r="B84" s="1047"/>
      <c r="C84" s="432" t="s">
        <v>2927</v>
      </c>
      <c r="F84" s="4896">
        <f>'Closing term sheet'!D63</f>
        <v>9806796</v>
      </c>
      <c r="G84" s="4896"/>
      <c r="I84" s="1049"/>
    </row>
    <row r="85" spans="2:9">
      <c r="B85" s="1047"/>
      <c r="C85" s="432" t="s">
        <v>2928</v>
      </c>
      <c r="F85" s="4871">
        <f>'Part II-Sources of Funds'!I47+'Part II-Sources of Funds'!L47</f>
        <v>7451.0299069361763</v>
      </c>
      <c r="G85" s="4871"/>
      <c r="I85" s="1049"/>
    </row>
    <row r="86" spans="2:9">
      <c r="B86" s="1047"/>
      <c r="C86" s="432" t="s">
        <v>2929</v>
      </c>
      <c r="F86" s="4870"/>
      <c r="G86" s="4870"/>
      <c r="I86" s="1049"/>
    </row>
    <row r="87" spans="2:9">
      <c r="B87" s="1047"/>
      <c r="C87" s="523" t="s">
        <v>2930</v>
      </c>
      <c r="F87" s="4871">
        <v>11000</v>
      </c>
      <c r="G87" s="4871"/>
      <c r="I87" s="1049"/>
    </row>
    <row r="88" spans="2:9">
      <c r="B88" s="1047"/>
      <c r="C88" s="432" t="s">
        <v>2931</v>
      </c>
      <c r="F88" s="4898"/>
      <c r="G88" s="4898"/>
      <c r="I88" s="1049"/>
    </row>
    <row r="89" spans="2:9">
      <c r="B89" s="1047"/>
      <c r="C89" s="560" t="s">
        <v>2932</v>
      </c>
      <c r="F89" s="4894">
        <f>SUM(F84:G88)</f>
        <v>9825247.029906936</v>
      </c>
      <c r="G89" s="4894"/>
      <c r="I89" s="1049"/>
    </row>
    <row r="90" spans="2:9">
      <c r="B90" s="1047"/>
      <c r="F90" s="4895"/>
      <c r="G90" s="4895"/>
      <c r="I90" s="1049"/>
    </row>
    <row r="91" spans="2:9">
      <c r="B91" s="1047" t="s">
        <v>2933</v>
      </c>
      <c r="I91" s="1049"/>
    </row>
    <row r="92" spans="2:9">
      <c r="B92" s="1047"/>
      <c r="C92" s="432" t="s">
        <v>2934</v>
      </c>
      <c r="F92" s="4896"/>
      <c r="G92" s="4896"/>
      <c r="I92" s="1049"/>
    </row>
    <row r="93" spans="2:9">
      <c r="B93" s="1047"/>
      <c r="C93" s="432" t="s">
        <v>2935</v>
      </c>
      <c r="F93" s="4897"/>
      <c r="G93" s="4897"/>
      <c r="I93" s="1049"/>
    </row>
    <row r="94" spans="2:9">
      <c r="B94" s="1047"/>
      <c r="C94" s="432" t="s">
        <v>2936</v>
      </c>
      <c r="F94" s="4893" t="s">
        <v>2813</v>
      </c>
      <c r="G94" s="4893"/>
      <c r="I94" s="1049"/>
    </row>
    <row r="95" spans="2:9">
      <c r="B95" s="1047"/>
      <c r="C95" s="560" t="s">
        <v>2937</v>
      </c>
      <c r="F95" s="4894">
        <f>+SUM(F92:G94)</f>
        <v>0</v>
      </c>
      <c r="G95" s="4894"/>
      <c r="I95" s="1049"/>
    </row>
    <row r="96" spans="2:9">
      <c r="B96" s="1047"/>
      <c r="I96" s="1049"/>
    </row>
    <row r="97" spans="2:9">
      <c r="B97" s="1047" t="s">
        <v>2938</v>
      </c>
      <c r="I97" s="1049"/>
    </row>
    <row r="98" spans="2:9">
      <c r="B98" s="1047"/>
      <c r="C98" s="432" t="s">
        <v>2939</v>
      </c>
      <c r="F98" s="4896"/>
      <c r="G98" s="4896"/>
      <c r="I98" s="1049"/>
    </row>
    <row r="99" spans="2:9">
      <c r="B99" s="1047"/>
      <c r="C99" s="432" t="s">
        <v>2940</v>
      </c>
      <c r="F99" s="4897"/>
      <c r="G99" s="4897"/>
      <c r="I99" s="1049"/>
    </row>
    <row r="100" spans="2:9">
      <c r="B100" s="1047"/>
      <c r="C100" s="432" t="s">
        <v>2941</v>
      </c>
      <c r="F100" s="4898"/>
      <c r="G100" s="4898"/>
      <c r="I100" s="1049"/>
    </row>
    <row r="101" spans="2:9">
      <c r="B101" s="1047"/>
      <c r="C101" s="560" t="s">
        <v>2942</v>
      </c>
      <c r="F101" s="4894">
        <f>+SUM(F98:G100)</f>
        <v>0</v>
      </c>
      <c r="G101" s="4894"/>
      <c r="I101" s="1049"/>
    </row>
    <row r="102" spans="2:9">
      <c r="B102" s="1047"/>
      <c r="I102" s="1049"/>
    </row>
    <row r="103" spans="2:9">
      <c r="B103" s="1066" t="s">
        <v>2943</v>
      </c>
      <c r="F103" s="4893">
        <f>'Part II-Sources of Funds'!I48+'Part II-Sources of Funds'!I49</f>
        <v>0</v>
      </c>
      <c r="G103" s="4893"/>
      <c r="I103" s="1049"/>
    </row>
    <row r="104" spans="2:9">
      <c r="B104" s="1047"/>
      <c r="I104" s="1076" t="s">
        <v>2944</v>
      </c>
    </row>
    <row r="105" spans="2:9">
      <c r="B105" s="1047" t="s">
        <v>2945</v>
      </c>
      <c r="F105" s="4893">
        <f>+F103+F101+F95+F89</f>
        <v>9825247.029906936</v>
      </c>
      <c r="G105" s="489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2" t="s">
        <v>674</v>
      </c>
      <c r="B2" s="4923"/>
      <c r="C2" s="4923"/>
      <c r="D2" s="4923"/>
      <c r="E2" s="4923"/>
      <c r="F2" s="4923"/>
      <c r="G2" s="4923"/>
      <c r="H2" s="4923"/>
      <c r="I2" s="4923"/>
      <c r="J2" s="4923"/>
      <c r="K2" s="4923"/>
      <c r="L2" s="4923"/>
      <c r="M2" s="4923"/>
      <c r="N2" s="4923"/>
      <c r="O2" s="4923"/>
      <c r="P2" s="4923"/>
      <c r="Q2" s="4923"/>
      <c r="R2" s="492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5" t="s">
        <v>6617</v>
      </c>
      <c r="R11" s="492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8">
        <v>0.1</v>
      </c>
      <c r="R12" s="490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7" t="s">
        <v>3907</v>
      </c>
      <c r="R13" s="4907"/>
      <c r="S13" s="144"/>
      <c r="T13" s="144"/>
      <c r="U13" s="144"/>
      <c r="AA13" s="68"/>
      <c r="AB13" s="68"/>
    </row>
    <row r="14" spans="1:28" s="145" customFormat="1" ht="12.75" hidden="1" customHeight="1">
      <c r="A14" s="147"/>
      <c r="B14" s="147"/>
      <c r="C14" s="147"/>
      <c r="K14" s="236" t="s">
        <v>3908</v>
      </c>
      <c r="L14" s="236"/>
      <c r="N14" s="234"/>
      <c r="O14" s="147"/>
      <c r="P14" s="144"/>
      <c r="Q14" s="4905">
        <v>0.2</v>
      </c>
      <c r="R14" s="4906"/>
      <c r="S14" s="144"/>
      <c r="T14" s="144"/>
      <c r="U14" s="144"/>
      <c r="AA14" s="68"/>
      <c r="AB14" s="68"/>
    </row>
    <row r="15" spans="1:28" s="145" customFormat="1" ht="12.75" hidden="1" customHeight="1">
      <c r="A15" s="147"/>
      <c r="B15" s="147"/>
      <c r="C15" s="147"/>
      <c r="K15" s="236" t="s">
        <v>3909</v>
      </c>
      <c r="L15" s="236"/>
      <c r="N15" s="234"/>
      <c r="O15" s="147"/>
      <c r="P15" s="144"/>
      <c r="Q15" s="4928">
        <v>0.15</v>
      </c>
      <c r="R15" s="4929"/>
      <c r="S15" s="144"/>
      <c r="T15" s="144"/>
      <c r="U15" s="144"/>
      <c r="AA15" s="68"/>
      <c r="AB15" s="68"/>
    </row>
    <row r="16" spans="1:28" s="145" customFormat="1" ht="12.75" hidden="1" customHeight="1">
      <c r="A16" s="147"/>
      <c r="B16" s="147"/>
      <c r="C16" s="147"/>
      <c r="K16" s="236" t="s">
        <v>3910</v>
      </c>
      <c r="L16" s="236"/>
      <c r="N16" s="234"/>
      <c r="O16" s="147"/>
      <c r="P16" s="144"/>
      <c r="Q16" s="4928">
        <v>0.15</v>
      </c>
      <c r="R16" s="4929"/>
      <c r="S16" s="144"/>
      <c r="T16" s="144"/>
      <c r="U16" s="144"/>
      <c r="AA16" s="68"/>
      <c r="AB16" s="68"/>
    </row>
    <row r="17" spans="1:28" s="145" customFormat="1" ht="12.75" hidden="1" customHeight="1">
      <c r="A17" s="147"/>
      <c r="B17" s="147"/>
      <c r="C17" s="147"/>
      <c r="K17" s="236" t="s">
        <v>3911</v>
      </c>
      <c r="L17" s="236"/>
      <c r="N17" s="234"/>
      <c r="O17" s="147"/>
      <c r="P17" s="144"/>
      <c r="Q17" s="4928">
        <v>0.1</v>
      </c>
      <c r="R17" s="4929"/>
      <c r="S17" s="144"/>
      <c r="T17" s="144"/>
      <c r="U17" s="144"/>
      <c r="AA17" s="68"/>
      <c r="AB17" s="68"/>
    </row>
    <row r="18" spans="1:28" s="145" customFormat="1" ht="12.75" hidden="1" customHeight="1">
      <c r="A18" s="147"/>
      <c r="B18" s="147"/>
      <c r="C18" s="147"/>
      <c r="K18" s="236" t="s">
        <v>3912</v>
      </c>
      <c r="L18" s="236"/>
      <c r="N18" s="234"/>
      <c r="O18" s="147"/>
      <c r="P18" s="144"/>
      <c r="Q18" s="4926">
        <v>0.1</v>
      </c>
      <c r="R18" s="492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5">
        <v>1000</v>
      </c>
      <c r="R42" s="491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5">
        <v>500</v>
      </c>
      <c r="R43" s="4916"/>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2">
        <v>2500</v>
      </c>
      <c r="R44" s="4913"/>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2">
        <v>2500</v>
      </c>
      <c r="R45" s="4913"/>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2">
        <v>2000</v>
      </c>
      <c r="R46" s="4913"/>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5">
        <v>1500</v>
      </c>
      <c r="R47" s="4916"/>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2">
        <v>6500</v>
      </c>
      <c r="R48" s="4913"/>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2">
        <v>5500</v>
      </c>
      <c r="R49" s="4913"/>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2">
        <v>500</v>
      </c>
      <c r="R50" s="4913"/>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2">
        <v>10000</v>
      </c>
      <c r="R51" s="491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2">
        <v>8000</v>
      </c>
      <c r="R52" s="4913"/>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2">
        <v>1500</v>
      </c>
      <c r="R53" s="4913"/>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2">
        <v>1500</v>
      </c>
      <c r="R54" s="4913"/>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2">
        <v>2500</v>
      </c>
      <c r="R55" s="4913"/>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4">
        <v>0.08</v>
      </c>
      <c r="R56" s="4914"/>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4">
        <v>0.08</v>
      </c>
      <c r="R57" s="4914"/>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2">
        <v>8000</v>
      </c>
      <c r="R58" s="4913"/>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2"/>
      <c r="R59" s="4913"/>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1">
        <v>800</v>
      </c>
      <c r="R60" s="4942"/>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1">
        <v>1000</v>
      </c>
      <c r="R61" s="4942"/>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1">
        <v>800</v>
      </c>
      <c r="R62" s="494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1">
        <v>1500</v>
      </c>
      <c r="R63" s="4942"/>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2">
        <v>750</v>
      </c>
      <c r="R64" s="4563"/>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5">
        <v>75</v>
      </c>
      <c r="R65" s="4916"/>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3">
        <v>27500</v>
      </c>
      <c r="R67" s="4943"/>
      <c r="AA67"/>
      <c r="AB67"/>
    </row>
    <row r="68" spans="1:28" ht="11.25" customHeight="1">
      <c r="F68" s="115"/>
      <c r="H68" s="698"/>
      <c r="J68" s="392">
        <v>51</v>
      </c>
      <c r="K68" s="392">
        <v>70</v>
      </c>
      <c r="Q68" s="4921">
        <v>22000</v>
      </c>
      <c r="R68" s="4921"/>
      <c r="AA68"/>
      <c r="AB68"/>
    </row>
    <row r="69" spans="1:28" ht="11.25" customHeight="1">
      <c r="F69" s="115"/>
      <c r="H69" s="1519"/>
      <c r="I69" s="165"/>
      <c r="J69" s="1520">
        <v>71</v>
      </c>
      <c r="K69" s="1521"/>
      <c r="L69" s="165"/>
      <c r="M69" s="165"/>
      <c r="N69" s="165"/>
      <c r="O69" s="165"/>
      <c r="P69" s="1522"/>
      <c r="Q69" s="4944">
        <v>16500</v>
      </c>
      <c r="R69" s="4944"/>
      <c r="AA69"/>
      <c r="AB69"/>
    </row>
    <row r="70" spans="1:28" ht="11.25" customHeight="1">
      <c r="H70" s="1523">
        <v>0.04</v>
      </c>
      <c r="I70" s="1524"/>
      <c r="J70" s="1525">
        <v>1</v>
      </c>
      <c r="K70" s="1525">
        <v>50</v>
      </c>
      <c r="L70" s="1524"/>
      <c r="M70" s="1524"/>
      <c r="N70" s="1524"/>
      <c r="O70" s="1524"/>
      <c r="P70" s="1526"/>
      <c r="Q70" s="4943">
        <v>27500</v>
      </c>
      <c r="R70" s="4943"/>
      <c r="AA70"/>
      <c r="AB70"/>
    </row>
    <row r="71" spans="1:28" ht="11.25" customHeight="1">
      <c r="H71" s="1296"/>
      <c r="J71" s="392">
        <v>51</v>
      </c>
      <c r="K71" s="392">
        <v>70</v>
      </c>
      <c r="Q71" s="4921">
        <v>22000</v>
      </c>
      <c r="R71" s="4921"/>
      <c r="AA71"/>
      <c r="AB71"/>
    </row>
    <row r="72" spans="1:28" ht="11.25" customHeight="1">
      <c r="H72" s="1296"/>
      <c r="J72" s="392">
        <v>71</v>
      </c>
      <c r="K72" s="1296"/>
      <c r="Q72" s="4944">
        <v>16500</v>
      </c>
      <c r="R72" s="4944"/>
      <c r="AA72"/>
      <c r="AB72"/>
    </row>
    <row r="73" spans="1:28" ht="11.25" customHeight="1">
      <c r="F73" s="236" t="s">
        <v>3915</v>
      </c>
      <c r="H73" s="370"/>
      <c r="I73" s="44"/>
      <c r="AA73"/>
      <c r="AB73"/>
    </row>
    <row r="74" spans="1:28" ht="11.25" customHeight="1">
      <c r="H74" s="1297">
        <v>0.09</v>
      </c>
      <c r="I74" s="236"/>
      <c r="Q74" s="4945">
        <v>2000000</v>
      </c>
      <c r="R74" s="4945"/>
      <c r="AA74"/>
      <c r="AB74"/>
    </row>
    <row r="75" spans="1:28" ht="11.25" customHeight="1">
      <c r="H75" s="1297">
        <v>0.04</v>
      </c>
      <c r="I75" s="236"/>
      <c r="Q75" s="4945">
        <v>3500000</v>
      </c>
      <c r="R75" s="4945"/>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7">
        <v>3500000</v>
      </c>
      <c r="R77" s="491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9">
        <v>0.15</v>
      </c>
      <c r="R78" s="4920"/>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19">
        <v>0.15</v>
      </c>
      <c r="R79" s="4920"/>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9">
        <v>0.15</v>
      </c>
      <c r="R80" s="4920"/>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9">
        <v>0.15</v>
      </c>
      <c r="R81" s="4920"/>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9">
        <v>0.15</v>
      </c>
      <c r="R82" s="4920"/>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9">
        <v>0.15</v>
      </c>
      <c r="R83" s="4920"/>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9" t="s">
        <v>2190</v>
      </c>
      <c r="R84" s="492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5">
        <v>3000</v>
      </c>
      <c r="R90" s="491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10">
        <v>0.02</v>
      </c>
      <c r="R98" s="491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0">
        <v>0.02</v>
      </c>
      <c r="R99" s="491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1">
        <v>7.0000000000000007E-2</v>
      </c>
      <c r="R100" s="493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1">
        <v>7.0000000000000007E-2</v>
      </c>
      <c r="R101" s="493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1">
        <v>0.03</v>
      </c>
      <c r="R102" s="493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1">
        <v>0.03</v>
      </c>
      <c r="R103" s="493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0">
        <v>0</v>
      </c>
      <c r="R104" s="493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2">
        <v>0.1</v>
      </c>
      <c r="R106" s="4932"/>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6">
        <v>1225000</v>
      </c>
      <c r="R107" s="4936"/>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7">
        <v>1105000</v>
      </c>
      <c r="R108" s="4937"/>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1">
        <v>1225000</v>
      </c>
      <c r="R109" s="4911"/>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1">
        <v>1105000</v>
      </c>
      <c r="R110" s="4911"/>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9">
        <v>1105000</v>
      </c>
      <c r="R111" s="4940"/>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3">
        <v>1150000</v>
      </c>
      <c r="R112" s="4933"/>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3" t="s">
        <v>6760</v>
      </c>
      <c r="R113" s="4953"/>
      <c r="S113" s="230"/>
      <c r="T113" s="230"/>
      <c r="U113" s="144"/>
      <c r="V113" s="322"/>
      <c r="W113" s="322"/>
      <c r="X113" s="322"/>
      <c r="AA113" s="68"/>
      <c r="AB113" s="68"/>
    </row>
    <row r="114" spans="1:28" ht="12.75" customHeight="1">
      <c r="G114" s="2009"/>
      <c r="H114" s="147" t="s">
        <v>2392</v>
      </c>
      <c r="J114" s="4964">
        <v>0.35</v>
      </c>
      <c r="K114" s="4964"/>
      <c r="L114" s="147"/>
      <c r="M114" s="147"/>
      <c r="N114" s="147"/>
      <c r="O114" s="147"/>
      <c r="P114" s="144"/>
      <c r="Q114" s="4938">
        <v>1105000</v>
      </c>
      <c r="R114" s="4938"/>
    </row>
    <row r="115" spans="1:28" ht="11.25" customHeight="1">
      <c r="G115" s="147"/>
      <c r="H115" s="147" t="s">
        <v>6100</v>
      </c>
      <c r="I115" s="144"/>
      <c r="J115" s="4965">
        <v>0.35</v>
      </c>
      <c r="K115" s="4965"/>
      <c r="L115" s="147"/>
      <c r="M115" s="147"/>
      <c r="N115" s="147"/>
      <c r="O115" s="147"/>
      <c r="P115" s="144"/>
      <c r="Q115" s="4911">
        <v>1225000</v>
      </c>
      <c r="R115" s="4911"/>
    </row>
    <row r="116" spans="1:28" ht="11.25" customHeight="1">
      <c r="A116" s="229"/>
      <c r="G116" s="147"/>
      <c r="H116" s="147" t="s">
        <v>3021</v>
      </c>
      <c r="I116" s="144"/>
      <c r="J116" s="4952">
        <v>0.3</v>
      </c>
      <c r="K116" s="4952"/>
      <c r="L116" s="147"/>
      <c r="M116" s="147"/>
      <c r="N116" s="147"/>
      <c r="O116" s="147"/>
      <c r="P116" s="144"/>
      <c r="Q116" s="4963">
        <v>1225000</v>
      </c>
      <c r="R116" s="4963"/>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4"/>
      <c r="R118" s="493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8">
        <v>4000000</v>
      </c>
      <c r="R119" s="4968"/>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1">
        <v>1035000</v>
      </c>
      <c r="R120" s="496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0">
        <v>0.05</v>
      </c>
      <c r="R122" s="496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8">
        <v>0.4</v>
      </c>
      <c r="R123" s="495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9">
        <v>0.02</v>
      </c>
      <c r="R124" s="4959"/>
      <c r="S124" s="144"/>
      <c r="T124" s="144"/>
      <c r="U124" s="144"/>
      <c r="V124" s="715"/>
      <c r="W124" s="715"/>
      <c r="X124" s="148"/>
      <c r="AA124" s="68"/>
      <c r="AB124" s="68"/>
    </row>
    <row r="125" spans="1:28" s="145" customFormat="1" ht="12.75" customHeight="1">
      <c r="A125" s="4969" t="s">
        <v>6756</v>
      </c>
      <c r="B125" s="4969"/>
      <c r="C125" s="2002"/>
      <c r="D125" s="4971"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9"/>
      <c r="B126" s="4969"/>
      <c r="C126" s="2001">
        <v>2022</v>
      </c>
      <c r="D126" s="4972"/>
      <c r="E126" s="239"/>
      <c r="F126" s="239"/>
      <c r="G126" s="239"/>
      <c r="H126" s="239"/>
      <c r="I126" s="239"/>
    </row>
    <row r="127" spans="1:28" ht="13.5">
      <c r="A127" s="4969"/>
      <c r="B127" s="4969"/>
      <c r="C127" s="147"/>
      <c r="D127" s="4972"/>
      <c r="H127" s="4966" t="s">
        <v>6754</v>
      </c>
      <c r="J127" s="142" t="s">
        <v>748</v>
      </c>
      <c r="K127" s="142"/>
      <c r="L127" s="223"/>
    </row>
    <row r="128" spans="1:28" ht="13.5">
      <c r="C128" s="715" t="s">
        <v>751</v>
      </c>
      <c r="D128" s="1304" t="s">
        <v>2995</v>
      </c>
      <c r="F128" s="715" t="s">
        <v>6752</v>
      </c>
      <c r="H128" s="4967"/>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4">
        <v>2019</v>
      </c>
      <c r="D302" s="4970"/>
      <c r="E302" s="4970"/>
      <c r="F302" s="4970"/>
      <c r="G302" s="4954">
        <v>2020</v>
      </c>
      <c r="H302" s="4954"/>
      <c r="I302" s="4954"/>
      <c r="J302" s="4954"/>
      <c r="L302" s="4955" t="s">
        <v>4057</v>
      </c>
      <c r="M302" s="4956"/>
      <c r="N302" s="4956"/>
      <c r="O302" s="4957"/>
      <c r="P302" s="241" t="s">
        <v>740</v>
      </c>
      <c r="Q302" s="241"/>
      <c r="R302" s="147"/>
      <c r="S302" s="236"/>
      <c r="T302" s="236" t="s">
        <v>643</v>
      </c>
      <c r="U302" s="236" t="s">
        <v>2020</v>
      </c>
      <c r="W302" s="44" t="s">
        <v>1361</v>
      </c>
      <c r="X302" s="44" t="s">
        <v>3018</v>
      </c>
      <c r="AA302"/>
      <c r="AB302"/>
      <c r="AC302" s="380"/>
      <c r="AD302" s="68"/>
    </row>
    <row r="303" spans="3:30" ht="10.5" customHeight="1">
      <c r="C303" s="4946" t="s">
        <v>3961</v>
      </c>
      <c r="D303" s="4949" t="s">
        <v>3962</v>
      </c>
      <c r="E303" s="4949" t="s">
        <v>3963</v>
      </c>
      <c r="F303" s="4949" t="s">
        <v>3964</v>
      </c>
      <c r="G303" s="4946" t="s">
        <v>3961</v>
      </c>
      <c r="H303" s="4949" t="s">
        <v>3962</v>
      </c>
      <c r="I303" s="4949" t="s">
        <v>3963</v>
      </c>
      <c r="J303" s="4949" t="s">
        <v>3964</v>
      </c>
      <c r="L303" s="4946" t="s">
        <v>3961</v>
      </c>
      <c r="M303" s="4949" t="s">
        <v>3962</v>
      </c>
      <c r="N303" s="4949" t="s">
        <v>3963</v>
      </c>
      <c r="O303" s="4949" t="s">
        <v>3964</v>
      </c>
      <c r="P303" s="241" t="s">
        <v>2227</v>
      </c>
      <c r="Q303" s="241"/>
      <c r="R303" s="147"/>
      <c r="S303" s="236"/>
      <c r="T303" s="392" t="s">
        <v>148</v>
      </c>
      <c r="U303" s="392" t="s">
        <v>1738</v>
      </c>
      <c r="W303" s="44" t="s">
        <v>1479</v>
      </c>
      <c r="X303" s="44" t="s">
        <v>3018</v>
      </c>
      <c r="AA303"/>
      <c r="AB303"/>
      <c r="AC303" s="68"/>
      <c r="AD303" s="68"/>
    </row>
    <row r="304" spans="3:30" ht="10.5" customHeight="1">
      <c r="C304" s="4947"/>
      <c r="D304" s="4950"/>
      <c r="E304" s="4950"/>
      <c r="F304" s="4950"/>
      <c r="G304" s="4947"/>
      <c r="H304" s="4950"/>
      <c r="I304" s="4950"/>
      <c r="J304" s="4950"/>
      <c r="L304" s="4947"/>
      <c r="M304" s="4950"/>
      <c r="N304" s="4950"/>
      <c r="O304" s="4950"/>
      <c r="P304" s="241" t="s">
        <v>2228</v>
      </c>
      <c r="Q304" s="241"/>
      <c r="R304" s="147"/>
      <c r="S304" s="236"/>
      <c r="T304" s="392" t="s">
        <v>189</v>
      </c>
      <c r="U304" s="392" t="s">
        <v>585</v>
      </c>
      <c r="W304" s="44" t="s">
        <v>1967</v>
      </c>
      <c r="X304" s="44" t="s">
        <v>3018</v>
      </c>
      <c r="AA304"/>
      <c r="AB304"/>
      <c r="AC304" s="380"/>
      <c r="AD304" s="68"/>
    </row>
    <row r="305" spans="3:30" ht="10.5" customHeight="1">
      <c r="C305" s="4947"/>
      <c r="D305" s="4950"/>
      <c r="E305" s="4950"/>
      <c r="F305" s="4950"/>
      <c r="G305" s="4947"/>
      <c r="H305" s="4950"/>
      <c r="I305" s="4950"/>
      <c r="J305" s="4950"/>
      <c r="L305" s="4947"/>
      <c r="M305" s="4950"/>
      <c r="N305" s="4950"/>
      <c r="O305" s="4950"/>
      <c r="P305" s="241" t="s">
        <v>2230</v>
      </c>
      <c r="Q305" s="241"/>
      <c r="R305" s="147"/>
      <c r="S305" s="236"/>
      <c r="T305" s="392" t="s">
        <v>2365</v>
      </c>
      <c r="U305" s="392" t="s">
        <v>1864</v>
      </c>
      <c r="W305" s="44" t="s">
        <v>1969</v>
      </c>
      <c r="X305" s="44" t="s">
        <v>3018</v>
      </c>
      <c r="AA305"/>
      <c r="AB305"/>
      <c r="AC305" s="380"/>
      <c r="AD305" s="68"/>
    </row>
    <row r="306" spans="3:30" ht="10.5" customHeight="1">
      <c r="C306" s="4947"/>
      <c r="D306" s="4950"/>
      <c r="E306" s="4950"/>
      <c r="F306" s="4950"/>
      <c r="G306" s="4947"/>
      <c r="H306" s="4950"/>
      <c r="I306" s="4950"/>
      <c r="J306" s="4950"/>
      <c r="L306" s="4947"/>
      <c r="M306" s="4950"/>
      <c r="N306" s="4950"/>
      <c r="O306" s="4950"/>
      <c r="P306" s="241" t="s">
        <v>2232</v>
      </c>
      <c r="Q306" s="241"/>
      <c r="R306" s="147"/>
      <c r="S306" s="236"/>
      <c r="T306" s="392" t="s">
        <v>737</v>
      </c>
      <c r="U306" s="392" t="s">
        <v>100</v>
      </c>
      <c r="W306" s="44" t="s">
        <v>1352</v>
      </c>
      <c r="X306" s="44" t="s">
        <v>3018</v>
      </c>
      <c r="AA306"/>
      <c r="AB306"/>
      <c r="AC306" s="380"/>
      <c r="AD306" s="68"/>
    </row>
    <row r="307" spans="3:30" ht="10.5" customHeight="1">
      <c r="C307" s="4947"/>
      <c r="D307" s="4950"/>
      <c r="E307" s="4950"/>
      <c r="F307" s="4950"/>
      <c r="G307" s="4947"/>
      <c r="H307" s="4950"/>
      <c r="I307" s="4950"/>
      <c r="J307" s="4950"/>
      <c r="L307" s="4947"/>
      <c r="M307" s="4950"/>
      <c r="N307" s="4950"/>
      <c r="O307" s="4950"/>
      <c r="P307" s="241" t="s">
        <v>2233</v>
      </c>
      <c r="Q307" s="241"/>
      <c r="R307" s="147"/>
      <c r="S307" s="236"/>
      <c r="T307" s="392" t="s">
        <v>739</v>
      </c>
      <c r="U307" s="392" t="s">
        <v>116</v>
      </c>
      <c r="W307" s="44" t="s">
        <v>1453</v>
      </c>
      <c r="X307" s="44" t="s">
        <v>3018</v>
      </c>
      <c r="AA307"/>
      <c r="AB307"/>
      <c r="AC307" s="380"/>
      <c r="AD307" s="68"/>
    </row>
    <row r="308" spans="3:30" ht="10.5" customHeight="1">
      <c r="C308" s="4948"/>
      <c r="D308" s="4951"/>
      <c r="E308" s="4951"/>
      <c r="F308" s="4951"/>
      <c r="G308" s="4948"/>
      <c r="H308" s="4951"/>
      <c r="I308" s="4951"/>
      <c r="J308" s="4951"/>
      <c r="L308" s="4948"/>
      <c r="M308" s="4951"/>
      <c r="N308" s="4951"/>
      <c r="O308" s="495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Sylvester, West Pine Residences,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3289</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2023PA-014</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Lowcountry Housing Communities</v>
      </c>
      <c r="G14" s="1819"/>
      <c r="H14" s="1819"/>
      <c r="I14" s="1819" t="s">
        <v>1670</v>
      </c>
      <c r="J14" s="1819" t="str">
        <f>'Part I-Project Identification'!J15</f>
        <v>Max Elbe</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6788956172</v>
      </c>
      <c r="G15" s="2628"/>
      <c r="H15" s="2628"/>
      <c r="I15" s="2623" t="s">
        <v>1598</v>
      </c>
      <c r="J15" s="2629">
        <f>'Part I-Project Identification'!J16</f>
        <v>0</v>
      </c>
      <c r="M15" s="2623" t="s">
        <v>1600</v>
      </c>
      <c r="N15" s="2628">
        <f>'Part I-Project Identification'!N16</f>
        <v>6788956172</v>
      </c>
      <c r="O15" s="2628"/>
      <c r="P15" s="2628"/>
      <c r="Q15" s="357"/>
      <c r="R15" s="357"/>
      <c r="S15" s="357"/>
      <c r="V15" s="2630"/>
      <c r="W15" s="2630"/>
      <c r="X15" s="2630"/>
      <c r="Z15" s="1622">
        <v>18</v>
      </c>
    </row>
    <row r="16" spans="1:26" s="1819" customFormat="1">
      <c r="B16" s="2623" t="s">
        <v>1842</v>
      </c>
      <c r="F16" s="2631" t="str">
        <f>'Part I-Project Identification'!F17</f>
        <v>max@lchousing.com</v>
      </c>
      <c r="G16" s="2631"/>
      <c r="H16" s="2631"/>
      <c r="I16" s="2631"/>
      <c r="J16" s="2631"/>
      <c r="K16" s="2631"/>
      <c r="L16" s="2631"/>
      <c r="M16" s="2623" t="s">
        <v>1838</v>
      </c>
      <c r="N16" s="2628">
        <f>'Part I-Project Identification'!N17</f>
        <v>6788956172</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Lowcountry Housing Communities</v>
      </c>
      <c r="G18" s="1819"/>
      <c r="H18" s="1819"/>
      <c r="I18" s="1819" t="s">
        <v>1670</v>
      </c>
      <c r="J18" s="1819" t="str">
        <f>'Part I-Project Identification'!J19</f>
        <v>Robert Haley</v>
      </c>
      <c r="K18" s="1819"/>
      <c r="L18" s="1819"/>
      <c r="M18" s="2623" t="s">
        <v>1839</v>
      </c>
      <c r="N18" s="1819" t="str">
        <f>'Part I-Project Identification'!N19</f>
        <v>Principal</v>
      </c>
      <c r="O18" s="1819"/>
      <c r="P18" s="1819"/>
    </row>
    <row r="19" spans="1:26" s="1819" customFormat="1" ht="12.75" customHeight="1">
      <c r="B19" s="2623" t="s">
        <v>1599</v>
      </c>
      <c r="F19" s="2628">
        <f>'Part I-Project Identification'!F20</f>
        <v>6785952542</v>
      </c>
      <c r="G19" s="2628"/>
      <c r="H19" s="2628"/>
      <c r="I19" s="2623" t="s">
        <v>1598</v>
      </c>
      <c r="J19" s="2629">
        <f>'Part I-Project Identification'!J20</f>
        <v>0</v>
      </c>
      <c r="M19" s="2623" t="s">
        <v>1600</v>
      </c>
      <c r="N19" s="2628">
        <f>'Part I-Project Identification'!N20</f>
        <v>6785952542</v>
      </c>
      <c r="O19" s="2628"/>
      <c r="P19" s="2628"/>
      <c r="Q19" s="357"/>
      <c r="R19" s="357"/>
      <c r="S19" s="357"/>
      <c r="V19" s="2630"/>
      <c r="W19" s="2630"/>
      <c r="X19" s="2630"/>
      <c r="Z19" s="1622">
        <v>18</v>
      </c>
    </row>
    <row r="20" spans="1:26" s="1819" customFormat="1">
      <c r="B20" s="2623" t="s">
        <v>1842</v>
      </c>
      <c r="F20" s="2631" t="str">
        <f>'Part I-Project Identification'!F21</f>
        <v>rob@lchousing.com</v>
      </c>
      <c r="G20" s="2631"/>
      <c r="H20" s="2631"/>
      <c r="I20" s="2631"/>
      <c r="J20" s="2631"/>
      <c r="K20" s="2631"/>
      <c r="L20" s="2631"/>
      <c r="M20" s="2623" t="s">
        <v>1838</v>
      </c>
      <c r="N20" s="2628">
        <f>'Part I-Project Identification'!N21</f>
        <v>6785952542</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West Pine Residences</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Sylvester</v>
      </c>
      <c r="G25" s="1819"/>
      <c r="H25" s="1819"/>
      <c r="I25" s="2632" t="s">
        <v>576</v>
      </c>
      <c r="J25" s="1819" t="str">
        <f>'Part I-Project Identification'!J26</f>
        <v>Worth</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5</v>
      </c>
      <c r="P26" s="2634"/>
    </row>
    <row r="27" spans="1:26">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MSA</v>
      </c>
      <c r="O27" s="1819" t="str">
        <f>'Part I-Project Identification'!O28</f>
        <v>Albany</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West Pine Residences, Sylvester, Worth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Yes</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38.25">
      <c r="A65" s="1819"/>
      <c r="B65" s="1819" t="s">
        <v>1486</v>
      </c>
      <c r="C65" s="1819"/>
      <c r="D65" s="1819"/>
      <c r="E65" s="1819"/>
      <c r="F65" s="1819"/>
      <c r="G65" s="1819"/>
      <c r="H65" s="2645" t="str">
        <f>'Part II-Sources of Funds'!H22</f>
        <v>Central Bank of Kansas City</v>
      </c>
      <c r="I65" s="2645"/>
      <c r="J65" s="2645"/>
      <c r="K65" s="2645"/>
      <c r="L65" s="2547">
        <f>'Part II-Sources of Funds'!L22</f>
        <v>9806796</v>
      </c>
      <c r="M65" s="2547"/>
      <c r="N65" s="2548">
        <f>'Part II-Sources of Funds'!N22</f>
        <v>0.08</v>
      </c>
      <c r="O65" s="2548"/>
      <c r="P65" s="2549">
        <f>'Part II-Sources of Funds'!P22</f>
        <v>24</v>
      </c>
      <c r="Q65" s="2549"/>
    </row>
    <row r="66" spans="1:17" ht="89.25">
      <c r="A66" s="1819"/>
      <c r="B66" s="1819" t="s">
        <v>1487</v>
      </c>
      <c r="C66" s="1819"/>
      <c r="D66" s="1819"/>
      <c r="E66" s="1819"/>
      <c r="F66" s="1819"/>
      <c r="G66" s="1819"/>
      <c r="H66" s="2645" t="str">
        <f>'Part II-Sources of Funds'!H23</f>
        <v>Central Bank of Kansas City (Capital Magnet Funds)</v>
      </c>
      <c r="I66" s="2645"/>
      <c r="J66" s="2645"/>
      <c r="K66" s="2645"/>
      <c r="L66" s="2547">
        <f>'Part II-Sources of Funds'!L23</f>
        <v>500000</v>
      </c>
      <c r="M66" s="2547"/>
      <c r="N66" s="2548">
        <f>'Part II-Sources of Funds'!N23</f>
        <v>3.6600000000000001E-2</v>
      </c>
      <c r="O66" s="2548"/>
      <c r="P66" s="2549">
        <f>'Part II-Sources of Funds'!P23</f>
        <v>24</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Affordable Equity Partners</v>
      </c>
      <c r="I71" s="2645"/>
      <c r="J71" s="2645"/>
      <c r="K71" s="2645"/>
      <c r="L71" s="2547">
        <f>'Part II-Sources of Funds'!L28</f>
        <v>1878312.2000000002</v>
      </c>
      <c r="M71" s="2547"/>
      <c r="N71" s="1819"/>
      <c r="O71" s="2641"/>
      <c r="P71" s="2641"/>
      <c r="Q71" s="1819"/>
    </row>
    <row r="72" spans="1:17" ht="38.25">
      <c r="A72" s="1819"/>
      <c r="B72" s="1819" t="s">
        <v>747</v>
      </c>
      <c r="C72" s="1819"/>
      <c r="D72" s="1819"/>
      <c r="E72" s="1819"/>
      <c r="F72" s="2641"/>
      <c r="G72" s="2641"/>
      <c r="H72" s="2645" t="str">
        <f>'Part II-Sources of Funds'!H29</f>
        <v>Affordable Equity Partners</v>
      </c>
      <c r="I72" s="2645"/>
      <c r="J72" s="2645"/>
      <c r="K72" s="2645"/>
      <c r="L72" s="2547">
        <f>'Part II-Sources of Funds'!L29</f>
        <v>784471.60000000009</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12969579.799999999</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12969579.405665185</v>
      </c>
      <c r="M77" s="2550"/>
      <c r="N77" s="2646"/>
      <c r="O77" s="2641"/>
      <c r="P77" s="2641"/>
      <c r="Q77" s="2641"/>
    </row>
    <row r="78" spans="1:17" ht="13.5">
      <c r="A78" s="1819"/>
      <c r="B78" s="2623" t="s">
        <v>2002</v>
      </c>
      <c r="C78" s="1819"/>
      <c r="D78" s="1819"/>
      <c r="E78" s="1819"/>
      <c r="F78" s="1819"/>
      <c r="G78" s="1819"/>
      <c r="H78" s="1819"/>
      <c r="I78" s="1819"/>
      <c r="J78" s="2641"/>
      <c r="K78" s="2641"/>
      <c r="L78" s="2647">
        <f>L76-L77</f>
        <v>0.39433481357991695</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89.25">
      <c r="A83" s="1819"/>
      <c r="B83" s="1819" t="s">
        <v>2402</v>
      </c>
      <c r="C83" s="1819"/>
      <c r="D83" s="1819"/>
      <c r="E83" s="2645" t="str">
        <f>'Part II-Sources of Funds'!E40</f>
        <v>Central Bank of Kansas City (Capital Magnet Funds)</v>
      </c>
      <c r="F83" s="2645"/>
      <c r="G83" s="2645"/>
      <c r="H83" s="2645"/>
      <c r="I83" s="2648">
        <f>'Part II-Sources of Funds'!I40</f>
        <v>500000</v>
      </c>
      <c r="J83" s="1819"/>
      <c r="K83" s="2649">
        <f>'Part II-Sources of Funds'!K40</f>
        <v>3.6600000000000001E-2</v>
      </c>
      <c r="L83" s="1622">
        <f>'Part II-Sources of Funds'!L40</f>
        <v>15</v>
      </c>
      <c r="M83" s="1622">
        <f>'Part II-Sources of Funds'!M40</f>
        <v>30</v>
      </c>
      <c r="N83" s="1819" t="str">
        <f>'Part II-Sources of Funds'!N40</f>
        <v>Amortizing</v>
      </c>
      <c r="O83" s="1819"/>
      <c r="P83" s="2551">
        <f>'Part II-Sources of Funds'!P40</f>
        <v>27481.410572564375</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6.1578512396694212E-3</v>
      </c>
      <c r="E88" s="2645" t="str">
        <f>'Part II-Sources of Funds'!E45</f>
        <v>Lowcountry Housing Communities II, LLC</v>
      </c>
      <c r="F88" s="2645"/>
      <c r="G88" s="2645"/>
      <c r="H88" s="2645"/>
      <c r="I88" s="2648">
        <f>'Part II-Sources of Funds'!I45</f>
        <v>7451</v>
      </c>
      <c r="J88" s="1819"/>
      <c r="K88" s="2649">
        <f>'Part II-Sources of Funds'!K45</f>
        <v>0</v>
      </c>
      <c r="L88" s="1622">
        <f>'Part II-Sources of Funds'!L45</f>
        <v>15</v>
      </c>
      <c r="M88" s="1622" t="str">
        <f>'Part II-Sources of Funds'!M45</f>
        <v>N/A</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249139.52923944738</v>
      </c>
      <c r="G90" s="2641"/>
      <c r="H90" s="2654" t="s">
        <v>3404</v>
      </c>
      <c r="I90" s="2653">
        <f>'Part II-Sources of Funds'!I47</f>
        <v>7451</v>
      </c>
      <c r="J90" s="2641"/>
      <c r="K90" s="2654" t="s">
        <v>3406</v>
      </c>
      <c r="L90" s="2655">
        <f>'Part II-Sources of Funds'!L47</f>
        <v>2.9906936176470264E-2</v>
      </c>
      <c r="M90" s="2655"/>
      <c r="N90" s="2551" t="s">
        <v>3847</v>
      </c>
      <c r="O90" s="2551"/>
      <c r="P90" s="1820">
        <f>'Part II-Sources of Funds'!P47</f>
        <v>0.1158476248383522</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Affordable Equity Partners</v>
      </c>
      <c r="F94" s="2645"/>
      <c r="G94" s="2645"/>
      <c r="H94" s="2645"/>
      <c r="I94" s="2648">
        <f>'Part II-Sources of Funds'!I51</f>
        <v>9391561</v>
      </c>
      <c r="J94" s="1819"/>
      <c r="K94" s="2641"/>
      <c r="L94" s="2659">
        <f>'Part II-Sources of Funds'!L51</f>
        <v>9392500</v>
      </c>
      <c r="M94" s="2659"/>
      <c r="N94" s="2660">
        <f>I94-L94</f>
        <v>-939</v>
      </c>
      <c r="O94" s="2660"/>
      <c r="P94" s="2661">
        <f>I94/I104</f>
        <v>0.67949565935084888</v>
      </c>
      <c r="Q94" s="1819"/>
    </row>
    <row r="95" spans="1:17" ht="38.25">
      <c r="A95" s="1819"/>
      <c r="B95" s="1819" t="s">
        <v>747</v>
      </c>
      <c r="C95" s="1819"/>
      <c r="D95" s="1819"/>
      <c r="E95" s="2645" t="str">
        <f>'Part II-Sources of Funds'!E52</f>
        <v>Affordable Equity Partners</v>
      </c>
      <c r="F95" s="2645"/>
      <c r="G95" s="2645"/>
      <c r="H95" s="2645"/>
      <c r="I95" s="2648">
        <f>'Part II-Sources of Funds'!I52</f>
        <v>3922358</v>
      </c>
      <c r="J95" s="1819"/>
      <c r="K95" s="2641"/>
      <c r="L95" s="2659">
        <f>'Part II-Sources of Funds'!L52</f>
        <v>3922750</v>
      </c>
      <c r="M95" s="2659"/>
      <c r="N95" s="2660">
        <f>I95-L95</f>
        <v>-392</v>
      </c>
      <c r="O95" s="2660"/>
      <c r="P95" s="2661">
        <f>I95/I104</f>
        <v>0.28378937595359033</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0.96328503530443921</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13821370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13821370.115847625</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-0.1158476248383522</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 State Limited Partner will contribute capital for an allocation of 99.99% of the State Tax Credits at $.35 per credit.
The Federal Limited Partner will contribute capital for an allocation of 99.99% of the Federal Tax Credits at $.85 per credit.
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West Pine Residences,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12000</v>
      </c>
      <c r="H122" s="2547"/>
      <c r="I122" s="1819"/>
      <c r="J122" s="2547">
        <f>'Part III-A-Uses of Funds'!J9</f>
        <v>12000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9000</v>
      </c>
      <c r="H123" s="2547"/>
      <c r="I123" s="1819"/>
      <c r="J123" s="2547">
        <f>'Part III-A-Uses of Funds'!J10</f>
        <v>9000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10000</v>
      </c>
      <c r="H124" s="2547"/>
      <c r="I124" s="1819"/>
      <c r="J124" s="2547">
        <f>'Part III-A-Uses of Funds'!J11</f>
        <v>10000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15000</v>
      </c>
      <c r="H125" s="2547"/>
      <c r="I125" s="1819"/>
      <c r="J125" s="2547">
        <f>'Part III-A-Uses of Funds'!J12</f>
        <v>15000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6100</v>
      </c>
      <c r="H126" s="2547"/>
      <c r="I126" s="1819"/>
      <c r="J126" s="2547">
        <f>'Part III-A-Uses of Funds'!J13</f>
        <v>6100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52100</v>
      </c>
      <c r="H131" s="2547"/>
      <c r="I131" s="1819"/>
      <c r="J131" s="2547">
        <f>SUM(J122:J130)</f>
        <v>52100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49800</v>
      </c>
      <c r="G133" s="2547">
        <f>'Part III-A-Uses of Funds'!G20</f>
        <v>249000</v>
      </c>
      <c r="H133" s="2547"/>
      <c r="I133" s="1819"/>
      <c r="J133" s="2545"/>
      <c r="K133" s="2547"/>
      <c r="L133" s="2545"/>
      <c r="M133" s="2545"/>
      <c r="N133" s="2547"/>
      <c r="O133" s="1819"/>
      <c r="P133" s="2545"/>
      <c r="Q133" s="2547"/>
      <c r="R133" s="1819"/>
      <c r="S133" s="2547">
        <f>'Part III-A-Uses of Funds'!S20</f>
        <v>249000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249000</v>
      </c>
      <c r="H137" s="2547"/>
      <c r="I137" s="1819"/>
      <c r="J137" s="2545"/>
      <c r="K137" s="2547"/>
      <c r="L137" s="2545"/>
      <c r="M137" s="2547">
        <f>SUM(M135:M136)</f>
        <v>0</v>
      </c>
      <c r="N137" s="2547"/>
      <c r="O137" s="1819"/>
      <c r="P137" s="2545"/>
      <c r="Q137" s="2547"/>
      <c r="R137" s="1819"/>
      <c r="S137" s="2547">
        <f>SUM(S133:S136)</f>
        <v>249000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340000</v>
      </c>
      <c r="G139" s="2547">
        <f>'Part III-A-Uses of Funds'!G26</f>
        <v>1700000</v>
      </c>
      <c r="H139" s="2547"/>
      <c r="I139" s="1819"/>
      <c r="J139" s="2547">
        <f>'Part III-A-Uses of Funds'!J26</f>
        <v>1615000</v>
      </c>
      <c r="K139" s="2547"/>
      <c r="L139" s="2545"/>
      <c r="M139" s="2547">
        <f>'Part III-A-Uses of Funds'!M26</f>
        <v>0</v>
      </c>
      <c r="N139" s="2547"/>
      <c r="O139" s="1819"/>
      <c r="P139" s="2547">
        <f>'Part III-A-Uses of Funds'!P26</f>
        <v>0</v>
      </c>
      <c r="Q139" s="2547"/>
      <c r="R139" s="1819"/>
      <c r="S139" s="2547">
        <f>'Part III-A-Uses of Funds'!S26</f>
        <v>85000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1700000</v>
      </c>
      <c r="H141" s="2547"/>
      <c r="I141" s="1819"/>
      <c r="J141" s="2547">
        <f>SUM(J139:J140)</f>
        <v>1615000</v>
      </c>
      <c r="K141" s="2547"/>
      <c r="L141" s="2545"/>
      <c r="M141" s="2547">
        <f>M139</f>
        <v>0</v>
      </c>
      <c r="N141" s="2547"/>
      <c r="O141" s="1819"/>
      <c r="P141" s="2547">
        <f>P139</f>
        <v>0</v>
      </c>
      <c r="Q141" s="2547"/>
      <c r="R141" s="1819"/>
      <c r="S141" s="2547">
        <f>SUM(S139:S140)</f>
        <v>85000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6926372</v>
      </c>
      <c r="H143" s="2547"/>
      <c r="I143" s="1819"/>
      <c r="J143" s="2547">
        <f>'Part III-A-Uses of Funds'!J30</f>
        <v>6926372</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347000</v>
      </c>
      <c r="H145" s="2547"/>
      <c r="I145" s="1819"/>
      <c r="J145" s="2547">
        <f>'Part III-A-Uses of Funds'!J32</f>
        <v>347000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7273372</v>
      </c>
      <c r="H149" s="2547"/>
      <c r="I149" s="1819"/>
      <c r="J149" s="2547">
        <f>SUM(J143:J148)</f>
        <v>7273372</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538402</v>
      </c>
      <c r="F151" s="2676">
        <f>IF(($G$24+$G$32)=0,0,G151/($G$24+$G$32))</f>
        <v>0</v>
      </c>
      <c r="G151" s="2547">
        <f>'Part III-A-Uses of Funds'!G38</f>
        <v>538402</v>
      </c>
      <c r="H151" s="2547"/>
      <c r="I151" s="1819"/>
      <c r="J151" s="2547">
        <f>'Part III-A-Uses of Funds'!J38</f>
        <v>538402</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179467</v>
      </c>
      <c r="F152" s="2676">
        <f>IF(($G$24+$G$32)=0,0,G152/($G$24+$G$32))</f>
        <v>0</v>
      </c>
      <c r="G152" s="2547">
        <f>'Part III-A-Uses of Funds'!G39</f>
        <v>179467</v>
      </c>
      <c r="H152" s="2547"/>
      <c r="I152" s="378"/>
      <c r="J152" s="2547">
        <f>'Part III-A-Uses of Funds'!J39</f>
        <v>179467</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538402</v>
      </c>
      <c r="F153" s="2676">
        <f>IF(($G$24+$G$32)=0,0,G153/($G$24+$G$32))</f>
        <v>0</v>
      </c>
      <c r="G153" s="2547">
        <f>'Part III-A-Uses of Funds'!G40</f>
        <v>538402</v>
      </c>
      <c r="H153" s="2547"/>
      <c r="I153" s="378"/>
      <c r="J153" s="2547">
        <f>'Part III-A-Uses of Funds'!J40</f>
        <v>538402</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1256271</v>
      </c>
      <c r="F154" s="2669" t="s">
        <v>184</v>
      </c>
      <c r="G154" s="2547">
        <f>SUM(G151:G153)</f>
        <v>1256271</v>
      </c>
      <c r="H154" s="2547"/>
      <c r="I154" s="1819"/>
      <c r="J154" s="2547">
        <f>SUM(J151:J153)</f>
        <v>1256271</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10229643</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232491.88636363635</v>
      </c>
      <c r="G161" s="2682" t="s">
        <v>6957</v>
      </c>
      <c r="H161" s="1819"/>
      <c r="I161" s="1819"/>
      <c r="J161" s="2558">
        <f>C162/'Part V-Revenues &amp; Expenses'!$P$67</f>
        <v>232491.88636363635</v>
      </c>
      <c r="K161" s="2558"/>
      <c r="L161" s="1819"/>
      <c r="M161" s="2683" t="s">
        <v>6475</v>
      </c>
      <c r="N161" s="2683"/>
      <c r="O161" s="1819"/>
      <c r="P161" s="2558">
        <f>C162/'Part V-Revenues &amp; Expenses'!$K$175</f>
        <v>222.21929443454837</v>
      </c>
      <c r="Q161" s="2558"/>
      <c r="R161" s="1819"/>
      <c r="S161" s="2684" t="s">
        <v>6477</v>
      </c>
      <c r="T161" s="2684"/>
      <c r="U161" s="1819"/>
      <c r="V161" s="2665"/>
    </row>
    <row r="162" spans="1:22" ht="13.5">
      <c r="A162" s="1819"/>
      <c r="B162" s="2685" t="s">
        <v>6488</v>
      </c>
      <c r="C162" s="2686">
        <f>G141+G149+G154+G159</f>
        <v>10229643</v>
      </c>
      <c r="D162" s="1819"/>
      <c r="E162" s="2616"/>
      <c r="F162" s="2557">
        <f>C162/'Part V-Revenues &amp; Expenses'!$P$166</f>
        <v>233.37233654241001</v>
      </c>
      <c r="G162" s="2684" t="s">
        <v>6958</v>
      </c>
      <c r="H162" s="1819"/>
      <c r="I162" s="1819"/>
      <c r="J162" s="2558">
        <f>C162/'Part V-Revenues &amp; Expenses'!$P$168</f>
        <v>233.37233654241001</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511482.15</v>
      </c>
      <c r="F168" s="2650">
        <f>G168/C162</f>
        <v>0.05</v>
      </c>
      <c r="G168" s="2547">
        <f>'Part III-A-Uses of Funds'!G55</f>
        <v>511482.15</v>
      </c>
      <c r="H168" s="2547"/>
      <c r="I168" s="1819"/>
      <c r="J168" s="2547">
        <f>'Part III-A-Uses of Funds'!J55</f>
        <v>511482.15</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244116.48068181818</v>
      </c>
      <c r="G170" s="2682" t="s">
        <v>6957</v>
      </c>
      <c r="H170" s="1819"/>
      <c r="I170" s="1819"/>
      <c r="J170" s="2558">
        <f>B171/'Part V-Revenues &amp; Expenses'!$P$67</f>
        <v>244116.48068181818</v>
      </c>
      <c r="K170" s="2558"/>
      <c r="L170" s="1819"/>
      <c r="M170" s="2683" t="s">
        <v>6475</v>
      </c>
      <c r="N170" s="2683"/>
      <c r="O170" s="1819"/>
      <c r="P170" s="2558">
        <f>B171/'Part V-Revenues &amp; Expenses'!$K$175</f>
        <v>233.33025915627582</v>
      </c>
      <c r="Q170" s="2558"/>
      <c r="R170" s="1819"/>
      <c r="S170" s="2684" t="s">
        <v>6477</v>
      </c>
      <c r="T170" s="2684"/>
      <c r="U170" s="1819"/>
      <c r="V170" s="2665"/>
    </row>
    <row r="171" spans="1:22">
      <c r="A171" s="1819"/>
      <c r="B171" s="2686">
        <f>C162+G168</f>
        <v>10741125.15</v>
      </c>
      <c r="C171" s="2686"/>
      <c r="D171" s="1819"/>
      <c r="E171" s="2616"/>
      <c r="F171" s="2557">
        <f>B171/'Part V-Revenues &amp; Expenses'!$P$166</f>
        <v>245.04095336953051</v>
      </c>
      <c r="G171" s="2684" t="s">
        <v>6958</v>
      </c>
      <c r="H171" s="1819"/>
      <c r="I171" s="1819"/>
      <c r="J171" s="2558">
        <f>B171/'Part V-Revenues &amp; Expenses'!$P$168</f>
        <v>245.04095336953051</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104000</v>
      </c>
      <c r="H176" s="2547"/>
      <c r="I176" s="1819"/>
      <c r="J176" s="2547">
        <f>'Part III-A-Uses of Funds'!J63</f>
        <v>52000</v>
      </c>
      <c r="K176" s="2547"/>
      <c r="L176" s="2545"/>
      <c r="M176" s="2547">
        <f>'Part III-A-Uses of Funds'!M63</f>
        <v>0</v>
      </c>
      <c r="N176" s="2547"/>
      <c r="O176" s="1819"/>
      <c r="P176" s="2547">
        <f>'Part III-A-Uses of Funds'!P63</f>
        <v>0</v>
      </c>
      <c r="Q176" s="2547"/>
      <c r="R176" s="1819"/>
      <c r="S176" s="2547">
        <f>'Part III-A-Uses of Funds'!S63</f>
        <v>52000</v>
      </c>
      <c r="T176" s="2547"/>
      <c r="U176" s="1819"/>
      <c r="V176" s="2665"/>
    </row>
    <row r="177" spans="1:22">
      <c r="A177" s="1819"/>
      <c r="B177" s="1819" t="s">
        <v>2167</v>
      </c>
      <c r="C177" s="1819"/>
      <c r="D177" s="1819"/>
      <c r="E177" s="1819"/>
      <c r="F177" s="1819"/>
      <c r="G177" s="2547">
        <f>'Part III-A-Uses of Funds'!G64</f>
        <v>427349.25566518534</v>
      </c>
      <c r="H177" s="2547"/>
      <c r="I177" s="1819"/>
      <c r="J177" s="2547">
        <f>'Part III-A-Uses of Funds'!J64</f>
        <v>427349.25566518534</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60000</v>
      </c>
      <c r="H178" s="2547"/>
      <c r="I178" s="1819"/>
      <c r="J178" s="2547">
        <f>'Part III-A-Uses of Funds'!J65</f>
        <v>60000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15000</v>
      </c>
      <c r="H179" s="2547"/>
      <c r="I179" s="1819"/>
      <c r="J179" s="2547">
        <f>'Part III-A-Uses of Funds'!J66</f>
        <v>15000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6500</v>
      </c>
      <c r="H180" s="2547"/>
      <c r="I180" s="1819"/>
      <c r="J180" s="2547">
        <f>'Part III-A-Uses of Funds'!J67</f>
        <v>6500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13000</v>
      </c>
      <c r="H181" s="2547"/>
      <c r="I181" s="1819"/>
      <c r="J181" s="2547">
        <f>'Part III-A-Uses of Funds'!J68</f>
        <v>13000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21000</v>
      </c>
      <c r="H182" s="2547"/>
      <c r="I182" s="1819"/>
      <c r="J182" s="2547">
        <f>'Part III-A-Uses of Funds'!J69</f>
        <v>21000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646849.2556651854</v>
      </c>
      <c r="H186" s="2547"/>
      <c r="I186" s="1819"/>
      <c r="J186" s="2547">
        <f>SUM(J174:J185)</f>
        <v>594849.2556651854</v>
      </c>
      <c r="K186" s="2547"/>
      <c r="L186" s="2545"/>
      <c r="M186" s="2547">
        <f>SUM(M174:M185)</f>
        <v>0</v>
      </c>
      <c r="N186" s="2547"/>
      <c r="O186" s="1819"/>
      <c r="P186" s="2547">
        <f>SUM(P174:P185)</f>
        <v>0</v>
      </c>
      <c r="Q186" s="2547"/>
      <c r="R186" s="1819"/>
      <c r="S186" s="2547">
        <f>SUM(S174:S185)</f>
        <v>52000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147400</v>
      </c>
      <c r="H188" s="2547"/>
      <c r="I188" s="1819"/>
      <c r="J188" s="2547">
        <f>'Part III-A-Uses of Funds'!J75</f>
        <v>147400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22000</v>
      </c>
      <c r="H189" s="2547"/>
      <c r="I189" s="1819"/>
      <c r="J189" s="2547">
        <f>'Part III-A-Uses of Funds'!J76</f>
        <v>22000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30000</v>
      </c>
      <c r="H190" s="2547"/>
      <c r="I190" s="1819"/>
      <c r="J190" s="2547">
        <f>'Part III-A-Uses of Funds'!J77</f>
        <v>30000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6000</v>
      </c>
      <c r="H191" s="2547"/>
      <c r="I191" s="1819"/>
      <c r="J191" s="2547">
        <f>'Part III-A-Uses of Funds'!J78</f>
        <v>6000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15000</v>
      </c>
      <c r="H192" s="2547"/>
      <c r="I192" s="1819"/>
      <c r="J192" s="2547">
        <f>'Part III-A-Uses of Funds'!J79</f>
        <v>15000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30000</v>
      </c>
      <c r="H193" s="2547"/>
      <c r="I193" s="1819"/>
      <c r="J193" s="2547">
        <f>'Part III-A-Uses of Funds'!J80</f>
        <v>30000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90000</v>
      </c>
      <c r="H194" s="2547"/>
      <c r="I194" s="1819"/>
      <c r="J194" s="2547">
        <f>'Part III-A-Uses of Funds'!J81</f>
        <v>90000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27000</v>
      </c>
      <c r="H195" s="2547"/>
      <c r="I195" s="1819"/>
      <c r="J195" s="2547">
        <f>'Part III-A-Uses of Funds'!J82</f>
        <v>15000</v>
      </c>
      <c r="K195" s="2547"/>
      <c r="L195" s="2545"/>
      <c r="M195" s="2547">
        <f>'Part III-A-Uses of Funds'!M82</f>
        <v>0</v>
      </c>
      <c r="N195" s="2547"/>
      <c r="O195" s="1819"/>
      <c r="P195" s="2547">
        <f>'Part III-A-Uses of Funds'!P82</f>
        <v>0</v>
      </c>
      <c r="Q195" s="2547"/>
      <c r="R195" s="1819"/>
      <c r="S195" s="2547">
        <f>'Part III-A-Uses of Funds'!S82</f>
        <v>12000</v>
      </c>
      <c r="T195" s="2547"/>
      <c r="U195" s="1819"/>
      <c r="V195" s="2665"/>
    </row>
    <row r="196" spans="1:22">
      <c r="A196" s="1819"/>
      <c r="B196" s="1819" t="s">
        <v>1899</v>
      </c>
      <c r="C196" s="1819"/>
      <c r="D196" s="1819"/>
      <c r="E196" s="1819"/>
      <c r="F196" s="1819"/>
      <c r="G196" s="2547">
        <f>'Part III-A-Uses of Funds'!G83</f>
        <v>29000</v>
      </c>
      <c r="H196" s="2547"/>
      <c r="I196" s="1819"/>
      <c r="J196" s="2547">
        <f>'Part III-A-Uses of Funds'!J83</f>
        <v>29000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5000</v>
      </c>
      <c r="H197" s="2547"/>
      <c r="I197" s="1819"/>
      <c r="J197" s="2547">
        <f>'Part III-A-Uses of Funds'!J84</f>
        <v>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401400</v>
      </c>
      <c r="H199" s="2547"/>
      <c r="I199" s="1819"/>
      <c r="J199" s="2547">
        <f>SUM(J188:J198)</f>
        <v>389400</v>
      </c>
      <c r="K199" s="2547"/>
      <c r="L199" s="2545"/>
      <c r="M199" s="2547">
        <f>SUM(M188:M198)</f>
        <v>0</v>
      </c>
      <c r="N199" s="2547"/>
      <c r="O199" s="1819"/>
      <c r="P199" s="2547">
        <f>SUM(P188:P198)</f>
        <v>0</v>
      </c>
      <c r="Q199" s="2547"/>
      <c r="R199" s="1819"/>
      <c r="S199" s="2547">
        <f>SUM(S188:S198)</f>
        <v>12000</v>
      </c>
      <c r="T199" s="2547"/>
      <c r="U199" s="1819"/>
      <c r="V199" s="2665">
        <f>SUM(V188:V198)</f>
        <v>0</v>
      </c>
    </row>
    <row r="200" spans="1:22">
      <c r="A200" s="1819"/>
      <c r="B200" s="2614" t="s">
        <v>1193</v>
      </c>
      <c r="C200" s="1819"/>
      <c r="D200" s="2692" t="s">
        <v>3228</v>
      </c>
      <c r="E200" s="2693">
        <f>G205/'Part V-Revenues &amp; Expenses'!$P$67</f>
        <v>1825.1136363636363</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6905</v>
      </c>
      <c r="H201" s="2547"/>
      <c r="I201" s="1819"/>
      <c r="J201" s="2547">
        <f>'Part III-A-Uses of Funds'!J88</f>
        <v>6905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32900</v>
      </c>
      <c r="H203" s="2547"/>
      <c r="I203" s="378"/>
      <c r="J203" s="2547">
        <f>'Part III-A-Uses of Funds'!J90</f>
        <v>32900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40500</v>
      </c>
      <c r="H204" s="2547"/>
      <c r="I204" s="378"/>
      <c r="J204" s="2547">
        <f>'Part III-A-Uses of Funds'!J91</f>
        <v>40500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80305</v>
      </c>
      <c r="H205" s="2547"/>
      <c r="I205" s="1819"/>
      <c r="J205" s="2547">
        <f>SUM(J201:J204)</f>
        <v>80305</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5000</v>
      </c>
      <c r="H210" s="2547"/>
      <c r="I210" s="1819"/>
      <c r="J210" s="2547"/>
      <c r="K210" s="2547"/>
      <c r="L210" s="2545"/>
      <c r="M210" s="2547"/>
      <c r="N210" s="2547"/>
      <c r="O210" s="1819"/>
      <c r="P210" s="2547"/>
      <c r="Q210" s="2547"/>
      <c r="R210" s="1819"/>
      <c r="S210" s="2547">
        <f>'Part III-A-Uses of Funds'!S97</f>
        <v>5000</v>
      </c>
      <c r="T210" s="2547"/>
      <c r="U210" s="1819"/>
      <c r="V210" s="2665"/>
    </row>
    <row r="211" spans="1:33">
      <c r="A211" s="1819"/>
      <c r="B211" s="1819" t="s">
        <v>1199</v>
      </c>
      <c r="C211" s="1819"/>
      <c r="D211" s="1819"/>
      <c r="E211" s="1819"/>
      <c r="F211" s="1819"/>
      <c r="G211" s="2547">
        <f>'Part III-A-Uses of Funds'!G98</f>
        <v>15000</v>
      </c>
      <c r="H211" s="2547"/>
      <c r="I211" s="1819"/>
      <c r="J211" s="2547"/>
      <c r="K211" s="2547"/>
      <c r="L211" s="2545"/>
      <c r="M211" s="2547"/>
      <c r="N211" s="2547"/>
      <c r="O211" s="1819"/>
      <c r="P211" s="2547"/>
      <c r="Q211" s="2547"/>
      <c r="R211" s="1819"/>
      <c r="S211" s="2547">
        <f>'Part III-A-Uses of Funds'!S98</f>
        <v>15000</v>
      </c>
      <c r="T211" s="2547"/>
      <c r="U211" s="1819"/>
      <c r="V211" s="2665"/>
    </row>
    <row r="212" spans="1:33">
      <c r="A212" s="1819"/>
      <c r="B212" s="1819" t="s">
        <v>1200</v>
      </c>
      <c r="C212" s="1819"/>
      <c r="D212" s="1819"/>
      <c r="E212" s="1819"/>
      <c r="F212" s="1819"/>
      <c r="G212" s="2547">
        <f>'Part III-A-Uses of Funds'!G99</f>
        <v>9000</v>
      </c>
      <c r="H212" s="2547"/>
      <c r="I212" s="1819"/>
      <c r="J212" s="2547"/>
      <c r="K212" s="2547"/>
      <c r="L212" s="2545"/>
      <c r="M212" s="2547"/>
      <c r="N212" s="2547"/>
      <c r="O212" s="1819"/>
      <c r="P212" s="2547"/>
      <c r="Q212" s="2547"/>
      <c r="R212" s="1819"/>
      <c r="S212" s="2547">
        <f>'Part III-A-Uses of Funds'!S99</f>
        <v>9000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29000</v>
      </c>
      <c r="H216" s="2547"/>
      <c r="I216" s="1819"/>
      <c r="J216" s="2547"/>
      <c r="K216" s="2547"/>
      <c r="L216" s="2545"/>
      <c r="M216" s="2547"/>
      <c r="N216" s="2547"/>
      <c r="O216" s="1819"/>
      <c r="P216" s="2547"/>
      <c r="Q216" s="2547"/>
      <c r="R216" s="1819"/>
      <c r="S216" s="2547">
        <f>SUM(S210:S215)</f>
        <v>29000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2000</v>
      </c>
      <c r="H218" s="2547"/>
      <c r="I218" s="1819"/>
      <c r="J218" s="2545"/>
      <c r="K218" s="2545"/>
      <c r="L218" s="2545"/>
      <c r="M218" s="2545"/>
      <c r="N218" s="2545"/>
      <c r="O218" s="1819"/>
      <c r="P218" s="2545"/>
      <c r="Q218" s="2545"/>
      <c r="R218" s="1819"/>
      <c r="S218" s="2547">
        <f>'Part III-A-Uses of Funds'!S105</f>
        <v>2000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44</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44000</v>
      </c>
      <c r="F222" s="2561"/>
      <c r="G222" s="2547">
        <f>'Part III-A-Uses of Funds'!G109</f>
        <v>44000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44000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44</v>
      </c>
      <c r="AC226" s="1819"/>
      <c r="AD226" s="2703">
        <f>IF($AD$101="Income Averaging",AB226*'DCA Underwriting Assumptions'!$Q$61,AB226*'DCA Underwriting Assumptions'!$Q$60)</f>
        <v>35200</v>
      </c>
      <c r="AE226" s="1819"/>
      <c r="AF226" s="1819"/>
      <c r="AG226" s="1819"/>
    </row>
    <row r="227" spans="1:33">
      <c r="A227" s="1819"/>
      <c r="B227" s="1819"/>
      <c r="C227" s="1819"/>
      <c r="D227" s="1819"/>
      <c r="E227" s="1819"/>
      <c r="F227" s="2669" t="s">
        <v>184</v>
      </c>
      <c r="G227" s="2547">
        <f>SUM(G218:G226)</f>
        <v>155400</v>
      </c>
      <c r="H227" s="2547"/>
      <c r="I227" s="1819"/>
      <c r="J227" s="2545"/>
      <c r="K227" s="2545"/>
      <c r="L227" s="2545"/>
      <c r="M227" s="2545"/>
      <c r="N227" s="2545"/>
      <c r="O227" s="1819"/>
      <c r="P227" s="2545"/>
      <c r="Q227" s="2545"/>
      <c r="R227" s="1819"/>
      <c r="S227" s="2547">
        <f>SUM(S218:S226)</f>
        <v>155400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44</v>
      </c>
      <c r="AC228" s="1819"/>
      <c r="AD228" s="2706">
        <f>SUM(AD226:AD227)</f>
        <v>35200</v>
      </c>
      <c r="AE228" s="1819"/>
      <c r="AF228" s="1819"/>
      <c r="AG228" s="1819"/>
    </row>
    <row r="229" spans="1:33">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3000</v>
      </c>
      <c r="H233" s="2547"/>
      <c r="I233" s="1819"/>
      <c r="J233" s="2547"/>
      <c r="K233" s="2547"/>
      <c r="L233" s="2545"/>
      <c r="M233" s="2547"/>
      <c r="N233" s="2547"/>
      <c r="O233" s="1819"/>
      <c r="P233" s="2547"/>
      <c r="Q233" s="2547"/>
      <c r="R233" s="1819"/>
      <c r="S233" s="2547">
        <f>SUM(S229:S232)</f>
        <v>3000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0.5</v>
      </c>
      <c r="G235" s="2547">
        <f>'Part III-A-Uses of Funds'!G122</f>
        <v>605000</v>
      </c>
      <c r="H235" s="2547"/>
      <c r="I235" s="1819"/>
      <c r="J235" s="2547">
        <f>'Part III-A-Uses of Funds'!J122</f>
        <v>555000</v>
      </c>
      <c r="K235" s="2547"/>
      <c r="L235" s="2545"/>
      <c r="M235" s="2547">
        <f>'Part III-A-Uses of Funds'!M122</f>
        <v>0</v>
      </c>
      <c r="N235" s="2547"/>
      <c r="O235" s="1819"/>
      <c r="P235" s="2547">
        <f>'Part III-A-Uses of Funds'!P122</f>
        <v>0</v>
      </c>
      <c r="Q235" s="2547"/>
      <c r="R235" s="1819"/>
      <c r="S235" s="2547">
        <f>'Part III-A-Uses of Funds'!S122</f>
        <v>50000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3411</v>
      </c>
      <c r="C236" s="1819"/>
      <c r="D236" s="1819"/>
      <c r="E236" s="1819"/>
      <c r="F236" s="2564">
        <f>'Part III-A-Uses of Funds'!F123</f>
        <v>605000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0.5</v>
      </c>
      <c r="G239" s="2547">
        <f>'Part III-A-Uses of Funds'!G126</f>
        <v>605000</v>
      </c>
      <c r="H239" s="2547"/>
      <c r="I239" s="1819"/>
      <c r="J239" s="2547">
        <f>'Part III-A-Uses of Funds'!J126</f>
        <v>605000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1210000</v>
      </c>
      <c r="F240" s="2669" t="s">
        <v>184</v>
      </c>
      <c r="G240" s="2547">
        <f>SUM(G235:G239)</f>
        <v>1210000</v>
      </c>
      <c r="H240" s="2547"/>
      <c r="I240" s="1819"/>
      <c r="J240" s="2547">
        <f>SUM(J235:J239)</f>
        <v>1160000</v>
      </c>
      <c r="K240" s="2547"/>
      <c r="L240" s="2545"/>
      <c r="M240" s="2547">
        <f>SUM(M235:M239)</f>
        <v>0</v>
      </c>
      <c r="N240" s="2547"/>
      <c r="O240" s="1819"/>
      <c r="P240" s="2547">
        <f>SUM(P235:P239)</f>
        <v>0</v>
      </c>
      <c r="Q240" s="2547"/>
      <c r="R240" s="1819"/>
      <c r="S240" s="2547">
        <f>SUM(S235:S239)</f>
        <v>50000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24400</v>
      </c>
      <c r="H242" s="2547"/>
      <c r="I242" s="1819"/>
      <c r="J242" s="2560"/>
      <c r="K242" s="2560"/>
      <c r="L242" s="2560"/>
      <c r="M242" s="2560"/>
      <c r="N242" s="2560"/>
      <c r="O242" s="1819"/>
      <c r="P242" s="2560"/>
      <c r="Q242" s="2560"/>
      <c r="R242" s="1819"/>
      <c r="S242" s="2547">
        <f>'Part III-A-Uses of Funds'!S129</f>
        <v>24400</v>
      </c>
      <c r="T242" s="2547"/>
      <c r="U242" s="1819"/>
      <c r="V242" s="2665"/>
    </row>
    <row r="243" spans="1:22">
      <c r="A243" s="1819"/>
      <c r="B243" s="1819" t="s">
        <v>1436</v>
      </c>
      <c r="C243" s="1819"/>
      <c r="D243" s="1819"/>
      <c r="E243" s="1819"/>
      <c r="F243" s="2717">
        <f>'Part III-A-Uses of Funds'!F130</f>
        <v>53350.11</v>
      </c>
      <c r="G243" s="2547">
        <f>'Part III-A-Uses of Funds'!G130</f>
        <v>53350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53350</v>
      </c>
      <c r="T243" s="2547"/>
      <c r="U243" s="1819"/>
      <c r="V243" s="2665"/>
    </row>
    <row r="244" spans="1:22">
      <c r="A244" s="1819"/>
      <c r="B244" s="1819" t="s">
        <v>632</v>
      </c>
      <c r="C244" s="1819"/>
      <c r="D244" s="1819"/>
      <c r="E244" s="1819"/>
      <c r="F244" s="2717">
        <f>'Part III-A-Uses of Funds'!F131</f>
        <v>120440.92528628219</v>
      </c>
      <c r="G244" s="2547">
        <f>'Part III-A-Uses of Funds'!G131</f>
        <v>120440.71018243973</v>
      </c>
      <c r="H244" s="2547"/>
      <c r="I244" s="1819"/>
      <c r="J244" s="2565" t="str">
        <f>IF(E244&gt;G244,"WARNING! ODR proposed is below minimum - add comment.","")</f>
        <v/>
      </c>
      <c r="K244" s="2560"/>
      <c r="L244" s="2560"/>
      <c r="M244" s="2560"/>
      <c r="N244" s="2560"/>
      <c r="O244" s="1819"/>
      <c r="P244" s="2560"/>
      <c r="Q244" s="2560"/>
      <c r="R244" s="1819"/>
      <c r="S244" s="2547">
        <f>'Part III-A-Uses of Funds'!S131</f>
        <v>120440.71018243973</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1250</v>
      </c>
      <c r="G246" s="2547">
        <f>'Part III-A-Uses of Funds'!G133</f>
        <v>55000</v>
      </c>
      <c r="H246" s="2547"/>
      <c r="I246" s="1819"/>
      <c r="J246" s="2547">
        <f>'Part III-A-Uses of Funds'!J133</f>
        <v>55000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253190.71018243971</v>
      </c>
      <c r="H248" s="2547"/>
      <c r="I248" s="1819"/>
      <c r="J248" s="2547">
        <f>SUM(J246:J247)</f>
        <v>55000</v>
      </c>
      <c r="K248" s="2547"/>
      <c r="L248" s="2545"/>
      <c r="M248" s="2547">
        <f>SUM(M246:M247)</f>
        <v>0</v>
      </c>
      <c r="N248" s="2547"/>
      <c r="O248" s="1819"/>
      <c r="P248" s="2547">
        <f>SUM(P246:P247)</f>
        <v>0</v>
      </c>
      <c r="Q248" s="2547"/>
      <c r="R248" s="1819"/>
      <c r="S248" s="2547">
        <f>SUM(S242:S247)</f>
        <v>198190.71018243971</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13821370.115847625</v>
      </c>
      <c r="H259" s="2567"/>
      <c r="I259" s="1819"/>
      <c r="J259" s="2567">
        <f>J131+J137+J141+J149+J154+J159+J168+J186+J199+J205+J216+J227+J233+J240+J248+J257</f>
        <v>12987779.405665185</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833590.71018243977</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314122.04808744602</v>
      </c>
      <c r="E261" s="2568"/>
      <c r="F261" s="2695" t="s">
        <v>2487</v>
      </c>
      <c r="G261" s="2568">
        <f>IF('Part V-Revenues &amp; Expenses'!$K$175=0,0,G259/'Part V-Revenues &amp; Expenses'!$K$175)</f>
        <v>300.24264925593309</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12987779.405665185</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12987779.405665185</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12987779.405665185</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12987779.405665185</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1168900.1465098667</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1168900</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13821370.115847625</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500000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13321370.115847625</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1332137.0115847625</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1.2050000000000001</v>
      </c>
      <c r="K295" s="2733"/>
      <c r="L295" s="2733"/>
      <c r="M295" s="1622" t="s">
        <v>1212</v>
      </c>
      <c r="N295" s="2734">
        <f>'Part III-A-Uses of Funds'!N182</f>
        <v>0.85</v>
      </c>
      <c r="O295" s="2734"/>
      <c r="P295" s="1622" t="s">
        <v>570</v>
      </c>
      <c r="Q295" s="2734">
        <f>'Part III-A-Uses of Funds'!Q182</f>
        <v>0.35499999999999998</v>
      </c>
      <c r="R295" s="2734"/>
      <c r="S295" s="1819"/>
      <c r="T295" s="1819"/>
      <c r="U295" s="1819"/>
      <c r="V295" s="2665"/>
    </row>
    <row r="296" spans="1:22">
      <c r="A296" s="1819"/>
      <c r="B296" s="2614" t="s">
        <v>1340</v>
      </c>
      <c r="C296" s="1819"/>
      <c r="D296" s="1819"/>
      <c r="E296" s="1819"/>
      <c r="F296" s="1819"/>
      <c r="G296" s="1819"/>
      <c r="H296" s="1819"/>
      <c r="I296" s="1819"/>
      <c r="J296" s="2647">
        <f>ROUNDDOWN(IF(J295=0,"",J293/J295),0)</f>
        <v>1105507</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1105507</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The Developer will contribute $50,000 of Developer Fee to the Community Improvement Fund as indicated in the Community Transformation section of Part VIII.  The $50,000 to the Community Improvement Fund has been removed from eligible basis.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West Pine Residences  -  Sylvester  -  Worth,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West Pine Residences,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South</v>
      </c>
    </row>
    <row r="403" spans="1:13">
      <c r="A403" s="2754" t="s">
        <v>6972</v>
      </c>
    </row>
    <row r="405" spans="1:13">
      <c r="A405" s="361" t="s">
        <v>573</v>
      </c>
      <c r="B405" s="361" t="s">
        <v>2059</v>
      </c>
      <c r="F405" s="359" t="s">
        <v>2317</v>
      </c>
      <c r="G405" s="359"/>
      <c r="H405" s="359"/>
      <c r="I405" s="2621" t="str">
        <f>'Part IV-Utility Allowances'!I7</f>
        <v>GA DCA South</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West Pine Residences,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West Pine Residences,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Albany</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6975</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huduser.org (U.S. Non-Metropolitan)</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6976</v>
      </c>
      <c r="L456" s="1634" t="s">
        <v>139</v>
      </c>
      <c r="M456" s="1634"/>
      <c r="N456" s="2765" t="s">
        <v>2184</v>
      </c>
      <c r="O456" s="2765" t="s">
        <v>6482</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2</v>
      </c>
      <c r="F465" s="2578">
        <f>'Part V-Revenues &amp; Expenses'!F18</f>
        <v>750</v>
      </c>
      <c r="G465" s="2578">
        <f>'Part V-Revenues &amp; Expenses'!G18</f>
        <v>668</v>
      </c>
      <c r="H465" s="2578">
        <f>'Part V-Revenues &amp; Expenses'!H18</f>
        <v>554</v>
      </c>
      <c r="I465" s="2578">
        <f>'Part V-Revenues &amp; Expenses'!I18</f>
        <v>0</v>
      </c>
      <c r="J465" s="2578">
        <f>'Part V-Revenues &amp; Expenses'!J18</f>
        <v>99</v>
      </c>
      <c r="K465" s="2579">
        <f>'Part V-Revenues &amp; Expenses'!K18</f>
        <v>0</v>
      </c>
      <c r="L465" s="2580">
        <f t="shared" si="1"/>
        <v>455</v>
      </c>
      <c r="M465" s="2580">
        <f t="shared" si="2"/>
        <v>910</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1500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2</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9</v>
      </c>
      <c r="F466" s="2578">
        <f>'Part V-Revenues &amp; Expenses'!F19</f>
        <v>964</v>
      </c>
      <c r="G466" s="2578">
        <f>'Part V-Revenues &amp; Expenses'!G19</f>
        <v>802</v>
      </c>
      <c r="H466" s="2578">
        <f>'Part V-Revenues &amp; Expenses'!H19</f>
        <v>622</v>
      </c>
      <c r="I466" s="2578">
        <f>'Part V-Revenues &amp; Expenses'!I19</f>
        <v>0</v>
      </c>
      <c r="J466" s="2578">
        <f>'Part V-Revenues &amp; Expenses'!J19</f>
        <v>127</v>
      </c>
      <c r="K466" s="2579">
        <f>'Part V-Revenues &amp; Expenses'!K19</f>
        <v>0</v>
      </c>
      <c r="L466" s="2580">
        <f t="shared" si="1"/>
        <v>495</v>
      </c>
      <c r="M466" s="2580">
        <f t="shared" si="2"/>
        <v>4455</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9</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8676</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9</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9</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9</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9</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50</v>
      </c>
      <c r="C467" s="2576">
        <f>'Part V-Revenues &amp; Expenses'!C20</f>
        <v>3</v>
      </c>
      <c r="D467" s="2577">
        <f>'Part V-Revenues &amp; Expenses'!D20</f>
        <v>2</v>
      </c>
      <c r="E467" s="2578">
        <f>'Part V-Revenues &amp; Expenses'!E20</f>
        <v>5</v>
      </c>
      <c r="F467" s="2578">
        <f>'Part V-Revenues &amp; Expenses'!F20</f>
        <v>1157</v>
      </c>
      <c r="G467" s="2578">
        <f>'Part V-Revenues &amp; Expenses'!G20</f>
        <v>926</v>
      </c>
      <c r="H467" s="2578">
        <f>'Part V-Revenues &amp; Expenses'!H20</f>
        <v>691</v>
      </c>
      <c r="I467" s="2578">
        <f>'Part V-Revenues &amp; Expenses'!I20</f>
        <v>0</v>
      </c>
      <c r="J467" s="2578">
        <f>'Part V-Revenues &amp; Expenses'!J20</f>
        <v>156</v>
      </c>
      <c r="K467" s="2579">
        <f>'Part V-Revenues &amp; Expenses'!K20</f>
        <v>0</v>
      </c>
      <c r="L467" s="2580">
        <f t="shared" si="1"/>
        <v>535</v>
      </c>
      <c r="M467" s="2580">
        <f t="shared" si="2"/>
        <v>2675</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5</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5785</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5</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5</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5</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5</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3</v>
      </c>
      <c r="F468" s="2578">
        <f>'Part V-Revenues &amp; Expenses'!F21</f>
        <v>750</v>
      </c>
      <c r="G468" s="2578">
        <f>'Part V-Revenues &amp; Expenses'!G21</f>
        <v>801</v>
      </c>
      <c r="H468" s="2578">
        <f>'Part V-Revenues &amp; Expenses'!H21</f>
        <v>634</v>
      </c>
      <c r="I468" s="2578">
        <f>'Part V-Revenues &amp; Expenses'!I21</f>
        <v>0</v>
      </c>
      <c r="J468" s="2578">
        <f>'Part V-Revenues &amp; Expenses'!J21</f>
        <v>99</v>
      </c>
      <c r="K468" s="2579">
        <f>'Part V-Revenues &amp; Expenses'!K21</f>
        <v>0</v>
      </c>
      <c r="L468" s="2580">
        <f t="shared" si="1"/>
        <v>535</v>
      </c>
      <c r="M468" s="2580">
        <f t="shared" si="2"/>
        <v>1605</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3</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2250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3</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3</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3</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3</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11</v>
      </c>
      <c r="F469" s="2578">
        <f>'Part V-Revenues &amp; Expenses'!F22</f>
        <v>964</v>
      </c>
      <c r="G469" s="2578">
        <f>'Part V-Revenues &amp; Expenses'!G22</f>
        <v>963</v>
      </c>
      <c r="H469" s="2578">
        <f>'Part V-Revenues &amp; Expenses'!H22</f>
        <v>702</v>
      </c>
      <c r="I469" s="2578">
        <f>'Part V-Revenues &amp; Expenses'!I22</f>
        <v>0</v>
      </c>
      <c r="J469" s="2578">
        <f>'Part V-Revenues &amp; Expenses'!J22</f>
        <v>127</v>
      </c>
      <c r="K469" s="2579">
        <f>'Part V-Revenues &amp; Expenses'!K22</f>
        <v>0</v>
      </c>
      <c r="L469" s="2580">
        <f t="shared" si="1"/>
        <v>575</v>
      </c>
      <c r="M469" s="2580">
        <f t="shared" si="2"/>
        <v>6325</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10604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11</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11</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11</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11</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60</v>
      </c>
      <c r="C470" s="2576">
        <f>'Part V-Revenues &amp; Expenses'!C23</f>
        <v>3</v>
      </c>
      <c r="D470" s="2577">
        <f>'Part V-Revenues &amp; Expenses'!D23</f>
        <v>2</v>
      </c>
      <c r="E470" s="2578">
        <f>'Part V-Revenues &amp; Expenses'!E23</f>
        <v>7</v>
      </c>
      <c r="F470" s="2578">
        <f>'Part V-Revenues &amp; Expenses'!F23</f>
        <v>1157</v>
      </c>
      <c r="G470" s="2578">
        <f>'Part V-Revenues &amp; Expenses'!G23</f>
        <v>1112</v>
      </c>
      <c r="H470" s="2578">
        <f>'Part V-Revenues &amp; Expenses'!H23</f>
        <v>771</v>
      </c>
      <c r="I470" s="2578">
        <f>'Part V-Revenues &amp; Expenses'!I23</f>
        <v>0</v>
      </c>
      <c r="J470" s="2578">
        <f>'Part V-Revenues &amp; Expenses'!J23</f>
        <v>156</v>
      </c>
      <c r="K470" s="2579">
        <f>'Part V-Revenues &amp; Expenses'!K23</f>
        <v>0</v>
      </c>
      <c r="L470" s="2580">
        <f t="shared" si="1"/>
        <v>615</v>
      </c>
      <c r="M470" s="2580">
        <f t="shared" si="2"/>
        <v>4305</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7</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8099</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7</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7</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7</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7</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70</v>
      </c>
      <c r="C471" s="2576">
        <f>'Part V-Revenues &amp; Expenses'!C24</f>
        <v>1</v>
      </c>
      <c r="D471" s="2577">
        <f>'Part V-Revenues &amp; Expenses'!D24</f>
        <v>1</v>
      </c>
      <c r="E471" s="2578">
        <f>'Part V-Revenues &amp; Expenses'!E24</f>
        <v>1</v>
      </c>
      <c r="F471" s="2578">
        <f>'Part V-Revenues &amp; Expenses'!F24</f>
        <v>750</v>
      </c>
      <c r="G471" s="2578">
        <f>'Part V-Revenues &amp; Expenses'!G24</f>
        <v>935</v>
      </c>
      <c r="H471" s="2578">
        <f>'Part V-Revenues &amp; Expenses'!H24</f>
        <v>694</v>
      </c>
      <c r="I471" s="2578">
        <f>'Part V-Revenues &amp; Expenses'!I24</f>
        <v>0</v>
      </c>
      <c r="J471" s="2578">
        <f>'Part V-Revenues &amp; Expenses'!J24</f>
        <v>99</v>
      </c>
      <c r="K471" s="2579">
        <f>'Part V-Revenues &amp; Expenses'!K24</f>
        <v>0</v>
      </c>
      <c r="L471" s="2580">
        <f t="shared" si="1"/>
        <v>595</v>
      </c>
      <c r="M471" s="2580">
        <f t="shared" si="2"/>
        <v>595</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f t="shared" si="9"/>
        <v>1</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f t="shared" si="69"/>
        <v>1</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f t="shared" si="124"/>
        <v>750</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1</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1</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1</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70</v>
      </c>
      <c r="C472" s="2576">
        <f>'Part V-Revenues &amp; Expenses'!C25</f>
        <v>2</v>
      </c>
      <c r="D472" s="2577">
        <f>'Part V-Revenues &amp; Expenses'!D25</f>
        <v>2</v>
      </c>
      <c r="E472" s="2578">
        <f>'Part V-Revenues &amp; Expenses'!E25</f>
        <v>4</v>
      </c>
      <c r="F472" s="2578">
        <f>'Part V-Revenues &amp; Expenses'!F25</f>
        <v>964</v>
      </c>
      <c r="G472" s="2578">
        <f>'Part V-Revenues &amp; Expenses'!G25</f>
        <v>1123</v>
      </c>
      <c r="H472" s="2578">
        <f>'Part V-Revenues &amp; Expenses'!H25</f>
        <v>762</v>
      </c>
      <c r="I472" s="2578">
        <f>'Part V-Revenues &amp; Expenses'!I25</f>
        <v>0</v>
      </c>
      <c r="J472" s="2578">
        <f>'Part V-Revenues &amp; Expenses'!J25</f>
        <v>127</v>
      </c>
      <c r="K472" s="2579">
        <f>'Part V-Revenues &amp; Expenses'!K25</f>
        <v>0</v>
      </c>
      <c r="L472" s="2580">
        <f t="shared" si="1"/>
        <v>635</v>
      </c>
      <c r="M472" s="2580">
        <f t="shared" si="2"/>
        <v>2540</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f t="shared" si="10"/>
        <v>4</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f t="shared" si="70"/>
        <v>4</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f t="shared" si="125"/>
        <v>3856</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4</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4</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4</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4</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70</v>
      </c>
      <c r="C473" s="2576">
        <f>'Part V-Revenues &amp; Expenses'!C26</f>
        <v>3</v>
      </c>
      <c r="D473" s="2577">
        <f>'Part V-Revenues &amp; Expenses'!D26</f>
        <v>2</v>
      </c>
      <c r="E473" s="2578">
        <f>'Part V-Revenues &amp; Expenses'!E26</f>
        <v>2</v>
      </c>
      <c r="F473" s="2578">
        <f>'Part V-Revenues &amp; Expenses'!F26</f>
        <v>1157</v>
      </c>
      <c r="G473" s="2578">
        <f>'Part V-Revenues &amp; Expenses'!G26</f>
        <v>1297</v>
      </c>
      <c r="H473" s="2578">
        <f>'Part V-Revenues &amp; Expenses'!H26</f>
        <v>831</v>
      </c>
      <c r="I473" s="2578">
        <f>'Part V-Revenues &amp; Expenses'!I26</f>
        <v>0</v>
      </c>
      <c r="J473" s="2578">
        <f>'Part V-Revenues &amp; Expenses'!J26</f>
        <v>156</v>
      </c>
      <c r="K473" s="2579">
        <f>'Part V-Revenues &amp; Expenses'!K26</f>
        <v>0</v>
      </c>
      <c r="L473" s="2580">
        <f t="shared" si="1"/>
        <v>675</v>
      </c>
      <c r="M473" s="2580">
        <f t="shared" si="2"/>
        <v>1350</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2</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2</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2314</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2</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2</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2</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2</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44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43834</v>
      </c>
      <c r="H496" s="2583" t="s">
        <v>3765</v>
      </c>
      <c r="I496" s="2787" t="s">
        <v>3766</v>
      </c>
      <c r="J496" s="2584" t="str">
        <f>IF(P514=0,"",IF(SUM(P505:P509)/P514&gt;=0.4,"Pass","Fail"))</f>
        <v>Pass</v>
      </c>
      <c r="K496" s="363"/>
      <c r="L496" s="2788" t="s">
        <v>1225</v>
      </c>
      <c r="M496" s="2585">
        <f>SUM(M458:M495)</f>
        <v>24760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1</v>
      </c>
      <c r="AE496" s="1749">
        <f t="shared" si="338"/>
        <v>4</v>
      </c>
      <c r="AF496" s="1749">
        <f t="shared" si="338"/>
        <v>2</v>
      </c>
      <c r="AG496" s="1749">
        <f t="shared" si="338"/>
        <v>0</v>
      </c>
      <c r="AH496" s="1749">
        <f t="shared" si="338"/>
        <v>0</v>
      </c>
      <c r="AI496" s="1749">
        <f t="shared" si="338"/>
        <v>3</v>
      </c>
      <c r="AJ496" s="1749">
        <f t="shared" si="338"/>
        <v>11</v>
      </c>
      <c r="AK496" s="1749">
        <f t="shared" si="338"/>
        <v>7</v>
      </c>
      <c r="AL496" s="1749">
        <f t="shared" si="338"/>
        <v>0</v>
      </c>
      <c r="AM496" s="1749">
        <f>SUM(AM458:AM495)</f>
        <v>0</v>
      </c>
      <c r="AN496" s="1749">
        <f>SUM(AN458:AN495)</f>
        <v>2</v>
      </c>
      <c r="AO496" s="1749">
        <f>SUM(AO458:AO495)</f>
        <v>9</v>
      </c>
      <c r="AP496" s="1749">
        <f>SUM(AP458:AP495)</f>
        <v>5</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1</v>
      </c>
      <c r="CM496" s="1749">
        <f>SUM(CM458:CM495)</f>
        <v>4</v>
      </c>
      <c r="CN496" s="1749">
        <f>SUM(CN458:CN495)</f>
        <v>2</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750</v>
      </c>
      <c r="EP496" s="1749">
        <f t="shared" si="338"/>
        <v>3856</v>
      </c>
      <c r="EQ496" s="1749">
        <f t="shared" si="338"/>
        <v>2314</v>
      </c>
      <c r="ER496" s="1749">
        <f t="shared" si="338"/>
        <v>0</v>
      </c>
      <c r="ES496" s="1749">
        <f t="shared" si="338"/>
        <v>0</v>
      </c>
      <c r="ET496" s="1749">
        <f t="shared" si="338"/>
        <v>2250</v>
      </c>
      <c r="EU496" s="1749">
        <f t="shared" si="338"/>
        <v>10604</v>
      </c>
      <c r="EV496" s="1749">
        <f t="shared" si="338"/>
        <v>8099</v>
      </c>
      <c r="EW496" s="1749">
        <f t="shared" si="338"/>
        <v>0</v>
      </c>
      <c r="EX496" s="1749">
        <f t="shared" si="338"/>
        <v>0</v>
      </c>
      <c r="EY496" s="1749">
        <f t="shared" si="338"/>
        <v>1500</v>
      </c>
      <c r="EZ496" s="1749">
        <f t="shared" si="338"/>
        <v>8676</v>
      </c>
      <c r="FA496" s="1749">
        <f t="shared" si="338"/>
        <v>5785</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6</v>
      </c>
      <c r="GI496" s="1749">
        <f t="shared" si="340"/>
        <v>24</v>
      </c>
      <c r="GJ496" s="1749">
        <f t="shared" si="340"/>
        <v>14</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6</v>
      </c>
      <c r="IB496" s="1749">
        <f t="shared" si="341"/>
        <v>24</v>
      </c>
      <c r="IC496" s="1749">
        <f t="shared" si="341"/>
        <v>14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6</v>
      </c>
      <c r="JU496" s="1749">
        <f t="shared" si="341"/>
        <v>24</v>
      </c>
      <c r="JV496" s="1749">
        <f t="shared" si="341"/>
        <v>14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6</v>
      </c>
      <c r="MM496" s="1749">
        <f t="shared" si="343"/>
        <v>24</v>
      </c>
      <c r="MN496" s="1749">
        <f t="shared" si="343"/>
        <v>14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57.954545454545453</v>
      </c>
      <c r="C497" s="2789"/>
      <c r="D497" s="2756" t="s">
        <v>3675</v>
      </c>
      <c r="E497" s="2581">
        <f>SUM(E465:E495)</f>
        <v>44</v>
      </c>
      <c r="F497" s="2582">
        <f>(E465*F465+E466*F466+E467*F467+E468*F468+E469*F469+E470*F470+E471*F471+E472*F472+E473*F473+E474*F474+E475*F475+E476*F476+E477*F477+E478*F478+E479*F479+E480*F480+E481*F481+E482*F482+E483*F483+E484*F484+E485*F485+E486*F486+E487*F487+E488*F488+E489*F489+E490*F490+E491*F491+E492*F492+E493*F493+E494*F494+E495*F495)</f>
        <v>43834</v>
      </c>
      <c r="H497" s="2583"/>
      <c r="I497" s="2787" t="s">
        <v>3767</v>
      </c>
      <c r="J497" s="2584" t="str">
        <f>IF(P514=0,"",IF(SUM(P506:P509)/P514&gt;=0.2,"Pass","Fail"))</f>
        <v>Pass</v>
      </c>
      <c r="K497" s="363"/>
      <c r="L497" s="2786" t="s">
        <v>757</v>
      </c>
      <c r="M497" s="2585">
        <f>M496*12</f>
        <v>297120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1</v>
      </c>
      <c r="M504" s="2586">
        <f>AE496</f>
        <v>4</v>
      </c>
      <c r="N504" s="2586">
        <f>AF496</f>
        <v>2</v>
      </c>
      <c r="O504" s="2586">
        <f>AG496</f>
        <v>0</v>
      </c>
      <c r="P504" s="2586">
        <f t="shared" si="344"/>
        <v>7</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v>
      </c>
      <c r="M505" s="2586">
        <f>AJ496</f>
        <v>11</v>
      </c>
      <c r="N505" s="2586">
        <f>AK496</f>
        <v>7</v>
      </c>
      <c r="O505" s="2586">
        <f>AL496</f>
        <v>0</v>
      </c>
      <c r="P505" s="2586">
        <f t="shared" si="344"/>
        <v>21</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v>
      </c>
      <c r="M506" s="2586">
        <f>AO496</f>
        <v>9</v>
      </c>
      <c r="N506" s="2586">
        <f>AP496</f>
        <v>5</v>
      </c>
      <c r="O506" s="2586">
        <f>AQ496</f>
        <v>0</v>
      </c>
      <c r="P506" s="2586">
        <f t="shared" si="344"/>
        <v>16</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6</v>
      </c>
      <c r="M510" s="2586">
        <f>SUM(M503:M509)</f>
        <v>24</v>
      </c>
      <c r="N510" s="2586">
        <f>SUM(N503:N509)</f>
        <v>14</v>
      </c>
      <c r="O510" s="2586">
        <f>SUM(O503:O509)</f>
        <v>0</v>
      </c>
      <c r="P510" s="2586">
        <f t="shared" si="344"/>
        <v>44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6</v>
      </c>
      <c r="M512" s="2587">
        <f>SUM(M510:M511)</f>
        <v>24</v>
      </c>
      <c r="N512" s="2587">
        <f>SUM(N510:N511)</f>
        <v>14</v>
      </c>
      <c r="O512" s="2587">
        <f>SUM(O510:O511)</f>
        <v>0</v>
      </c>
      <c r="P512" s="2587">
        <f t="shared" si="344"/>
        <v>44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6</v>
      </c>
      <c r="M514" s="2588">
        <f>SUM(M512:M513)</f>
        <v>24</v>
      </c>
      <c r="N514" s="2588">
        <f>SUM(N512:N513)</f>
        <v>14</v>
      </c>
      <c r="O514" s="2588">
        <f>SUM(O512:O513)</f>
        <v>0</v>
      </c>
      <c r="P514" s="2588">
        <f t="shared" si="344"/>
        <v>44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3677</v>
      </c>
      <c r="I520" s="362"/>
      <c r="J520" s="359"/>
      <c r="K520" s="2803" t="str">
        <f t="shared" ref="K520:P520" si="347">IF(OR(K504=0,K514=0),"",K504/K514)</f>
        <v/>
      </c>
      <c r="L520" s="2803">
        <f t="shared" si="347"/>
        <v>0.16666666666666666</v>
      </c>
      <c r="M520" s="2803">
        <f t="shared" si="347"/>
        <v>0.16666666666666666</v>
      </c>
      <c r="N520" s="2803">
        <f t="shared" si="347"/>
        <v>0.14285714285714285</v>
      </c>
      <c r="O520" s="2803" t="str">
        <f t="shared" si="347"/>
        <v/>
      </c>
      <c r="P520" s="2803">
        <f t="shared" si="347"/>
        <v>0.15909090909090909</v>
      </c>
      <c r="S520" s="2784"/>
      <c r="T520" s="2784"/>
      <c r="U520" s="2784"/>
      <c r="V520" s="2784"/>
      <c r="W520" s="2784"/>
    </row>
    <row r="521" spans="1:343">
      <c r="C521" s="2621"/>
      <c r="D521" s="2621"/>
      <c r="E521" s="2621"/>
      <c r="F521" s="2621"/>
      <c r="H521" s="1503" t="s">
        <v>6979</v>
      </c>
      <c r="I521" s="362"/>
      <c r="J521" s="359"/>
      <c r="K521" s="2804" t="str">
        <f>IF(OR(K504=0,P520="",K514=0),"",P520*K514)</f>
        <v/>
      </c>
      <c r="L521" s="2804">
        <f>IF(OR(L504=0,P520="",L514=0),"",P520*L514)</f>
        <v>0.95454545454545459</v>
      </c>
      <c r="M521" s="2804">
        <f>IF(OR(M504=0,P520="",M514=0),"",P520*M514)</f>
        <v>3.8181818181818183</v>
      </c>
      <c r="N521" s="2804">
        <f>IF(OR(N504=0,P520="",N514=0),"",P520*N514)</f>
        <v>2.2272727272727271</v>
      </c>
      <c r="O521" s="2804" t="str">
        <f>IF(OR(O504=0,P520="",O514=0),"",P520*O514)</f>
        <v/>
      </c>
      <c r="P521" s="2804">
        <f>IF(OR(P520="",P514=0),"",P520*P514)</f>
        <v>7</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f t="shared" si="348"/>
        <v>4.5454545454545414E-2</v>
      </c>
      <c r="M522" s="2804">
        <f t="shared" si="348"/>
        <v>0.18181818181818166</v>
      </c>
      <c r="N522" s="2804">
        <f t="shared" si="348"/>
        <v>-0.22727272727272707</v>
      </c>
      <c r="O522" s="2804" t="str">
        <f t="shared" si="348"/>
        <v/>
      </c>
      <c r="P522" s="2804">
        <f t="shared" si="348"/>
        <v>0</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0.5</v>
      </c>
      <c r="M523" s="2803">
        <f t="shared" si="349"/>
        <v>0.45833333333333331</v>
      </c>
      <c r="N523" s="2803">
        <f t="shared" si="349"/>
        <v>0.5</v>
      </c>
      <c r="O523" s="2803" t="str">
        <f t="shared" si="349"/>
        <v/>
      </c>
      <c r="P523" s="2803">
        <f t="shared" si="349"/>
        <v>0.47727272727272729</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2.8636363636363638</v>
      </c>
      <c r="M524" s="2804">
        <f>IF(OR(M505=0,P523="",M514=0),"",P523*M514)</f>
        <v>11.454545454545455</v>
      </c>
      <c r="N524" s="2804">
        <f>IF(OR(N505=0,P523="",N514=0),"",P523*N514)</f>
        <v>6.6818181818181817</v>
      </c>
      <c r="O524" s="2804" t="str">
        <f>IF(OR(O505=0,P523="",O514=0),"",P523*O514)</f>
        <v/>
      </c>
      <c r="P524" s="2804">
        <f>IF(OR(P523="",P514=0),"",P523*P514)</f>
        <v>21</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0.13636363636363624</v>
      </c>
      <c r="M525" s="2804">
        <f t="shared" si="350"/>
        <v>-0.45454545454545503</v>
      </c>
      <c r="N525" s="2804">
        <f t="shared" si="350"/>
        <v>0.31818181818181834</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0.33333333333333331</v>
      </c>
      <c r="M526" s="2803">
        <f t="shared" si="351"/>
        <v>0.375</v>
      </c>
      <c r="N526" s="2803">
        <f t="shared" si="351"/>
        <v>0.35714285714285715</v>
      </c>
      <c r="O526" s="2803" t="str">
        <f t="shared" si="351"/>
        <v/>
      </c>
      <c r="P526" s="2803">
        <f t="shared" si="351"/>
        <v>0.36363636363636365</v>
      </c>
    </row>
    <row r="527" spans="1:343">
      <c r="C527" s="2805"/>
      <c r="D527" s="2805"/>
      <c r="E527" s="2805"/>
      <c r="H527" s="1503" t="s">
        <v>6979</v>
      </c>
      <c r="I527" s="362"/>
      <c r="J527" s="359"/>
      <c r="K527" s="2804" t="str">
        <f>IF(OR(K506=0,P526="",K514=0),"",P526*K514)</f>
        <v/>
      </c>
      <c r="L527" s="2804">
        <f>IF(OR(L506=0,P526="",L514=0),"",P526*L514)</f>
        <v>2.1818181818181817</v>
      </c>
      <c r="M527" s="2804">
        <f>IF(OR(M506=0,P526="",M514=0),"",P526*M514)</f>
        <v>8.7272727272727266</v>
      </c>
      <c r="N527" s="2804">
        <f>IF(OR(N506=0,P526="",N514=0),"",P526*N514)</f>
        <v>5.0909090909090908</v>
      </c>
      <c r="O527" s="2804" t="str">
        <f>IF(OR(O506=0,P526="",O514=0),"",P526*O514)</f>
        <v/>
      </c>
      <c r="P527" s="2804">
        <f>IF(OR(P526="",P514=0),"",P526*P514)</f>
        <v>16</v>
      </c>
    </row>
    <row r="528" spans="1:343">
      <c r="C528" s="2805"/>
      <c r="D528" s="2805"/>
      <c r="E528" s="2805"/>
      <c r="G528" s="2787"/>
      <c r="H528" s="1503" t="s">
        <v>6980</v>
      </c>
      <c r="I528" s="362"/>
      <c r="J528" s="359"/>
      <c r="K528" s="2804" t="str">
        <f t="shared" ref="K528:P528" si="352">IF(OR(K527="",K506=0),"", K506-K527)</f>
        <v/>
      </c>
      <c r="L528" s="2804">
        <f t="shared" si="352"/>
        <v>-0.18181818181818166</v>
      </c>
      <c r="M528" s="2804">
        <f t="shared" si="352"/>
        <v>0.27272727272727337</v>
      </c>
      <c r="N528" s="2804">
        <f t="shared" si="352"/>
        <v>-9.0909090909090828E-2</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1</v>
      </c>
      <c r="M541" s="2586">
        <f>CM496</f>
        <v>4</v>
      </c>
      <c r="N541" s="2586">
        <f>CN496</f>
        <v>2</v>
      </c>
      <c r="O541" s="2586">
        <f>CO496</f>
        <v>0</v>
      </c>
      <c r="P541" s="2586">
        <f t="shared" si="359"/>
        <v>7</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4</v>
      </c>
      <c r="N547" s="2588">
        <f>SUM(N540:N546)</f>
        <v>2</v>
      </c>
      <c r="O547" s="2588">
        <f>SUM(O540:O546)</f>
        <v>0</v>
      </c>
      <c r="P547" s="2588">
        <f t="shared" si="359"/>
        <v>7</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6</v>
      </c>
      <c r="M560" s="2586">
        <f>GI496</f>
        <v>24</v>
      </c>
      <c r="N560" s="2586">
        <f>GJ496</f>
        <v>14</v>
      </c>
      <c r="O560" s="2586">
        <f>GK496</f>
        <v>0</v>
      </c>
      <c r="P560" s="2586">
        <f t="shared" ref="P560:P570" si="361">SUM(K560:O560)</f>
        <v>44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6</v>
      </c>
      <c r="M562" s="2588">
        <f>SUM(M560:M561)+GS496</f>
        <v>24</v>
      </c>
      <c r="N562" s="2588">
        <f>SUM(N560:N561)+GT496</f>
        <v>14</v>
      </c>
      <c r="O562" s="2588">
        <f>SUM(O560:O561)+GU496</f>
        <v>0</v>
      </c>
      <c r="P562" s="2588">
        <f t="shared" si="361"/>
        <v>44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6</v>
      </c>
      <c r="M574" s="2588">
        <f t="shared" si="362"/>
        <v>24</v>
      </c>
      <c r="N574" s="2588">
        <f t="shared" si="362"/>
        <v>14</v>
      </c>
      <c r="O574" s="2588">
        <f t="shared" si="362"/>
        <v>0</v>
      </c>
      <c r="P574" s="2588">
        <f t="shared" si="362"/>
        <v>44</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6</v>
      </c>
      <c r="M575" s="2586">
        <f>JU496</f>
        <v>24</v>
      </c>
      <c r="N575" s="2586">
        <f>JV496</f>
        <v>14</v>
      </c>
      <c r="O575" s="2586">
        <f>JW496</f>
        <v>0</v>
      </c>
      <c r="P575" s="2586">
        <f t="shared" ref="P575:P590" si="363">SUM(K575:O575)</f>
        <v>44</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6</v>
      </c>
      <c r="M598" s="2586">
        <f t="shared" si="367"/>
        <v>24</v>
      </c>
      <c r="N598" s="2586">
        <f t="shared" si="367"/>
        <v>14</v>
      </c>
      <c r="O598" s="2586">
        <f t="shared" si="367"/>
        <v>0</v>
      </c>
      <c r="P598" s="2588">
        <f t="shared" si="365"/>
        <v>44</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750</v>
      </c>
      <c r="M605" s="2590">
        <f>EP496</f>
        <v>3856</v>
      </c>
      <c r="N605" s="2590">
        <f>EQ496</f>
        <v>2314</v>
      </c>
      <c r="O605" s="2590">
        <f>ER496</f>
        <v>0</v>
      </c>
      <c r="P605" s="2590">
        <f t="shared" si="368"/>
        <v>6920</v>
      </c>
      <c r="Q605" s="2804">
        <f t="shared" si="369"/>
        <v>988.57142857142856</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2250</v>
      </c>
      <c r="M606" s="2590">
        <f>EU496</f>
        <v>10604</v>
      </c>
      <c r="N606" s="2590">
        <f>EV496</f>
        <v>8099</v>
      </c>
      <c r="O606" s="2590">
        <f>EW496</f>
        <v>0</v>
      </c>
      <c r="P606" s="2590">
        <f t="shared" si="368"/>
        <v>20953</v>
      </c>
      <c r="Q606" s="2804">
        <f t="shared" si="369"/>
        <v>997.76190476190482</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1500</v>
      </c>
      <c r="M607" s="2590">
        <f>EZ496</f>
        <v>8676</v>
      </c>
      <c r="N607" s="2590">
        <f>FA496</f>
        <v>5785</v>
      </c>
      <c r="O607" s="2590">
        <f>FB496</f>
        <v>0</v>
      </c>
      <c r="P607" s="2590">
        <f t="shared" si="368"/>
        <v>15961</v>
      </c>
      <c r="Q607" s="2804">
        <f t="shared" si="369"/>
        <v>997.5625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4500</v>
      </c>
      <c r="M611" s="2591">
        <f>SUM(M604:M610)</f>
        <v>23136</v>
      </c>
      <c r="N611" s="2591">
        <f>SUM(N604:N610)</f>
        <v>16198</v>
      </c>
      <c r="O611" s="2591">
        <f>SUM(O604:O610)</f>
        <v>0</v>
      </c>
      <c r="P611" s="2591">
        <f>SUM(K611:O611)</f>
        <v>43834</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4500</v>
      </c>
      <c r="M613" s="2592">
        <f>SUM(M611:M612)</f>
        <v>23136</v>
      </c>
      <c r="N613" s="2592">
        <f>SUM(N611:N612)</f>
        <v>16198</v>
      </c>
      <c r="O613" s="2592">
        <f>SUM(O611:O612)</f>
        <v>0</v>
      </c>
      <c r="P613" s="2592">
        <f>SUM(K613:O613)</f>
        <v>43834</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4500</v>
      </c>
      <c r="M615" s="2593">
        <f>SUM(M613:M614)</f>
        <v>23136</v>
      </c>
      <c r="N615" s="2593">
        <f>SUM(N613:N614)</f>
        <v>16198</v>
      </c>
      <c r="O615" s="2593">
        <f>SUM(O613:O614)</f>
        <v>0</v>
      </c>
      <c r="P615" s="2593">
        <f>SUM(K615:O615)</f>
        <v>43834</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750</v>
      </c>
      <c r="M618" s="2818">
        <f>IF(OR(M514="",M514=0),"",M615/M514)</f>
        <v>964</v>
      </c>
      <c r="N618" s="2818">
        <f>IF(OR(N514="",N514=0),"",N615/N514)</f>
        <v>1157</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2200</v>
      </c>
      <c r="L621" s="2549"/>
      <c r="Z621" s="1622">
        <v>68</v>
      </c>
    </row>
    <row r="622" spans="1:380" s="1819" customFormat="1" ht="13.35" customHeight="1">
      <c r="A622" s="2615"/>
      <c r="C622" s="377" t="s">
        <v>242</v>
      </c>
      <c r="K622" s="2549">
        <f>P615+K621</f>
        <v>46034</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5942.4000000000005</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19729</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55000</v>
      </c>
      <c r="G668" s="2590"/>
      <c r="I668" s="359" t="s">
        <v>1300</v>
      </c>
      <c r="L668" s="2590">
        <f>'Part V-Revenues &amp; Expenses'!L221</f>
        <v>0</v>
      </c>
      <c r="M668" s="2590"/>
      <c r="O668" s="2599">
        <f>+Q667/(P514*0.93)</f>
        <v>482.13587487781035</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35000</v>
      </c>
      <c r="G669" s="2590"/>
      <c r="I669" s="359" t="s">
        <v>1301</v>
      </c>
      <c r="L669" s="2590">
        <f>'Part V-Revenues &amp; Expenses'!L222</f>
        <v>600</v>
      </c>
      <c r="M669" s="2590"/>
      <c r="O669" s="2599">
        <f>+Q667/(P514*0.93)/12</f>
        <v>40.17798957315086</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600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90000</v>
      </c>
      <c r="G674" s="2590"/>
      <c r="I674" s="359" t="s">
        <v>1497</v>
      </c>
      <c r="L674" s="2590">
        <f>'Part V-Revenues &amp; Expenses'!L227</f>
        <v>1000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7000</v>
      </c>
      <c r="M675" s="2590"/>
      <c r="N675" s="2771" t="str">
        <f>IF(Q677="","",IF(Q675&lt;Q677, "WARNING! OE below required minimum.",""))</f>
        <v/>
      </c>
      <c r="O675" s="1747" t="s">
        <v>2029</v>
      </c>
      <c r="Q675" s="2818">
        <f>F674+F683+F694+L670+L678+L688+L694+Q667</f>
        <v>213400.44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1000</v>
      </c>
      <c r="M676" s="2590"/>
      <c r="N676" s="2771"/>
      <c r="O676" s="2799" t="s">
        <v>2486</v>
      </c>
      <c r="P676" s="2599">
        <f>+Q675/P514</f>
        <v>4850.01</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2000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165000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9000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3163</v>
      </c>
      <c r="G681" s="2590"/>
      <c r="I681" s="1747" t="s">
        <v>1297</v>
      </c>
      <c r="K681" s="1622" t="s">
        <v>3883</v>
      </c>
      <c r="O681" s="1747" t="s">
        <v>3085</v>
      </c>
      <c r="P681" s="1747"/>
      <c r="Q681" s="2600">
        <f>'Part V-Revenues &amp; Expenses'!Q234</f>
        <v>11000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12.310606060606061</v>
      </c>
      <c r="L682" s="2590">
        <f>'Part V-Revenues &amp; Expenses'!L235</f>
        <v>6500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8163</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3.7878787878787876</v>
      </c>
      <c r="L684" s="2590">
        <f>'Part V-Revenues &amp; Expenses'!L237</f>
        <v>2000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16.098484848484848</v>
      </c>
      <c r="L685" s="2590">
        <f>'Part V-Revenues &amp; Expenses'!L238</f>
        <v>8500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2300</v>
      </c>
      <c r="G686" s="2590"/>
      <c r="I686" s="359" t="s">
        <v>6992</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5000</v>
      </c>
      <c r="G687" s="2590"/>
      <c r="I687" s="2832" t="str">
        <f>'Part V-Revenues &amp; Expenses'!I240</f>
        <v>Cable/internet clubhouse</v>
      </c>
      <c r="J687" s="2832"/>
      <c r="K687" s="2717">
        <f>L687/12/P514</f>
        <v>3.4090909090909092</v>
      </c>
      <c r="L687" s="2590">
        <f>'Part V-Revenues &amp; Expenses'!L240</f>
        <v>1800</v>
      </c>
      <c r="M687" s="2590"/>
      <c r="N687" s="2771"/>
      <c r="O687" s="2622" t="s">
        <v>3051</v>
      </c>
      <c r="P687" s="2837" t="str">
        <f>CONCATENATE(SUM(MK496:MO496)," units x $",'DCA Underwriting Assumptions'!$Q$29," =")</f>
        <v>44 units x $250 =</v>
      </c>
      <c r="Q687" s="2837">
        <f>'Part V-Revenues &amp; Expenses'!Q240</f>
        <v>11000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7700</v>
      </c>
      <c r="G688" s="2590"/>
      <c r="K688" s="2828" t="s">
        <v>184</v>
      </c>
      <c r="L688" s="2818">
        <f>SUM(L682:L687)</f>
        <v>18800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900</v>
      </c>
      <c r="G690" s="2590"/>
      <c r="I690" s="1747" t="s">
        <v>1298</v>
      </c>
      <c r="O690" s="2788" t="s">
        <v>2467</v>
      </c>
      <c r="P690" s="2782">
        <f>'Part V-Revenues &amp; Expenses'!P243</f>
        <v>44</v>
      </c>
      <c r="Q690" s="2838">
        <f>SUM(Q686:Q689)</f>
        <v>11000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22766.44</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1000</v>
      </c>
      <c r="G692" s="2590"/>
      <c r="I692" s="359" t="s">
        <v>140</v>
      </c>
      <c r="L692" s="2590">
        <f>'Part V-Revenues &amp; Expenses'!L245</f>
        <v>23442</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20900</v>
      </c>
      <c r="G694" s="2590"/>
      <c r="K694" s="2828" t="s">
        <v>184</v>
      </c>
      <c r="L694" s="2818">
        <f>SUM(L690:L693)</f>
        <v>46208.44</v>
      </c>
      <c r="M694" s="2818"/>
      <c r="O694" s="1747" t="s">
        <v>2030</v>
      </c>
      <c r="Q694" s="2818">
        <f>Q675+Q681</f>
        <v>224400.44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West Pine Residences,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3500</v>
      </c>
      <c r="H713" s="2814" t="s">
        <v>1768</v>
      </c>
      <c r="K713" s="2842">
        <f>'Part VI-Pro Forma'!K6</f>
        <v>-1.2418039519963722E-2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6.99987147683898E-2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7.0000000000000007E-2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297120</v>
      </c>
      <c r="C722" s="2606">
        <f>'Part VI-Pro Forma'!C15</f>
        <v>303062.40000000002</v>
      </c>
      <c r="D722" s="2606">
        <f>'Part VI-Pro Forma'!D15</f>
        <v>309123.64799999999</v>
      </c>
      <c r="E722" s="2606">
        <f>'Part VI-Pro Forma'!E15</f>
        <v>315306.12095999997</v>
      </c>
      <c r="F722" s="2606">
        <f>'Part VI-Pro Forma'!F15</f>
        <v>321612.24337919999</v>
      </c>
      <c r="G722" s="2606">
        <f>'Part VI-Pro Forma'!G15</f>
        <v>328044.48824678402</v>
      </c>
      <c r="H722" s="2606">
        <f>'Part VI-Pro Forma'!H15</f>
        <v>334605.37801171967</v>
      </c>
      <c r="I722" s="2606">
        <f>'Part VI-Pro Forma'!I15</f>
        <v>341297.48557195399</v>
      </c>
      <c r="J722" s="2606">
        <f>'Part VI-Pro Forma'!J15</f>
        <v>348123.43528339313</v>
      </c>
      <c r="K722" s="2606">
        <f>'Part VI-Pro Forma'!K15</f>
        <v>355085.90398906101</v>
      </c>
    </row>
    <row r="723" spans="1:11">
      <c r="A723" s="357" t="s">
        <v>952</v>
      </c>
      <c r="B723" s="2606">
        <f>'Part VI-Pro Forma'!B16</f>
        <v>5942.4000000000005</v>
      </c>
      <c r="C723" s="2606">
        <f>'Part VI-Pro Forma'!C16</f>
        <v>6061.2480000000005</v>
      </c>
      <c r="D723" s="2606">
        <f>'Part VI-Pro Forma'!D16</f>
        <v>6182.472960000001</v>
      </c>
      <c r="E723" s="2606">
        <f>'Part VI-Pro Forma'!E16</f>
        <v>6306.1224192</v>
      </c>
      <c r="F723" s="2606">
        <f>'Part VI-Pro Forma'!F16</f>
        <v>6432.2448675840005</v>
      </c>
      <c r="G723" s="2606">
        <f>'Part VI-Pro Forma'!G16</f>
        <v>6560.8897649356804</v>
      </c>
      <c r="H723" s="2606">
        <f>'Part VI-Pro Forma'!H16</f>
        <v>6692.1075602343944</v>
      </c>
      <c r="I723" s="2606">
        <f>'Part VI-Pro Forma'!I16</f>
        <v>6825.9497114390806</v>
      </c>
      <c r="J723" s="2606">
        <f>'Part VI-Pro Forma'!J16</f>
        <v>6962.4687056678631</v>
      </c>
      <c r="K723" s="2606">
        <f>'Part VI-Pro Forma'!K16</f>
        <v>7101.7180797812207</v>
      </c>
    </row>
    <row r="724" spans="1:11">
      <c r="A724" s="357" t="s">
        <v>2216</v>
      </c>
      <c r="B724" s="2606">
        <f>'Part VI-Pro Forma'!B17</f>
        <v>-21214.368000000002</v>
      </c>
      <c r="C724" s="2606">
        <f>'Part VI-Pro Forma'!C17</f>
        <v>-21638.655360000004</v>
      </c>
      <c r="D724" s="2606">
        <f>'Part VI-Pro Forma'!D17</f>
        <v>-22071.428467199999</v>
      </c>
      <c r="E724" s="2606">
        <f>'Part VI-Pro Forma'!E17</f>
        <v>-22512.857036544003</v>
      </c>
      <c r="F724" s="2606">
        <f>'Part VI-Pro Forma'!F17</f>
        <v>-22963.114177274885</v>
      </c>
      <c r="G724" s="2606">
        <f>'Part VI-Pro Forma'!G17</f>
        <v>-23422.376460820378</v>
      </c>
      <c r="H724" s="2606">
        <f>'Part VI-Pro Forma'!H17</f>
        <v>-23890.823990036784</v>
      </c>
      <c r="I724" s="2606">
        <f>'Part VI-Pro Forma'!I17</f>
        <v>-24368.640469837519</v>
      </c>
      <c r="J724" s="2606">
        <f>'Part VI-Pro Forma'!J17</f>
        <v>-24856.013279234274</v>
      </c>
      <c r="K724" s="2606">
        <f>'Part VI-Pro Forma'!K17</f>
        <v>-25353.13354481896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281848.03200000001</v>
      </c>
      <c r="C727" s="2606">
        <f>'Part VI-Pro Forma'!C20</f>
        <v>287484.99264000007</v>
      </c>
      <c r="D727" s="2606">
        <f>'Part VI-Pro Forma'!D20</f>
        <v>293234.69249279995</v>
      </c>
      <c r="E727" s="2606">
        <f>'Part VI-Pro Forma'!E20</f>
        <v>299099.38634265598</v>
      </c>
      <c r="F727" s="2606">
        <f>'Part VI-Pro Forma'!F20</f>
        <v>305081.37406950915</v>
      </c>
      <c r="G727" s="2606">
        <f>'Part VI-Pro Forma'!G20</f>
        <v>311183.00155089929</v>
      </c>
      <c r="H727" s="2606">
        <f>'Part VI-Pro Forma'!H20</f>
        <v>317406.66158191726</v>
      </c>
      <c r="I727" s="2606">
        <f>'Part VI-Pro Forma'!I20</f>
        <v>323754.79481355555</v>
      </c>
      <c r="J727" s="2606">
        <f>'Part VI-Pro Forma'!J20</f>
        <v>330229.89070982672</v>
      </c>
      <c r="K727" s="2606">
        <f>'Part VI-Pro Forma'!K20</f>
        <v>336834.48852402327</v>
      </c>
    </row>
    <row r="728" spans="1:11">
      <c r="A728" s="357" t="s">
        <v>572</v>
      </c>
      <c r="B728" s="2606">
        <f>'Part VI-Pro Forma'!B21</f>
        <v>-193671.44</v>
      </c>
      <c r="C728" s="2606">
        <f>'Part VI-Pro Forma'!C21</f>
        <v>-199481.58319999999</v>
      </c>
      <c r="D728" s="2606">
        <f>'Part VI-Pro Forma'!D21</f>
        <v>-205466.030696</v>
      </c>
      <c r="E728" s="2606">
        <f>'Part VI-Pro Forma'!E21</f>
        <v>-211630.01161688002</v>
      </c>
      <c r="F728" s="2606">
        <f>'Part VI-Pro Forma'!F21</f>
        <v>-217978.91196538639</v>
      </c>
      <c r="G728" s="2606">
        <f>'Part VI-Pro Forma'!G21</f>
        <v>-224518.27932434797</v>
      </c>
      <c r="H728" s="2606">
        <f>'Part VI-Pro Forma'!H21</f>
        <v>-231253.82770407843</v>
      </c>
      <c r="I728" s="2606">
        <f>'Part VI-Pro Forma'!I21</f>
        <v>-238191.4425352008</v>
      </c>
      <c r="J728" s="2606">
        <f>'Part VI-Pro Forma'!J21</f>
        <v>-245337.18581125679</v>
      </c>
      <c r="K728" s="2606">
        <f>'Part VI-Pro Forma'!K21</f>
        <v>-252697.3013855945</v>
      </c>
    </row>
    <row r="729" spans="1:11">
      <c r="A729" s="357" t="s">
        <v>1050</v>
      </c>
      <c r="B729" s="2606">
        <f>'Part VI-Pro Forma'!B22</f>
        <v>-19729</v>
      </c>
      <c r="C729" s="2606">
        <f>'Part VI-Pro Forma'!C22</f>
        <v>-20124</v>
      </c>
      <c r="D729" s="2606">
        <f>'Part VI-Pro Forma'!D22</f>
        <v>-20526</v>
      </c>
      <c r="E729" s="2606">
        <f>'Part VI-Pro Forma'!E22</f>
        <v>-20937</v>
      </c>
      <c r="F729" s="2606">
        <f>'Part VI-Pro Forma'!F22</f>
        <v>-21356</v>
      </c>
      <c r="G729" s="2606">
        <f>'Part VI-Pro Forma'!G22</f>
        <v>-21783</v>
      </c>
      <c r="H729" s="2606">
        <f>'Part VI-Pro Forma'!H22</f>
        <v>-22218</v>
      </c>
      <c r="I729" s="2606">
        <f>'Part VI-Pro Forma'!I22</f>
        <v>-22663</v>
      </c>
      <c r="J729" s="2606">
        <f>'Part VI-Pro Forma'!J22</f>
        <v>-23116</v>
      </c>
      <c r="K729" s="2606">
        <f>'Part VI-Pro Forma'!K22</f>
        <v>-23578</v>
      </c>
    </row>
    <row r="730" spans="1:11">
      <c r="A730" s="357" t="s">
        <v>1128</v>
      </c>
      <c r="B730" s="2606">
        <f>'Part VI-Pro Forma'!B23</f>
        <v>-11000</v>
      </c>
      <c r="C730" s="2606">
        <f>'Part VI-Pro Forma'!C23</f>
        <v>-11330</v>
      </c>
      <c r="D730" s="2606">
        <f>'Part VI-Pro Forma'!D23</f>
        <v>-11669.9</v>
      </c>
      <c r="E730" s="2606">
        <f>'Part VI-Pro Forma'!E23</f>
        <v>-12019.996999999999</v>
      </c>
      <c r="F730" s="2606">
        <f>'Part VI-Pro Forma'!F23</f>
        <v>-12380.596909999998</v>
      </c>
      <c r="G730" s="2606">
        <f>'Part VI-Pro Forma'!G23</f>
        <v>-12752.014817299998</v>
      </c>
      <c r="H730" s="2606">
        <f>'Part VI-Pro Forma'!H23</f>
        <v>-13134.575261819</v>
      </c>
      <c r="I730" s="2606">
        <f>'Part VI-Pro Forma'!I23</f>
        <v>-13528.61251967357</v>
      </c>
      <c r="J730" s="2606">
        <f>'Part VI-Pro Forma'!J23</f>
        <v>-13934.470895263776</v>
      </c>
      <c r="K730" s="2606">
        <f>'Part VI-Pro Forma'!K23</f>
        <v>-14352.50502212169</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57447.592000000004</v>
      </c>
      <c r="C732" s="2606">
        <f t="shared" ref="C732:J732" si="377">SUM(C727:C731)</f>
        <v>56549.409440000076</v>
      </c>
      <c r="D732" s="2606">
        <f t="shared" si="377"/>
        <v>55572.761796799947</v>
      </c>
      <c r="E732" s="2606">
        <f t="shared" si="377"/>
        <v>54512.377725775965</v>
      </c>
      <c r="F732" s="2606">
        <f t="shared" si="377"/>
        <v>53365.865194122765</v>
      </c>
      <c r="G732" s="2606">
        <f t="shared" si="377"/>
        <v>52129.707409251328</v>
      </c>
      <c r="H732" s="2606">
        <f t="shared" si="377"/>
        <v>50800.258616019826</v>
      </c>
      <c r="I732" s="2606">
        <f t="shared" si="377"/>
        <v>49371.739758681186</v>
      </c>
      <c r="J732" s="2606">
        <f t="shared" si="377"/>
        <v>47842.234003306163</v>
      </c>
      <c r="K732" s="2606">
        <f>SUM(K727:K731)</f>
        <v>46206.682116307078</v>
      </c>
    </row>
    <row r="733" spans="1:11">
      <c r="A733" s="357" t="s">
        <v>1486</v>
      </c>
      <c r="B733" s="2606">
        <f>'Part VI-Pro Forma'!B26</f>
        <v>-27481.410572564375</v>
      </c>
      <c r="C733" s="2606">
        <f>'Part VI-Pro Forma'!C26</f>
        <v>-27481.410572564375</v>
      </c>
      <c r="D733" s="2606">
        <f>'Part VI-Pro Forma'!D26</f>
        <v>-27481.410572564375</v>
      </c>
      <c r="E733" s="2606">
        <f>'Part VI-Pro Forma'!E26</f>
        <v>-27481.410572564375</v>
      </c>
      <c r="F733" s="2606">
        <f>'Part VI-Pro Forma'!F26</f>
        <v>-27481.410572564375</v>
      </c>
      <c r="G733" s="2606">
        <f>'Part VI-Pro Forma'!G26</f>
        <v>-27481.410572564375</v>
      </c>
      <c r="H733" s="2606">
        <f>'Part VI-Pro Forma'!H26</f>
        <v>-27481.410572564375</v>
      </c>
      <c r="I733" s="2606">
        <f>'Part VI-Pro Forma'!I26</f>
        <v>-27481.410572564375</v>
      </c>
      <c r="J733" s="2606">
        <f>'Part VI-Pro Forma'!J26</f>
        <v>-27481.410572564375</v>
      </c>
      <c r="K733" s="2606">
        <f>'Part VI-Pro Forma'!K26</f>
        <v>-27481.410572564375</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-3500</v>
      </c>
      <c r="C738" s="2606">
        <f>'Part VI-Pro Forma'!C31</f>
        <v>-3500</v>
      </c>
      <c r="D738" s="2606">
        <f>'Part VI-Pro Forma'!D31</f>
        <v>-3500</v>
      </c>
      <c r="E738" s="2606">
        <f>'Part VI-Pro Forma'!E31</f>
        <v>-3500</v>
      </c>
      <c r="F738" s="2606">
        <f>'Part VI-Pro Forma'!F31</f>
        <v>-3500</v>
      </c>
      <c r="G738" s="2606">
        <f>'Part VI-Pro Forma'!G31</f>
        <v>-3500</v>
      </c>
      <c r="H738" s="2606">
        <f>'Part VI-Pro Forma'!H31</f>
        <v>-3500</v>
      </c>
      <c r="I738" s="2606">
        <f>'Part VI-Pro Forma'!I31</f>
        <v>-3500</v>
      </c>
      <c r="J738" s="2606">
        <f>'Part VI-Pro Forma'!J31</f>
        <v>-3500</v>
      </c>
      <c r="K738" s="2606">
        <f>'Part VI-Pro Forma'!K31</f>
        <v>-3500</v>
      </c>
    </row>
    <row r="739" spans="1:11">
      <c r="A739" s="357" t="s">
        <v>3361</v>
      </c>
      <c r="B739" s="2606">
        <f>'Part VI-Pro Forma'!B32</f>
        <v>-7451</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19015.181427435629</v>
      </c>
      <c r="C740" s="2606">
        <f t="shared" si="378"/>
        <v>25567.998867435701</v>
      </c>
      <c r="D740" s="2606">
        <f t="shared" si="378"/>
        <v>24591.351224235572</v>
      </c>
      <c r="E740" s="2606">
        <f t="shared" si="378"/>
        <v>23530.96715321159</v>
      </c>
      <c r="F740" s="2606">
        <f t="shared" si="378"/>
        <v>22384.45462155839</v>
      </c>
      <c r="G740" s="2606">
        <f t="shared" si="378"/>
        <v>21148.296836686954</v>
      </c>
      <c r="H740" s="2606">
        <f t="shared" si="378"/>
        <v>19818.848043455451</v>
      </c>
      <c r="I740" s="2606">
        <f t="shared" si="378"/>
        <v>18390.329186116811</v>
      </c>
      <c r="J740" s="2606">
        <f t="shared" si="378"/>
        <v>16860.823430741788</v>
      </c>
      <c r="K740" s="2606">
        <f t="shared" si="378"/>
        <v>15225.271543742703</v>
      </c>
    </row>
    <row r="741" spans="1:11">
      <c r="A741" s="357" t="str">
        <f>IF('Part II-Sources of Funds'!$E$40 = "Neither", "", "DCR Mortgage A")</f>
        <v>DCR Mortgage A</v>
      </c>
      <c r="B741" s="2607">
        <f t="shared" ref="B741:K741" si="379">IF(B733=0,"",-B732/B733)</f>
        <v>2.0904164234332239</v>
      </c>
      <c r="C741" s="2607">
        <f t="shared" si="379"/>
        <v>2.0577331462183119</v>
      </c>
      <c r="D741" s="2607">
        <f t="shared" si="379"/>
        <v>2.0221946631909833</v>
      </c>
      <c r="E741" s="2607">
        <f t="shared" si="379"/>
        <v>1.9836091594293024</v>
      </c>
      <c r="F741" s="2607">
        <f t="shared" si="379"/>
        <v>1.9418895930836868</v>
      </c>
      <c r="G741" s="2607">
        <f t="shared" si="379"/>
        <v>1.8969079942822944</v>
      </c>
      <c r="H741" s="2607">
        <f t="shared" si="379"/>
        <v>1.8485317004337269</v>
      </c>
      <c r="I741" s="2607">
        <f t="shared" si="379"/>
        <v>1.7965504219048591</v>
      </c>
      <c r="J741" s="2607">
        <f t="shared" si="379"/>
        <v>1.7408944084940345</v>
      </c>
      <c r="K741" s="2607">
        <f t="shared" si="379"/>
        <v>1.6813795636253395</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2.0904164234332239</v>
      </c>
      <c r="C745" s="2607">
        <f t="shared" si="383"/>
        <v>2.0577331462183119</v>
      </c>
      <c r="D745" s="2607">
        <f t="shared" si="383"/>
        <v>2.0221946631909833</v>
      </c>
      <c r="E745" s="2607">
        <f t="shared" si="383"/>
        <v>1.9836091594293024</v>
      </c>
      <c r="F745" s="2607">
        <f t="shared" si="383"/>
        <v>1.9418895930836868</v>
      </c>
      <c r="G745" s="2607">
        <f t="shared" si="383"/>
        <v>1.8969079942822944</v>
      </c>
      <c r="H745" s="2607">
        <f t="shared" si="383"/>
        <v>1.8485317004337269</v>
      </c>
      <c r="I745" s="2607">
        <f t="shared" si="383"/>
        <v>1.7965504219048591</v>
      </c>
      <c r="J745" s="2607">
        <f t="shared" si="383"/>
        <v>1.7408944084940345</v>
      </c>
      <c r="K745" s="2607">
        <f t="shared" si="383"/>
        <v>1.6813795636253395</v>
      </c>
    </row>
    <row r="746" spans="1:11">
      <c r="A746" s="357" t="s">
        <v>718</v>
      </c>
      <c r="B746" s="2608">
        <f t="shared" ref="B746:K746" si="384">IF(OR(B729="Choose mgt fee",B729="Choose One!"),"",(B722+B723+B724+B725+B726) / -(B728+B729+B730))</f>
        <v>1.2560048099727434</v>
      </c>
      <c r="C746" s="2608">
        <f t="shared" si="384"/>
        <v>1.2448709231224271</v>
      </c>
      <c r="D746" s="2608">
        <f t="shared" si="384"/>
        <v>1.2338311467640335</v>
      </c>
      <c r="E746" s="2608">
        <f t="shared" si="384"/>
        <v>1.2228751969862959</v>
      </c>
      <c r="F746" s="2608">
        <f t="shared" si="384"/>
        <v>1.2120086498942817</v>
      </c>
      <c r="G746" s="2608">
        <f t="shared" si="384"/>
        <v>1.2012315943789824</v>
      </c>
      <c r="H746" s="2608">
        <f t="shared" si="384"/>
        <v>1.1905440306417467</v>
      </c>
      <c r="I746" s="2608">
        <f t="shared" si="384"/>
        <v>1.1799372769167804</v>
      </c>
      <c r="J746" s="2608">
        <f t="shared" si="384"/>
        <v>1.1694204150467795</v>
      </c>
      <c r="K746" s="2608">
        <f t="shared" si="384"/>
        <v>1.1589891988913288</v>
      </c>
    </row>
    <row r="747" spans="1:11">
      <c r="A747" s="357" t="s">
        <v>2405</v>
      </c>
      <c r="B747" s="2606">
        <f>'Part VI-Pro Forma'!B40</f>
        <v>490662.99461548286</v>
      </c>
      <c r="C747" s="2606">
        <f>'Part VI-Pro Forma'!C40</f>
        <v>480978.46355608926</v>
      </c>
      <c r="D747" s="2606">
        <f>'Part VI-Pro Forma'!D40</f>
        <v>470933.47182931093</v>
      </c>
      <c r="E747" s="2606">
        <f>'Part VI-Pro Forma'!E40</f>
        <v>460514.6029989844</v>
      </c>
      <c r="F747" s="2606">
        <f>'Part VI-Pro Forma'!F40</f>
        <v>449707.94126583781</v>
      </c>
      <c r="G747" s="2606">
        <f>'Part VI-Pro Forma'!G40</f>
        <v>438499.05288107105</v>
      </c>
      <c r="H747" s="2606">
        <f>'Part VI-Pro Forma'!H40</f>
        <v>426872.96686814504</v>
      </c>
      <c r="I747" s="2606">
        <f>'Part VI-Pro Forma'!I40</f>
        <v>414814.15502703068</v>
      </c>
      <c r="J747" s="2606">
        <f>'Part VI-Pro Forma'!J40</f>
        <v>402306.51119421149</v>
      </c>
      <c r="K747" s="2606">
        <f>'Part VI-Pro Forma'!K40</f>
        <v>389333.32973073795</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362187.62206884223</v>
      </c>
      <c r="C754" s="2606">
        <f>'Part VI-Pro Forma'!C47</f>
        <v>369431.37451021903</v>
      </c>
      <c r="D754" s="2606">
        <f>'Part VI-Pro Forma'!D47</f>
        <v>376820.00200042344</v>
      </c>
      <c r="E754" s="2606">
        <f>'Part VI-Pro Forma'!E47</f>
        <v>384356.40204043192</v>
      </c>
      <c r="F754" s="2606">
        <f>'Part VI-Pro Forma'!F47</f>
        <v>392043.53008124058</v>
      </c>
      <c r="G754" s="2606">
        <f>'Part VI-Pro Forma'!G47</f>
        <v>399884.40068286529</v>
      </c>
      <c r="H754" s="2606">
        <f>'Part VI-Pro Forma'!H47</f>
        <v>407882.08869652264</v>
      </c>
      <c r="I754" s="2606">
        <f>'Part VI-Pro Forma'!I47</f>
        <v>416039.73047045316</v>
      </c>
      <c r="J754" s="2606">
        <f>'Part VI-Pro Forma'!J47</f>
        <v>424360.52507986216</v>
      </c>
      <c r="K754" s="2606">
        <f>'Part VI-Pro Forma'!K47</f>
        <v>432847.73558145936</v>
      </c>
    </row>
    <row r="755" spans="1:11">
      <c r="A755" s="357" t="s">
        <v>952</v>
      </c>
      <c r="B755" s="2606">
        <f>'Part VI-Pro Forma'!B48</f>
        <v>7243.7524413768451</v>
      </c>
      <c r="C755" s="2606">
        <f>'Part VI-Pro Forma'!C48</f>
        <v>7388.6274902043806</v>
      </c>
      <c r="D755" s="2606">
        <f>'Part VI-Pro Forma'!D48</f>
        <v>7536.4000400084697</v>
      </c>
      <c r="E755" s="2606">
        <f>'Part VI-Pro Forma'!E48</f>
        <v>7687.1280408086386</v>
      </c>
      <c r="F755" s="2606">
        <f>'Part VI-Pro Forma'!F48</f>
        <v>7840.8706016248125</v>
      </c>
      <c r="G755" s="2606">
        <f>'Part VI-Pro Forma'!G48</f>
        <v>7997.6880136573063</v>
      </c>
      <c r="H755" s="2606">
        <f>'Part VI-Pro Forma'!H48</f>
        <v>8157.6417739304534</v>
      </c>
      <c r="I755" s="2606">
        <f>'Part VI-Pro Forma'!I48</f>
        <v>8320.7946094090639</v>
      </c>
      <c r="J755" s="2606">
        <f>'Part VI-Pro Forma'!J48</f>
        <v>8487.2105015972429</v>
      </c>
      <c r="K755" s="2606">
        <f>'Part VI-Pro Forma'!K48</f>
        <v>8656.9547116291888</v>
      </c>
    </row>
    <row r="756" spans="1:11">
      <c r="A756" s="357" t="s">
        <v>2216</v>
      </c>
      <c r="B756" s="2606">
        <f>'Part VI-Pro Forma'!B49</f>
        <v>-25860.196215715339</v>
      </c>
      <c r="C756" s="2606">
        <f>'Part VI-Pro Forma'!C49</f>
        <v>-26377.40014002964</v>
      </c>
      <c r="D756" s="2606">
        <f>'Part VI-Pro Forma'!D49</f>
        <v>-26904.948142830235</v>
      </c>
      <c r="E756" s="2606">
        <f>'Part VI-Pro Forma'!E49</f>
        <v>-27443.047105686845</v>
      </c>
      <c r="F756" s="2606">
        <f>'Part VI-Pro Forma'!F49</f>
        <v>-27991.908047800582</v>
      </c>
      <c r="G756" s="2606">
        <f>'Part VI-Pro Forma'!G49</f>
        <v>-28551.746208756584</v>
      </c>
      <c r="H756" s="2606">
        <f>'Part VI-Pro Forma'!H49</f>
        <v>-29122.781132931719</v>
      </c>
      <c r="I756" s="2606">
        <f>'Part VI-Pro Forma'!I49</f>
        <v>-29705.236755590358</v>
      </c>
      <c r="J756" s="2606">
        <f>'Part VI-Pro Forma'!J49</f>
        <v>-30299.341490702162</v>
      </c>
      <c r="K756" s="2606">
        <f>'Part VI-Pro Forma'!K49</f>
        <v>-30905.328320516201</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343571.17829450377</v>
      </c>
      <c r="C759" s="2606">
        <f>'Part VI-Pro Forma'!C52</f>
        <v>350442.60186039377</v>
      </c>
      <c r="D759" s="2606">
        <f>'Part VI-Pro Forma'!D52</f>
        <v>357451.45389760169</v>
      </c>
      <c r="E759" s="2606">
        <f>'Part VI-Pro Forma'!E52</f>
        <v>364600.48297555372</v>
      </c>
      <c r="F759" s="2606">
        <f>'Part VI-Pro Forma'!F52</f>
        <v>371892.49263506482</v>
      </c>
      <c r="G759" s="2606">
        <f>'Part VI-Pro Forma'!G52</f>
        <v>379330.342487766</v>
      </c>
      <c r="H759" s="2606">
        <f>'Part VI-Pro Forma'!H52</f>
        <v>386916.94933752139</v>
      </c>
      <c r="I759" s="2606">
        <f>'Part VI-Pro Forma'!I52</f>
        <v>394655.28832427185</v>
      </c>
      <c r="J759" s="2606">
        <f>'Part VI-Pro Forma'!J52</f>
        <v>402548.39409075724</v>
      </c>
      <c r="K759" s="2606">
        <f>'Part VI-Pro Forma'!K52</f>
        <v>410599.36197257234</v>
      </c>
    </row>
    <row r="760" spans="1:11">
      <c r="A760" s="357" t="s">
        <v>572</v>
      </c>
      <c r="B760" s="2606">
        <f>'Part VI-Pro Forma'!B53</f>
        <v>-260278.22042716233</v>
      </c>
      <c r="C760" s="2606">
        <f>'Part VI-Pro Forma'!C53</f>
        <v>-268086.56703997718</v>
      </c>
      <c r="D760" s="2606">
        <f>'Part VI-Pro Forma'!D53</f>
        <v>-276129.16405117646</v>
      </c>
      <c r="E760" s="2606">
        <f>'Part VI-Pro Forma'!E53</f>
        <v>-284413.03897271177</v>
      </c>
      <c r="F760" s="2606">
        <f>'Part VI-Pro Forma'!F53</f>
        <v>-292945.43014189316</v>
      </c>
      <c r="G760" s="2606">
        <f>'Part VI-Pro Forma'!G53</f>
        <v>-301733.79304614995</v>
      </c>
      <c r="H760" s="2606">
        <f>'Part VI-Pro Forma'!H53</f>
        <v>-310785.80683753442</v>
      </c>
      <c r="I760" s="2606">
        <f>'Part VI-Pro Forma'!I53</f>
        <v>-320109.38104266045</v>
      </c>
      <c r="J760" s="2606">
        <f>'Part VI-Pro Forma'!J53</f>
        <v>-329712.66247394023</v>
      </c>
      <c r="K760" s="2606">
        <f>'Part VI-Pro Forma'!K53</f>
        <v>-339604.04234815843</v>
      </c>
    </row>
    <row r="761" spans="1:11">
      <c r="A761" s="357" t="s">
        <v>1050</v>
      </c>
      <c r="B761" s="2606">
        <f>'Part VI-Pro Forma'!B54</f>
        <v>-24050</v>
      </c>
      <c r="C761" s="2606">
        <f>'Part VI-Pro Forma'!C54</f>
        <v>-24531</v>
      </c>
      <c r="D761" s="2606">
        <f>'Part VI-Pro Forma'!D54</f>
        <v>-25022</v>
      </c>
      <c r="E761" s="2606">
        <f>'Part VI-Pro Forma'!E54</f>
        <v>-25522</v>
      </c>
      <c r="F761" s="2606">
        <f>'Part VI-Pro Forma'!F54</f>
        <v>-26032</v>
      </c>
      <c r="G761" s="2606">
        <f>'Part VI-Pro Forma'!G54</f>
        <v>-26553</v>
      </c>
      <c r="H761" s="2606">
        <f>'Part VI-Pro Forma'!H54</f>
        <v>-27084</v>
      </c>
      <c r="I761" s="2606">
        <f>'Part VI-Pro Forma'!I54</f>
        <v>-27626</v>
      </c>
      <c r="J761" s="2606">
        <f>'Part VI-Pro Forma'!J54</f>
        <v>-28178</v>
      </c>
      <c r="K761" s="2606">
        <f>'Part VI-Pro Forma'!K54</f>
        <v>-28742</v>
      </c>
    </row>
    <row r="762" spans="1:11">
      <c r="A762" s="357" t="s">
        <v>1128</v>
      </c>
      <c r="B762" s="2606">
        <f>'Part VI-Pro Forma'!B55</f>
        <v>-14783.08017278534</v>
      </c>
      <c r="C762" s="2606">
        <f>'Part VI-Pro Forma'!C55</f>
        <v>-15226.5725779689</v>
      </c>
      <c r="D762" s="2606">
        <f>'Part VI-Pro Forma'!D55</f>
        <v>-15683.369755307966</v>
      </c>
      <c r="E762" s="2606">
        <f>'Part VI-Pro Forma'!E55</f>
        <v>-16153.870847967202</v>
      </c>
      <c r="F762" s="2606">
        <f>'Part VI-Pro Forma'!F55</f>
        <v>-16638.486973406219</v>
      </c>
      <c r="G762" s="2606">
        <f>'Part VI-Pro Forma'!G55</f>
        <v>-17137.641582608408</v>
      </c>
      <c r="H762" s="2606">
        <f>'Part VI-Pro Forma'!H55</f>
        <v>-17651.770830086658</v>
      </c>
      <c r="I762" s="2606">
        <f>'Part VI-Pro Forma'!I55</f>
        <v>-18181.323954989257</v>
      </c>
      <c r="J762" s="2606">
        <f>'Part VI-Pro Forma'!J55</f>
        <v>-18726.763673638936</v>
      </c>
      <c r="K762" s="2606">
        <f>'Part VI-Pro Forma'!K55</f>
        <v>-19288.566583848104</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44459.877694556097</v>
      </c>
      <c r="C764" s="2606">
        <f t="shared" si="386"/>
        <v>42598.462242447691</v>
      </c>
      <c r="D764" s="2606">
        <f t="shared" si="386"/>
        <v>40616.920091117267</v>
      </c>
      <c r="E764" s="2606">
        <f t="shared" si="386"/>
        <v>38511.573154874743</v>
      </c>
      <c r="F764" s="2606">
        <f t="shared" si="386"/>
        <v>36276.575519765436</v>
      </c>
      <c r="G764" s="2606">
        <f t="shared" si="386"/>
        <v>33905.907859007639</v>
      </c>
      <c r="H764" s="2606">
        <f t="shared" si="386"/>
        <v>31395.37166990032</v>
      </c>
      <c r="I764" s="2606">
        <f t="shared" si="386"/>
        <v>28738.583326622149</v>
      </c>
      <c r="J764" s="2606">
        <f t="shared" si="386"/>
        <v>25930.967943178071</v>
      </c>
      <c r="K764" s="2606">
        <f t="shared" si="386"/>
        <v>22964.753040565807</v>
      </c>
    </row>
    <row r="765" spans="1:11">
      <c r="A765" s="357" t="str">
        <f>$A733</f>
        <v>Mortgage A</v>
      </c>
      <c r="B765" s="2606">
        <f>'Part VI-Pro Forma'!B58</f>
        <v>-29961.680359586895</v>
      </c>
      <c r="C765" s="2606">
        <f>'Part VI-Pro Forma'!C58</f>
        <v>-29961.680359586895</v>
      </c>
      <c r="D765" s="2606">
        <f>'Part VI-Pro Forma'!D58</f>
        <v>-29961.680359586895</v>
      </c>
      <c r="E765" s="2606">
        <f>'Part VI-Pro Forma'!E58</f>
        <v>-29961.680359586895</v>
      </c>
      <c r="F765" s="2606">
        <f>'Part VI-Pro Forma'!F58</f>
        <v>-29961.680359586895</v>
      </c>
      <c r="G765" s="2606">
        <f>'Part VI-Pro Forma'!G58</f>
        <v>-29961.680359586895</v>
      </c>
      <c r="H765" s="2606">
        <f>'Part VI-Pro Forma'!H58</f>
        <v>-29961.680359586895</v>
      </c>
      <c r="I765" s="2606">
        <f>'Part VI-Pro Forma'!I58</f>
        <v>-29961.680359586895</v>
      </c>
      <c r="J765" s="2606">
        <f>'Part VI-Pro Forma'!J58</f>
        <v>-29961.680359586895</v>
      </c>
      <c r="K765" s="2606">
        <f>'Part VI-Pro Forma'!K58</f>
        <v>-29961.680359586895</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-3500</v>
      </c>
      <c r="C770" s="2606">
        <f>'Part VI-Pro Forma'!C63</f>
        <v>-3500</v>
      </c>
      <c r="D770" s="2606">
        <f>'Part VI-Pro Forma'!D63</f>
        <v>-3500</v>
      </c>
      <c r="E770" s="2606">
        <f>'Part VI-Pro Forma'!E63</f>
        <v>-3500</v>
      </c>
      <c r="F770" s="2606">
        <f>'Part VI-Pro Forma'!F63</f>
        <v>-3500</v>
      </c>
      <c r="G770" s="2606">
        <f>'Part VI-Pro Forma'!G63</f>
        <v>-3500</v>
      </c>
      <c r="H770" s="2606">
        <f>'Part VI-Pro Forma'!H63</f>
        <v>-3500</v>
      </c>
      <c r="I770" s="2606">
        <f>'Part VI-Pro Forma'!I63</f>
        <v>-3500</v>
      </c>
      <c r="J770" s="2606">
        <f>'Part VI-Pro Forma'!J63</f>
        <v>-3500</v>
      </c>
      <c r="K770" s="2606">
        <f>'Part VI-Pro Forma'!K63</f>
        <v>-3500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10998.197334969202</v>
      </c>
      <c r="C772" s="2606">
        <f t="shared" si="387"/>
        <v>9136.781882860796</v>
      </c>
      <c r="D772" s="2606">
        <f t="shared" si="387"/>
        <v>7155.2397315303715</v>
      </c>
      <c r="E772" s="2606">
        <f t="shared" si="387"/>
        <v>5049.8927952878475</v>
      </c>
      <c r="F772" s="2606">
        <f t="shared" si="387"/>
        <v>2814.8951601785411</v>
      </c>
      <c r="G772" s="2606">
        <f t="shared" si="387"/>
        <v>444.2274994207437</v>
      </c>
      <c r="H772" s="2606">
        <f t="shared" si="387"/>
        <v>-2066.3086896865752</v>
      </c>
      <c r="I772" s="2606">
        <f t="shared" si="387"/>
        <v>-4723.0970329647462</v>
      </c>
      <c r="J772" s="2606">
        <f t="shared" si="387"/>
        <v>-7530.7124164088236</v>
      </c>
      <c r="K772" s="2606">
        <f t="shared" si="387"/>
        <v>-10496.927319021088</v>
      </c>
    </row>
    <row r="773" spans="1:11">
      <c r="A773" s="357" t="str">
        <f>$A741</f>
        <v>DCR Mortgage A</v>
      </c>
      <c r="B773" s="2607">
        <f t="shared" ref="B773:K773" si="388">IF(B765=0,"",-B764/B765)</f>
        <v>1.4838913292234688</v>
      </c>
      <c r="C773" s="2607">
        <f t="shared" si="388"/>
        <v>1.4217647919342207</v>
      </c>
      <c r="D773" s="2607">
        <f t="shared" si="388"/>
        <v>1.3556289101162176</v>
      </c>
      <c r="E773" s="2607">
        <f t="shared" si="388"/>
        <v>1.2853609241095894</v>
      </c>
      <c r="F773" s="2607">
        <f t="shared" si="388"/>
        <v>1.2107657208938201</v>
      </c>
      <c r="G773" s="2607">
        <f t="shared" si="388"/>
        <v>1.1316423996279201</v>
      </c>
      <c r="H773" s="2607">
        <f t="shared" si="388"/>
        <v>1.0478508312319901</v>
      </c>
      <c r="I773" s="2607">
        <f t="shared" si="388"/>
        <v>0.95917795603298361</v>
      </c>
      <c r="J773" s="2607">
        <f t="shared" si="388"/>
        <v>0.86547108279529095</v>
      </c>
      <c r="K773" s="2607">
        <f t="shared" si="388"/>
        <v>0.76647079753047731</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1.4838913292234688</v>
      </c>
      <c r="C777" s="2607">
        <f t="shared" si="392"/>
        <v>1.4217647919342207</v>
      </c>
      <c r="D777" s="2607">
        <f t="shared" si="392"/>
        <v>1.3556289101162176</v>
      </c>
      <c r="E777" s="2607">
        <f t="shared" si="392"/>
        <v>1.2853609241095894</v>
      </c>
      <c r="F777" s="2607">
        <f t="shared" si="392"/>
        <v>1.2107657208938201</v>
      </c>
      <c r="G777" s="2607">
        <f t="shared" si="392"/>
        <v>1.1316423996279201</v>
      </c>
      <c r="H777" s="2607">
        <f t="shared" si="392"/>
        <v>1.0478508312319901</v>
      </c>
      <c r="I777" s="2607">
        <f t="shared" si="392"/>
        <v>0.95917795603298361</v>
      </c>
      <c r="J777" s="2607">
        <f t="shared" si="392"/>
        <v>0.86547108279529095</v>
      </c>
      <c r="K777" s="2607">
        <f t="shared" si="392"/>
        <v>0.76647079753047731</v>
      </c>
    </row>
    <row r="778" spans="1:11">
      <c r="A778" s="357" t="s">
        <v>718</v>
      </c>
      <c r="B778" s="2608">
        <f t="shared" ref="B778:K778" si="393">IF(OR(B761="Choose mgt fee",B761="Choose One!"),"",(B754+B755+B756+B757+B758) / -(B760+B761+B762))</f>
        <v>1.1486399129868377</v>
      </c>
      <c r="C778" s="2608">
        <f t="shared" si="393"/>
        <v>1.1383767197755172</v>
      </c>
      <c r="D778" s="2608">
        <f t="shared" si="393"/>
        <v>1.1281960006162877</v>
      </c>
      <c r="E778" s="2608">
        <f t="shared" si="393"/>
        <v>1.1181014502334741</v>
      </c>
      <c r="F778" s="2608">
        <f t="shared" si="393"/>
        <v>1.1080895561556539</v>
      </c>
      <c r="G778" s="2608">
        <f t="shared" si="393"/>
        <v>1.0981572363155134</v>
      </c>
      <c r="H778" s="2608">
        <f t="shared" si="393"/>
        <v>1.0883079217747285</v>
      </c>
      <c r="I778" s="2608">
        <f t="shared" si="393"/>
        <v>1.0785385934397467</v>
      </c>
      <c r="J778" s="2608">
        <f t="shared" si="393"/>
        <v>1.0688522785799532</v>
      </c>
      <c r="K778" s="2608">
        <f t="shared" si="393"/>
        <v>1.0592432990022158</v>
      </c>
    </row>
    <row r="779" spans="1:11">
      <c r="A779" s="357" t="s">
        <v>2405</v>
      </c>
      <c r="B779" s="2606">
        <f>'Part VI-Pro Forma'!B72</f>
        <v>385095.9670718686</v>
      </c>
      <c r="C779" s="2606">
        <f>'Part VI-Pro Forma'!C72</f>
        <v>380568.52086401498</v>
      </c>
      <c r="D779" s="2606">
        <f>'Part VI-Pro Forma'!D72</f>
        <v>375731.13241860922</v>
      </c>
      <c r="E779" s="2606">
        <f>'Part VI-Pro Forma'!E72</f>
        <v>370562.58355078322</v>
      </c>
      <c r="F779" s="2606">
        <f>'Part VI-Pro Forma'!F72</f>
        <v>365040.20351027267</v>
      </c>
      <c r="G779" s="2606">
        <f>'Part VI-Pro Forma'!G72</f>
        <v>359139.76954094903</v>
      </c>
      <c r="H779" s="2606">
        <f>'Part VI-Pro Forma'!H72</f>
        <v>352835.40063280531</v>
      </c>
      <c r="I779" s="2606">
        <f>'Part VI-Pro Forma'!I72</f>
        <v>346099.44400036032</v>
      </c>
      <c r="J779" s="2606">
        <f>'Part VI-Pro Forma'!J72</f>
        <v>338902.3537895435</v>
      </c>
      <c r="K779" s="2606">
        <f>'Part VI-Pro Forma'!K72</f>
        <v>331212.56148103299</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441504.69029308861</v>
      </c>
      <c r="C786" s="2606">
        <f>'Part VI-Pro Forma'!C79</f>
        <v>450334.78409895033</v>
      </c>
      <c r="D786" s="2606">
        <f>'Part VI-Pro Forma'!D79</f>
        <v>459341.4797809294</v>
      </c>
      <c r="E786" s="2606">
        <f>'Part VI-Pro Forma'!E79</f>
        <v>468528.30937654787</v>
      </c>
      <c r="F786" s="2606">
        <f>'Part VI-Pro Forma'!F79</f>
        <v>477898.87556407886</v>
      </c>
      <c r="G786" s="2606">
        <f>'Part VI-Pro Forma'!G79</f>
        <v>487456.85307536041</v>
      </c>
      <c r="H786" s="2606">
        <f>'Part VI-Pro Forma'!H79</f>
        <v>497205.99013686768</v>
      </c>
      <c r="I786" s="2606">
        <f>'Part VI-Pro Forma'!I79</f>
        <v>507150.10993960494</v>
      </c>
      <c r="J786" s="2606">
        <f>'Part VI-Pro Forma'!J79</f>
        <v>517293.11213839718</v>
      </c>
      <c r="K786" s="2606">
        <f>'Part VI-Pro Forma'!K79</f>
        <v>527638.974381165</v>
      </c>
    </row>
    <row r="787" spans="1:11">
      <c r="A787" s="357" t="s">
        <v>952</v>
      </c>
      <c r="B787" s="2606">
        <f>'Part VI-Pro Forma'!B80</f>
        <v>8830.0938058617721</v>
      </c>
      <c r="C787" s="2606">
        <f>'Part VI-Pro Forma'!C80</f>
        <v>9006.6956819790084</v>
      </c>
      <c r="D787" s="2606">
        <f>'Part VI-Pro Forma'!D80</f>
        <v>9186.8295956185884</v>
      </c>
      <c r="E787" s="2606">
        <f>'Part VI-Pro Forma'!E80</f>
        <v>9370.5661875309579</v>
      </c>
      <c r="F787" s="2606">
        <f>'Part VI-Pro Forma'!F80</f>
        <v>9557.9775112815787</v>
      </c>
      <c r="G787" s="2606">
        <f>'Part VI-Pro Forma'!G80</f>
        <v>9749.1370615072101</v>
      </c>
      <c r="H787" s="2606">
        <f>'Part VI-Pro Forma'!H80</f>
        <v>9944.1198027373557</v>
      </c>
      <c r="I787" s="2606">
        <f>'Part VI-Pro Forma'!I80</f>
        <v>10143.002198792101</v>
      </c>
      <c r="J787" s="2606">
        <f>'Part VI-Pro Forma'!J80</f>
        <v>10345.862242767944</v>
      </c>
      <c r="K787" s="2606">
        <f>'Part VI-Pro Forma'!K80</f>
        <v>10552.779487623302</v>
      </c>
    </row>
    <row r="788" spans="1:11">
      <c r="A788" s="357" t="s">
        <v>2216</v>
      </c>
      <c r="B788" s="2606">
        <f>'Part VI-Pro Forma'!B81</f>
        <v>-31523.43488692653</v>
      </c>
      <c r="C788" s="2606">
        <f>'Part VI-Pro Forma'!C81</f>
        <v>-32153.903584665055</v>
      </c>
      <c r="D788" s="2606">
        <f>'Part VI-Pro Forma'!D81</f>
        <v>-32796.981656358359</v>
      </c>
      <c r="E788" s="2606">
        <f>'Part VI-Pro Forma'!E81</f>
        <v>-33452.921289485523</v>
      </c>
      <c r="F788" s="2606">
        <f>'Part VI-Pro Forma'!F81</f>
        <v>-34121.979715275229</v>
      </c>
      <c r="G788" s="2606">
        <f>'Part VI-Pro Forma'!G81</f>
        <v>-34804.419309580735</v>
      </c>
      <c r="H788" s="2606">
        <f>'Part VI-Pro Forma'!H81</f>
        <v>-35500.507695772358</v>
      </c>
      <c r="I788" s="2606">
        <f>'Part VI-Pro Forma'!I81</f>
        <v>-36210.5178496878</v>
      </c>
      <c r="J788" s="2606">
        <f>'Part VI-Pro Forma'!J81</f>
        <v>-36934.728206681561</v>
      </c>
      <c r="K788" s="2606">
        <f>'Part VI-Pro Forma'!K81</f>
        <v>-37673.422770815181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418811.34921202384</v>
      </c>
      <c r="C791" s="2606">
        <f>'Part VI-Pro Forma'!C84</f>
        <v>427187.5761962643</v>
      </c>
      <c r="D791" s="2606">
        <f>'Part VI-Pro Forma'!D84</f>
        <v>435731.32772018964</v>
      </c>
      <c r="E791" s="2606">
        <f>'Part VI-Pro Forma'!E84</f>
        <v>444445.95427459327</v>
      </c>
      <c r="F791" s="2606">
        <f>'Part VI-Pro Forma'!F84</f>
        <v>453334.87336008518</v>
      </c>
      <c r="G791" s="2606">
        <f>'Part VI-Pro Forma'!G84</f>
        <v>462401.57082728687</v>
      </c>
      <c r="H791" s="2606">
        <f>'Part VI-Pro Forma'!H84</f>
        <v>471649.60224383272</v>
      </c>
      <c r="I791" s="2606">
        <f>'Part VI-Pro Forma'!I84</f>
        <v>481082.59428870928</v>
      </c>
      <c r="J791" s="2606">
        <f>'Part VI-Pro Forma'!J84</f>
        <v>490704.24617448356</v>
      </c>
      <c r="K791" s="2606">
        <f>'Part VI-Pro Forma'!K84</f>
        <v>500518.33109797304</v>
      </c>
    </row>
    <row r="792" spans="1:11">
      <c r="A792" s="357" t="s">
        <v>572</v>
      </c>
      <c r="B792" s="2606">
        <f>'Part VI-Pro Forma'!B85</f>
        <v>-349792.1636186032</v>
      </c>
      <c r="C792" s="2606">
        <f>'Part VI-Pro Forma'!C85</f>
        <v>-360285.92852716125</v>
      </c>
      <c r="D792" s="2606">
        <f>'Part VI-Pro Forma'!D85</f>
        <v>-371094.50638297613</v>
      </c>
      <c r="E792" s="2606">
        <f>'Part VI-Pro Forma'!E85</f>
        <v>-382227.34157446545</v>
      </c>
      <c r="F792" s="2606">
        <f>'Part VI-Pro Forma'!F85</f>
        <v>-393694.16182169935</v>
      </c>
      <c r="G792" s="2606">
        <f>'Part VI-Pro Forma'!G85</f>
        <v>-405504.98667635029</v>
      </c>
      <c r="H792" s="2606">
        <f>'Part VI-Pro Forma'!H85</f>
        <v>-417670.13627664087</v>
      </c>
      <c r="I792" s="2606">
        <f>'Part VI-Pro Forma'!I85</f>
        <v>-430200.24036494002</v>
      </c>
      <c r="J792" s="2606">
        <f>'Part VI-Pro Forma'!J85</f>
        <v>-443106.24757588824</v>
      </c>
      <c r="K792" s="2606">
        <f>'Part VI-Pro Forma'!K85</f>
        <v>-456399.43500316486</v>
      </c>
    </row>
    <row r="793" spans="1:11">
      <c r="A793" s="357" t="s">
        <v>1050</v>
      </c>
      <c r="B793" s="2606">
        <f>'Part VI-Pro Forma'!B86</f>
        <v>-29317</v>
      </c>
      <c r="C793" s="2606">
        <f>'Part VI-Pro Forma'!C86</f>
        <v>-29903</v>
      </c>
      <c r="D793" s="2606">
        <f>'Part VI-Pro Forma'!D86</f>
        <v>-30501</v>
      </c>
      <c r="E793" s="2606">
        <f>'Part VI-Pro Forma'!E86</f>
        <v>-31111</v>
      </c>
      <c r="F793" s="2606">
        <f>'Part VI-Pro Forma'!F86</f>
        <v>-31733</v>
      </c>
      <c r="G793" s="2606">
        <f>'Part VI-Pro Forma'!G86</f>
        <v>-32368</v>
      </c>
      <c r="H793" s="2606">
        <f>'Part VI-Pro Forma'!H86</f>
        <v>-33015</v>
      </c>
      <c r="I793" s="2606">
        <f>'Part VI-Pro Forma'!I86</f>
        <v>-33676</v>
      </c>
      <c r="J793" s="2606">
        <f>'Part VI-Pro Forma'!J86</f>
        <v>-34349</v>
      </c>
      <c r="K793" s="2606">
        <f>'Part VI-Pro Forma'!K86</f>
        <v>-35036</v>
      </c>
    </row>
    <row r="794" spans="1:11">
      <c r="A794" s="357" t="s">
        <v>1128</v>
      </c>
      <c r="B794" s="2606">
        <f>'Part VI-Pro Forma'!B87</f>
        <v>-19867.223581363545</v>
      </c>
      <c r="C794" s="2606">
        <f>'Part VI-Pro Forma'!C87</f>
        <v>-20463.240288804449</v>
      </c>
      <c r="D794" s="2606">
        <f>'Part VI-Pro Forma'!D87</f>
        <v>-21077.137497468586</v>
      </c>
      <c r="E794" s="2606">
        <f>'Part VI-Pro Forma'!E87</f>
        <v>-21709.451622392644</v>
      </c>
      <c r="F794" s="2606">
        <f>'Part VI-Pro Forma'!F87</f>
        <v>-22360.735171064422</v>
      </c>
      <c r="G794" s="2606">
        <f>'Part VI-Pro Forma'!G87</f>
        <v>-23031.557226196353</v>
      </c>
      <c r="H794" s="2606">
        <f>'Part VI-Pro Forma'!H87</f>
        <v>-23722.503942982246</v>
      </c>
      <c r="I794" s="2606">
        <f>'Part VI-Pro Forma'!I87</f>
        <v>-24434.179061271712</v>
      </c>
      <c r="J794" s="2606">
        <f>'Part VI-Pro Forma'!J87</f>
        <v>-25167.204433109862</v>
      </c>
      <c r="K794" s="2606">
        <f>'Part VI-Pro Forma'!K87</f>
        <v>-25922.220566103155</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19834.962012057094</v>
      </c>
      <c r="C796" s="2606">
        <f t="shared" si="395"/>
        <v>16535.407380298606</v>
      </c>
      <c r="D796" s="2606">
        <f t="shared" si="395"/>
        <v>13058.683839744921</v>
      </c>
      <c r="E796" s="2606">
        <f t="shared" si="395"/>
        <v>9398.161077735178</v>
      </c>
      <c r="F796" s="2606">
        <f t="shared" si="395"/>
        <v>5546.9763673214111</v>
      </c>
      <c r="G796" s="2606">
        <f t="shared" si="395"/>
        <v>1497.0269247402175</v>
      </c>
      <c r="H796" s="2606">
        <f t="shared" si="395"/>
        <v>-2758.0379757903975</v>
      </c>
      <c r="I796" s="2606">
        <f t="shared" si="395"/>
        <v>-7227.825137502452</v>
      </c>
      <c r="J796" s="2606">
        <f t="shared" si="395"/>
        <v>-11918.205834514538</v>
      </c>
      <c r="K796" s="2606">
        <f t="shared" si="395"/>
        <v>-16839.324471294975</v>
      </c>
    </row>
    <row r="797" spans="1:11">
      <c r="A797" s="357" t="str">
        <f>$A765</f>
        <v>Mortgage A</v>
      </c>
      <c r="B797" s="2606">
        <f>'Part VI-Pro Forma'!B90</f>
        <v>-29961.680359586895</v>
      </c>
      <c r="C797" s="2606">
        <f>'Part VI-Pro Forma'!C90</f>
        <v>-29961.680359586895</v>
      </c>
      <c r="D797" s="2606">
        <f>'Part VI-Pro Forma'!D90</f>
        <v>-29961.680359586895</v>
      </c>
      <c r="E797" s="2606">
        <f>'Part VI-Pro Forma'!E90</f>
        <v>-29961.680359586895</v>
      </c>
      <c r="F797" s="2606">
        <f>'Part VI-Pro Forma'!F90</f>
        <v>-29961.680359586895</v>
      </c>
      <c r="G797" s="2606">
        <f>'Part VI-Pro Forma'!G90</f>
        <v>-29961.680359586895</v>
      </c>
      <c r="H797" s="2606">
        <f>'Part VI-Pro Forma'!H90</f>
        <v>-29961.680359586895</v>
      </c>
      <c r="I797" s="2606">
        <f>'Part VI-Pro Forma'!I90</f>
        <v>-29961.680359586895</v>
      </c>
      <c r="J797" s="2606">
        <f>'Part VI-Pro Forma'!J90</f>
        <v>-29961.680359586895</v>
      </c>
      <c r="K797" s="2606">
        <f>'Part VI-Pro Forma'!K90</f>
        <v>-29961.680359586895</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-3500</v>
      </c>
      <c r="C802" s="2606">
        <f>'Part VI-Pro Forma'!C95</f>
        <v>-3500</v>
      </c>
      <c r="D802" s="2606">
        <f>'Part VI-Pro Forma'!D95</f>
        <v>-3500</v>
      </c>
      <c r="E802" s="2606">
        <f>'Part VI-Pro Forma'!E95</f>
        <v>-3500</v>
      </c>
      <c r="F802" s="2606">
        <f>'Part VI-Pro Forma'!F95</f>
        <v>-3500</v>
      </c>
      <c r="G802" s="2606">
        <f>'Part VI-Pro Forma'!G95</f>
        <v>-3500</v>
      </c>
      <c r="H802" s="2606">
        <f>'Part VI-Pro Forma'!H95</f>
        <v>-3500</v>
      </c>
      <c r="I802" s="2606">
        <f>'Part VI-Pro Forma'!I95</f>
        <v>-3500</v>
      </c>
      <c r="J802" s="2606">
        <f>'Part VI-Pro Forma'!J95</f>
        <v>-3500</v>
      </c>
      <c r="K802" s="2606">
        <f>'Part VI-Pro Forma'!K95</f>
        <v>-3500</v>
      </c>
    </row>
    <row r="803" spans="1:11">
      <c r="A803" s="357" t="s">
        <v>1096</v>
      </c>
      <c r="B803" s="2606">
        <f t="shared" ref="B803:K803" si="396">SUM(B796:B802)</f>
        <v>-13626.718347529801</v>
      </c>
      <c r="C803" s="2606">
        <f t="shared" si="396"/>
        <v>-16926.272979288289</v>
      </c>
      <c r="D803" s="2606">
        <f t="shared" si="396"/>
        <v>-20402.996519841974</v>
      </c>
      <c r="E803" s="2606">
        <f t="shared" si="396"/>
        <v>-24063.519281851717</v>
      </c>
      <c r="F803" s="2606">
        <f t="shared" si="396"/>
        <v>-27914.703992265484</v>
      </c>
      <c r="G803" s="2606">
        <f t="shared" si="396"/>
        <v>-31964.653434846678</v>
      </c>
      <c r="H803" s="2606">
        <f t="shared" si="396"/>
        <v>-36219.718335377293</v>
      </c>
      <c r="I803" s="2606">
        <f t="shared" si="396"/>
        <v>-40689.505497089347</v>
      </c>
      <c r="J803" s="2606">
        <f t="shared" si="396"/>
        <v>-45379.886194101433</v>
      </c>
      <c r="K803" s="2606">
        <f t="shared" si="396"/>
        <v>-50301.004830881866</v>
      </c>
    </row>
    <row r="804" spans="1:11">
      <c r="A804" s="357" t="str">
        <f>$A773</f>
        <v>DCR Mortgage A</v>
      </c>
      <c r="B804" s="2607">
        <f t="shared" ref="B804:K804" si="397">IF(B797=0,"",-B796/B797)</f>
        <v>0.66201100118573508</v>
      </c>
      <c r="C804" s="2607">
        <f t="shared" si="397"/>
        <v>0.55188518073245318</v>
      </c>
      <c r="D804" s="2607">
        <f t="shared" si="397"/>
        <v>0.43584617695070327</v>
      </c>
      <c r="E804" s="2607">
        <f t="shared" si="397"/>
        <v>0.31367269675607601</v>
      </c>
      <c r="F804" s="2607">
        <f t="shared" si="397"/>
        <v>0.18513569001301139</v>
      </c>
      <c r="G804" s="2607">
        <f t="shared" si="397"/>
        <v>4.9964718492873546E-2</v>
      </c>
      <c r="H804" s="2607">
        <f t="shared" si="397"/>
        <v>-9.2052179406816981E-2</v>
      </c>
      <c r="I804" s="2607">
        <f t="shared" si="397"/>
        <v>-0.2412356400160898</v>
      </c>
      <c r="J804" s="2607">
        <f t="shared" si="397"/>
        <v>-0.39778162277540774</v>
      </c>
      <c r="K804" s="2607">
        <f t="shared" si="397"/>
        <v>-0.56202870697493656</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0.66201100118573508</v>
      </c>
      <c r="C808" s="2607">
        <f t="shared" si="401"/>
        <v>0.55188518073245318</v>
      </c>
      <c r="D808" s="2607">
        <f t="shared" si="401"/>
        <v>0.43584617695070327</v>
      </c>
      <c r="E808" s="2607">
        <f t="shared" si="401"/>
        <v>0.31367269675607601</v>
      </c>
      <c r="F808" s="2607">
        <f t="shared" si="401"/>
        <v>0.18513569001301139</v>
      </c>
      <c r="G808" s="2607">
        <f t="shared" si="401"/>
        <v>4.9964718492873546E-2</v>
      </c>
      <c r="H808" s="2607">
        <f t="shared" si="401"/>
        <v>-9.2052179406816981E-2</v>
      </c>
      <c r="I808" s="2607">
        <f t="shared" si="401"/>
        <v>-0.2412356400160898</v>
      </c>
      <c r="J808" s="2607">
        <f t="shared" si="401"/>
        <v>-0.39778162277540774</v>
      </c>
      <c r="K808" s="2607">
        <f t="shared" si="401"/>
        <v>-0.56202870697493656</v>
      </c>
    </row>
    <row r="809" spans="1:11">
      <c r="A809" s="357" t="s">
        <v>718</v>
      </c>
      <c r="B809" s="2608">
        <f>IF(OR(B793="Choose mgt fee",B793="Choose One!"),"",(B786+B787+B788+B789+B790) / -(B792+B793+B794))</f>
        <v>1.049714626349844</v>
      </c>
      <c r="C809" s="2608">
        <f t="shared" ref="C809:K809" si="402">IF(OR(C793="Choose mgt fee",C793="Choose One!"),"",(C786+C787+C788+C789+C790) / -(C792+C793+C794))</f>
        <v>1.0402662122252395</v>
      </c>
      <c r="D809" s="2608">
        <f t="shared" si="402"/>
        <v>1.0308955027698425</v>
      </c>
      <c r="E809" s="2608">
        <f t="shared" si="402"/>
        <v>1.0216025945303038</v>
      </c>
      <c r="F809" s="2608">
        <f t="shared" si="402"/>
        <v>1.0123875084712506</v>
      </c>
      <c r="G809" s="2608">
        <f t="shared" si="402"/>
        <v>1.0032480194533659</v>
      </c>
      <c r="H809" s="2608">
        <f t="shared" si="402"/>
        <v>0.99418635421951984</v>
      </c>
      <c r="I809" s="2608">
        <f t="shared" si="402"/>
        <v>0.98519829835702566</v>
      </c>
      <c r="J809" s="2608">
        <f t="shared" si="402"/>
        <v>0.97628795572725202</v>
      </c>
      <c r="K809" s="2608">
        <f t="shared" si="402"/>
        <v>0.96745128966388627</v>
      </c>
    </row>
    <row r="810" spans="1:11">
      <c r="A810" s="357" t="s">
        <v>2405</v>
      </c>
      <c r="B810" s="2606">
        <f>'Part VI-Pro Forma'!B103</f>
        <v>322996.33742159931</v>
      </c>
      <c r="C810" s="2606">
        <f>'Part VI-Pro Forma'!C103</f>
        <v>314217.6428760906</v>
      </c>
      <c r="D810" s="2606">
        <f>'Part VI-Pro Forma'!D103</f>
        <v>304837.97195111623</v>
      </c>
      <c r="E810" s="2606">
        <f>'Part VI-Pro Forma'!E103</f>
        <v>294816.18269706133</v>
      </c>
      <c r="F810" s="2606">
        <f>'Part VI-Pro Forma'!F103</f>
        <v>284108.31664759608</v>
      </c>
      <c r="G810" s="2606">
        <f>'Part VI-Pro Forma'!G103</f>
        <v>272667.4060051277</v>
      </c>
      <c r="H810" s="2606">
        <f>'Part VI-Pro Forma'!H103</f>
        <v>260443.2676264559</v>
      </c>
      <c r="I810" s="2606">
        <f>'Part VI-Pro Forma'!I103</f>
        <v>247382.28290499162</v>
      </c>
      <c r="J810" s="2606">
        <f>'Part VI-Pro Forma'!J103</f>
        <v>233427.16258404034</v>
      </c>
      <c r="K810" s="2606">
        <f>'Part VI-Pro Forma'!K103</f>
        <v>218516.69546955204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538191.75386878836</v>
      </c>
      <c r="C816" s="2606">
        <f>'Part VI-Pro Forma'!C109</f>
        <v>548955.588946164</v>
      </c>
      <c r="D816" s="2606">
        <f>'Part VI-Pro Forma'!D109</f>
        <v>559934.70072508743</v>
      </c>
      <c r="E816" s="2606">
        <f>'Part VI-Pro Forma'!E109</f>
        <v>571133.39473958919</v>
      </c>
      <c r="F816" s="2606">
        <f>'Part VI-Pro Forma'!F109</f>
        <v>582556.06263438088</v>
      </c>
      <c r="G816" s="2606"/>
      <c r="H816" s="2606"/>
      <c r="I816" s="2606"/>
      <c r="J816" s="2606"/>
      <c r="K816" s="2606"/>
    </row>
    <row r="817" spans="1:11">
      <c r="A817" s="357" t="s">
        <v>952</v>
      </c>
      <c r="B817" s="2606">
        <f>'Part VI-Pro Forma'!B110</f>
        <v>10763.835077375768</v>
      </c>
      <c r="C817" s="2606">
        <f>'Part VI-Pro Forma'!C110</f>
        <v>10979.111778923281</v>
      </c>
      <c r="D817" s="2606">
        <f>'Part VI-Pro Forma'!D110</f>
        <v>11198.694014501749</v>
      </c>
      <c r="E817" s="2606">
        <f>'Part VI-Pro Forma'!E110</f>
        <v>11422.667894791784</v>
      </c>
      <c r="F817" s="2606">
        <f>'Part VI-Pro Forma'!F110</f>
        <v>11651.121252687621</v>
      </c>
      <c r="G817" s="2606"/>
      <c r="H817" s="2606"/>
      <c r="I817" s="2606"/>
      <c r="J817" s="2606"/>
      <c r="K817" s="2606"/>
    </row>
    <row r="818" spans="1:11">
      <c r="A818" s="357" t="s">
        <v>2216</v>
      </c>
      <c r="B818" s="2606">
        <f>'Part VI-Pro Forma'!B111</f>
        <v>-38426.891226231492</v>
      </c>
      <c r="C818" s="2606">
        <f>'Part VI-Pro Forma'!C111</f>
        <v>-39195.429050756116</v>
      </c>
      <c r="D818" s="2606">
        <f>'Part VI-Pro Forma'!D111</f>
        <v>-39979.337631771246</v>
      </c>
      <c r="E818" s="2606">
        <f>'Part VI-Pro Forma'!E111</f>
        <v>-40778.924384406673</v>
      </c>
      <c r="F818" s="2606">
        <f>'Part VI-Pro Forma'!F111</f>
        <v>-41594.502872094803</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510528.69771993265</v>
      </c>
      <c r="C821" s="2606">
        <f>'Part VI-Pro Forma'!C114</f>
        <v>520739.27167433122</v>
      </c>
      <c r="D821" s="2606">
        <f>'Part VI-Pro Forma'!D114</f>
        <v>531154.05710781796</v>
      </c>
      <c r="E821" s="2606">
        <f>'Part VI-Pro Forma'!E114</f>
        <v>541777.13824997435</v>
      </c>
      <c r="F821" s="2606">
        <f>'Part VI-Pro Forma'!F114</f>
        <v>552612.68101497367</v>
      </c>
      <c r="G821" s="2606"/>
      <c r="H821" s="2606"/>
      <c r="I821" s="2606"/>
      <c r="J821" s="2606"/>
      <c r="K821" s="2606"/>
    </row>
    <row r="822" spans="1:11">
      <c r="A822" s="357" t="s">
        <v>572</v>
      </c>
      <c r="B822" s="2606">
        <f>'Part VI-Pro Forma'!B115</f>
        <v>-470091.41805325978</v>
      </c>
      <c r="C822" s="2606">
        <f>'Part VI-Pro Forma'!C115</f>
        <v>-484194.16059485765</v>
      </c>
      <c r="D822" s="2606">
        <f>'Part VI-Pro Forma'!D115</f>
        <v>-498719.9854127033</v>
      </c>
      <c r="E822" s="2606">
        <f>'Part VI-Pro Forma'!E115</f>
        <v>-513681.58497508441</v>
      </c>
      <c r="F822" s="2606">
        <f>'Part VI-Pro Forma'!F115</f>
        <v>-529092.03252433683</v>
      </c>
      <c r="G822" s="2606"/>
      <c r="H822" s="2606"/>
      <c r="I822" s="2606"/>
      <c r="J822" s="2606"/>
      <c r="K822" s="2606"/>
    </row>
    <row r="823" spans="1:11">
      <c r="A823" s="357" t="s">
        <v>1050</v>
      </c>
      <c r="B823" s="2606">
        <f>'Part VI-Pro Forma'!B116</f>
        <v>-35737</v>
      </c>
      <c r="C823" s="2606">
        <f>'Part VI-Pro Forma'!C116</f>
        <v>-36452</v>
      </c>
      <c r="D823" s="2606">
        <f>'Part VI-Pro Forma'!D116</f>
        <v>-37181</v>
      </c>
      <c r="E823" s="2606">
        <f>'Part VI-Pro Forma'!E116</f>
        <v>-37924</v>
      </c>
      <c r="F823" s="2606">
        <f>'Part VI-Pro Forma'!F116</f>
        <v>-38683</v>
      </c>
      <c r="G823" s="2606"/>
      <c r="H823" s="2606"/>
      <c r="I823" s="2606"/>
      <c r="J823" s="2606"/>
      <c r="K823" s="2606"/>
    </row>
    <row r="824" spans="1:11">
      <c r="A824" s="357" t="s">
        <v>1128</v>
      </c>
      <c r="B824" s="2606">
        <f>'Part VI-Pro Forma'!B117</f>
        <v>-26699.887183086252</v>
      </c>
      <c r="C824" s="2606">
        <f>'Part VI-Pro Forma'!C117</f>
        <v>-27500.883798578841</v>
      </c>
      <c r="D824" s="2606">
        <f>'Part VI-Pro Forma'!D117</f>
        <v>-28325.910312536202</v>
      </c>
      <c r="E824" s="2606">
        <f>'Part VI-Pro Forma'!E117</f>
        <v>-29175.68762191229</v>
      </c>
      <c r="F824" s="2606">
        <f>'Part VI-Pro Forma'!F117</f>
        <v>-30050.958250569653</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-21999.607516413384</v>
      </c>
      <c r="C826" s="2606">
        <f>SUM(C821:C825)</f>
        <v>-27407.772719105269</v>
      </c>
      <c r="D826" s="2606">
        <f>SUM(D821:D825)</f>
        <v>-33072.838617421541</v>
      </c>
      <c r="E826" s="2606">
        <f>SUM(E821:E825)</f>
        <v>-39004.134347022351</v>
      </c>
      <c r="F826" s="2606">
        <f>SUM(F821:F825)</f>
        <v>-45213.30975993281</v>
      </c>
      <c r="G826" s="2606"/>
      <c r="H826" s="2606"/>
      <c r="I826" s="2606"/>
      <c r="J826" s="2606"/>
      <c r="K826" s="2606"/>
    </row>
    <row r="827" spans="1:11">
      <c r="A827" s="357" t="str">
        <f>$A797</f>
        <v>Mortgage A</v>
      </c>
      <c r="B827" s="2606">
        <f>'Part VI-Pro Forma'!B120</f>
        <v>-27481.410572564375</v>
      </c>
      <c r="C827" s="2606">
        <f>'Part VI-Pro Forma'!C120</f>
        <v>-27481.410572564375</v>
      </c>
      <c r="D827" s="2606">
        <f>'Part VI-Pro Forma'!D120</f>
        <v>-27481.410572564375</v>
      </c>
      <c r="E827" s="2606">
        <f>'Part VI-Pro Forma'!E120</f>
        <v>-27481.410572564375</v>
      </c>
      <c r="F827" s="2606">
        <f>'Part VI-Pro Forma'!F120</f>
        <v>-27481.410572564375</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-3500</v>
      </c>
      <c r="C832" s="2606">
        <f>'Part VI-Pro Forma'!C125</f>
        <v>-3500</v>
      </c>
      <c r="D832" s="2606">
        <f>'Part VI-Pro Forma'!D125</f>
        <v>-3500</v>
      </c>
      <c r="E832" s="2606">
        <f>'Part VI-Pro Forma'!E125</f>
        <v>-3500</v>
      </c>
      <c r="F832" s="2606">
        <f>'Part VI-Pro Forma'!F125</f>
        <v>-3500</v>
      </c>
      <c r="G832" s="2606"/>
      <c r="H832" s="2606"/>
      <c r="I832" s="2606"/>
      <c r="J832" s="2606"/>
      <c r="K832" s="2606"/>
    </row>
    <row r="833" spans="1:11">
      <c r="A833" s="357" t="s">
        <v>1096</v>
      </c>
      <c r="B833" s="2606">
        <f>SUM(B826:B832)</f>
        <v>-52981.018088977755</v>
      </c>
      <c r="C833" s="2606">
        <f>SUM(C826:C832)</f>
        <v>-58389.183291669644</v>
      </c>
      <c r="D833" s="2606">
        <f>SUM(D826:D832)</f>
        <v>-64054.249189985916</v>
      </c>
      <c r="E833" s="2606">
        <f>SUM(E826:E832)</f>
        <v>-69985.544919586726</v>
      </c>
      <c r="F833" s="2606">
        <f>SUM(F826:F832)</f>
        <v>-76194.720332497178</v>
      </c>
      <c r="G833" s="2606"/>
      <c r="H833" s="2606"/>
      <c r="I833" s="2606"/>
      <c r="J833" s="2606"/>
      <c r="K833" s="2606"/>
    </row>
    <row r="834" spans="1:11">
      <c r="A834" s="357" t="str">
        <f>$A804</f>
        <v>DCR Mortgage A</v>
      </c>
      <c r="B834" s="2607">
        <f>IF(B827=0,"",-B826/B827)</f>
        <v>-0.80052686736452816</v>
      </c>
      <c r="C834" s="2607">
        <f>IF(C827=0,"",-C826/C827)</f>
        <v>-0.99732044855322599</v>
      </c>
      <c r="D834" s="2607">
        <f>IF(D827=0,"",-D826/D827)</f>
        <v>-1.2034621923824855</v>
      </c>
      <c r="E834" s="2607">
        <f>IF(E827=0,"",-E826/E827)</f>
        <v>-1.4192915696242137</v>
      </c>
      <c r="F834" s="2607">
        <f>IF(F827=0,"",-F826/F827)</f>
        <v>-1.6452324978205737</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-0.80052686736452816</v>
      </c>
      <c r="C838" s="2607">
        <f>IF(AND(C827=0,C828=0,C829=0,C830=0),"",-C826/(C827+C828+C829+C830))</f>
        <v>-0.99732044855322599</v>
      </c>
      <c r="D838" s="2607">
        <f>IF(AND(D827=0,D828=0,D829=0,D830=0),"",-D826/(D827+D828+D829+D830))</f>
        <v>-1.2034621923824855</v>
      </c>
      <c r="E838" s="2607">
        <f>IF(AND(E827=0,E828=0,E829=0,E830=0),"",-E826/(E827+E828+E829+E830))</f>
        <v>-1.4192915696242137</v>
      </c>
      <c r="F838" s="2607">
        <f>IF(AND(F827=0,F828=0,F829=0,F830=0),"",-F826/(F827+F828+F829+F830))</f>
        <v>-1.6452324978205737</v>
      </c>
      <c r="G838" s="2606"/>
      <c r="H838" s="2606"/>
      <c r="I838" s="2606"/>
      <c r="J838" s="2606"/>
      <c r="K838" s="2606"/>
    </row>
    <row r="839" spans="1:11">
      <c r="A839" s="357" t="s">
        <v>718</v>
      </c>
      <c r="B839" s="2608">
        <f>IF(OR(B823="Choose mgt fee",B823="Choose One!"),"",(B816+B817+B818+B819+B820) / -(B822+B823+B824))</f>
        <v>0.95868837900240889</v>
      </c>
      <c r="C839" s="2608">
        <f>IF(OR(C823="Choose mgt fee",C823="Choose One!"),"",(C816+C817+C818+C819+C820) / -(C822+C823+C824))</f>
        <v>0.94999923287111043</v>
      </c>
      <c r="D839" s="2608">
        <f>IF(OR(D823="Choose mgt fee",D823="Choose One!"),"",(D816+D817+D818+D819+D820) / -(D822+D823+D824))</f>
        <v>0.9413837963627899</v>
      </c>
      <c r="E839" s="2608">
        <f>IF(OR(E823="Choose mgt fee",E823="Choose One!"),"",(E816+E817+E818+E819+E820) / -(E822+E823+E824))</f>
        <v>0.93284195584920782</v>
      </c>
      <c r="F839" s="2608">
        <f>IF(OR(F823="Choose mgt fee",F823="Choose One!"),"",(F816+F817+F818+F819+F820) / -(F822+F823+F824))</f>
        <v>0.92437045150658814</v>
      </c>
      <c r="G839" s="2606"/>
      <c r="H839" s="2606"/>
      <c r="I839" s="2606"/>
      <c r="J839" s="2606"/>
      <c r="K839" s="2606"/>
    </row>
    <row r="840" spans="1:11">
      <c r="A840" s="357" t="s">
        <v>2405</v>
      </c>
      <c r="B840" s="2606">
        <f>'Part VI-Pro Forma'!B133</f>
        <v>205142.64233190028</v>
      </c>
      <c r="C840" s="2606">
        <f>'Part VI-Pro Forma'!C133</f>
        <v>190853.02139635093</v>
      </c>
      <c r="D840" s="2606">
        <f>'Part VI-Pro Forma'!D133</f>
        <v>175585.15425240874</v>
      </c>
      <c r="E840" s="2606">
        <f>'Part VI-Pro Forma'!E133</f>
        <v>159272.07161876449</v>
      </c>
      <c r="F840" s="2606">
        <f>'Part VI-Pro Forma'!F133</f>
        <v>141842.21959665723</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  For purposes of the proforma, we have assumed the all in interest rate would be 6.64% and the amortization would be 360 months at Year 11.</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West Pine Residences,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This application demonstrates that the proposed project is feasible and viable under DCA's rules and requirements that are outlined in the 2023 Qualified Allocation Plan ("QAP").  The application conforms to the 2023 QAP.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71.25">
      <c r="A892" s="2860" t="str">
        <f>'Part VII-Threshold Criteria'!A41</f>
        <v>Applicant selects Family tenancy.</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The development team agrees to at least 2 basic ongoing services from 2 of the categories listed in the QAP (social and recreational programs and on-site enrichment classes), temporary staffing during lease up for activities set-up and sign-up and part-time activity managers.
The Applicant will track resident participation in any on-site services. If participation declines continuously over a six-month window, on-site staff will request resident feedback on the services provided.</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and Company, LLC</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0.95899999999999996</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5.0999999999999997E-2</v>
      </c>
      <c r="J906" s="2860"/>
      <c r="K906" s="2860"/>
      <c r="L906" s="2874"/>
      <c r="M906" s="2875" t="s">
        <v>6779</v>
      </c>
      <c r="N906" s="2860">
        <f>'Part VII-Threshold Criteria'!N55</f>
        <v>0</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As the low capture rate in the market study indicates, there is a strong demand for affordable housing in Sylvester.  See the market study in Tab 5.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6780</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299.25">
      <c r="A919" s="2860" t="str">
        <f>'Part VII-Threshold Criteria'!A68</f>
        <v>There is no identity of interest between the buyer and the seller of the land.  This project is not required to submit an appraisal.</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14.25">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On Page 7 of the report, the Environmental professional states:  "No recognized environmental conditions (RECs), as that term is defined in the ASTM standard, were identified for the subject property. Based on the information obtained during this Phase I ESA, Terracon is of the opinion that the subject property is suitable for development of multi-family residential housing."</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7">
      <c r="A943" s="2871"/>
      <c r="B943" s="2106" t="s">
        <v>636</v>
      </c>
      <c r="C943" s="2106"/>
      <c r="D943" s="2106"/>
      <c r="E943" s="2106"/>
      <c r="F943" s="2106"/>
      <c r="G943" s="2860" t="str">
        <f>'Part VII-Threshold Criteria'!G92</f>
        <v>West Pine Residences,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 xml:space="preserve">There is no identity of interest between the buyer and the seller of the land. 
The contract expires after November 20, 2023 on December 31, 2023.  However, the contract allows for two 60 day extensions.
See supporting documentation in Tab 8.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Project will have direct access to W Pine Street.  The conceptual site plan shows an entrance into the project from W Pine Street.  See Tab 9.
The site provides a specified entrance that is legally accessible by paved roads.  The appropriate drawings, surveys, photographs and other documentation reflecting such paved roads are included in the electronic application binder in Tab 9.</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 xml:space="preserve">The proposed project will be located on W Pine Street,Sylvester, Worth County, Georgia within the city limits of Sylvester. The subject site is zoned R-PUD which allows the construction of the proposed development. Please see the zoning letter from the Community Development Director of the City of Sylvester included in Tab 10.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City of Sylvester</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199.5">
      <c r="A968" s="2860" t="str">
        <f>'Part VII-Threshold Criteria'!A117</f>
        <v>The City of Sylvester will be provide power to the project.  All required documentation is in tab 11.</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Sylvester</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Sylvester</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242.25">
      <c r="A977" s="2860" t="str">
        <f>'Part VII-Threshold Criteria'!A126</f>
        <v xml:space="preserve">Water and sewer services will be provided by City of Sylvester.  Please see tab 12 for suppporting documentation.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 xml:space="preserve">Covered pavilion with picnic/BBQ facilities </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Equipped playground</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71">
      <c r="A1006" s="2860" t="str">
        <f>'Part VII-Threshold Criteria'!A155</f>
        <v>The proposed project is new construction.  This section is not applicable.</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 xml:space="preserve">Conceptual Site Development Plan is in Tab 15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applicant certifies that all dwelling units will comply with the requirements of the 2023 QAP, XVI Building Sustainability and the 2023 Architectural Manual.  The applicant will obtain sustainable building certification from Earth Craft House Multifamily (ECMF).  See ECMF scoring sheet in Tab 16.</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256.5">
      <c r="A1039" s="2860" t="str">
        <f>'Part VII-Threshold Criteria'!A188</f>
        <v xml:space="preserve">The applicant will employ a qualified accessibility consultant and will follow all required accessibility standards.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299.25">
      <c r="A1054" s="2860" t="str">
        <f>'Part VII-Threshold Criteria'!A203</f>
        <v xml:space="preserve">The project will include the designs mentioned above.  Please see architectural documentation included in tab 18 of the application.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370.5">
      <c r="A1067" s="2860" t="str">
        <f>'Part VII-Threshold Criteria'!A216</f>
        <v>Max Elbe is the certifying GP/developer and received a "Qualified" determination.  The Project Team has not changed since pre-application.  Please see tab 19.</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28.25">
      <c r="A1079" s="2860" t="str">
        <f>'Part VII-Threshold Criteria'!A228</f>
        <v>Applicant is not applying under the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71.25">
      <c r="A1095" s="2860" t="str">
        <f>'Part VII-Threshold Criteria'!A244</f>
        <v>This section is 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71.25">
      <c r="A1107" s="2860" t="str">
        <f>'Part VII-Threshold Criteria'!A256</f>
        <v>This section is not applicable.</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71.25">
      <c r="A1119" s="2860" t="str">
        <f>'Part VII-Threshold Criteria'!A268</f>
        <v>This section is not applicable.</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13.5">
      <c r="A1137" s="2860" t="str">
        <f>'Part VII-Threshold Criteria'!A286</f>
        <v>If DCA funds the proposed development, the Applicant agrees to submit an AFFH marketing plan that meets the requirements above.</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applicant believes the project meets all of DCA's rules and guidelines.  The applicant also believes the costs of the project are reasonable.  Therefore, the proposed project should be an optimal utilization of DCA's resources.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West Pine Residences,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72</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The applicant has submitted 17 desirable activities which should qualifies the project for 22.50 desirable points.  However, the applicant is limited to only 20 points.  
The applicant is unaware of any undesirable/inefficient site activities/characteristics within .25 miles of the project site.  See Tab 26.
The project site does not fall within a food desert per USDA's website.  The nearest grocery store is located 1.60 miles from the project site.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2</v>
      </c>
      <c r="F1165" s="2913" t="str">
        <f>'Part VIII Scoring Criteria'!F14</f>
        <v>Southwest Georgia Regional Commission provides on-call curb-to-curb transportation services for Worth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Worth County.
2.The costs of transit services are below:
a.$3.00 within the county for trips 0-10 miles
b.$5.00 within the county for trips over 10 miles
c.For trips outside the county, $5.00 plus 50 cents per mile for trips over 10 miles.
3.If an apartment complex is located in Worth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info@swgrc.org. 
Additional information can also be found at the following website:
https://www.swgrc.org/southwest-georgia-regional-transit
See Tab 27 for further details.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3</v>
      </c>
      <c r="F1166" s="2913" t="str">
        <f>'Part VIII Scoring Criteria'!F15</f>
        <v>The QAP allows applicants to claim points for schools under one of the three options available, A, B or C.
Option A – No schools in Worth County score under Option A.
Option B – Only three of the Worth County schools received a Beating the Odds designation (“BTO”) in 2018 or later and are eligible to claim points under Option B.
     -Worth County Primary School (serves grades PK-2) – received 2018 ans 2019 BTO
     -Worth County Elementary School (serves grades 3-5) – received 2018 BTO
     -Worth County Middle School (serves grades 6-8) – received 2018 BTO
Option C – Per the Option C Scoring Data Sheet published by DCA, the following schools meet the criteria to claim points under Option C:
1. Worth County Primary School (Grades Pre-K through 2nd)
2. Worth County Elementary School (Grades 3 through 5)
3. Worth County Middle School (Grades 6 through 8)
4. Worth County High School (Grades 9 through 12)
Worth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West Pine Residences will serve a family tenancy and all four schools collectively serve grades K-12 and meet the criteria for points under at least one of the three options available in this section.  The applicant qualifies for 3 points in this section.  All supporting documentation is included in Tab 28.</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5">
      <c r="A1167" s="2913" t="s">
        <v>280</v>
      </c>
      <c r="B1167" s="2403" t="s">
        <v>3394</v>
      </c>
      <c r="C1167" s="2406"/>
      <c r="D1167" s="2406"/>
      <c r="E1167" s="2916">
        <f>'Part VIII Scoring Criteria'!E16</f>
        <v>6</v>
      </c>
      <c r="F1167" s="2913" t="str">
        <f>'Part VIII Scoring Criteria'!F16</f>
        <v>West Pine Residences is located within the boundaries of the City of Sylvester Community Revitalization Plan (“CRP”).  The CRP meets the requirements below that are required by the QAP to be considered a CRP:
-	The CRP clearly delineates a Targeted Area that includes the proposed site within the City of Sylvester.
-	The CRP discusses housing as a goal of the CRP.
-	The CRP includes an assessment of the Targeted Area’s existing infrastructure
-	The CRP designates implementation measures.
-	The CRP was adopted by the City of Sylvester on January 22, 2019 which is less than ten (10) years from the Application Submission date.
West Pine Residences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Sylvester in an amount equal to at least $10,000 per unit.  This amount, which is approximately $26,450/unit) would be eligible for at least two (2) points under subsection B. Third-Party Capital Investment.
The Applicant obtained a letter from the City Manager of the City of Sylvester detailing the amount and location of Third Party Capital Improvements and confirmed that these improvements will serve the residents of the proposed development.  All improvements listed were paid in full by unrelated third parties.  The improvements, all of which are within 1.0 miles of the proposed site, include:
1-$1,103,222 improvements on Pine Street.  This was completed in June 2019
2-$532,000 in utility extension and expansion.  The scope of this work will be complete between 2021 thru 2024.
3-$74,550 in street in paving.  Completed in 2022.
These investments exceed $20,000 per unit qualifying the Applicant for 2 points for Third Party Capital Investment.  
In total, the applicant qualifies for 6 points in this section. All supporting documentation is included in Tab 29.</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09.5">
      <c r="A1168" s="2913" t="s">
        <v>401</v>
      </c>
      <c r="B1168" s="2403" t="s">
        <v>3395</v>
      </c>
      <c r="C1168" s="2406"/>
      <c r="D1168" s="2406"/>
      <c r="E1168" s="2914" t="str">
        <f>'Part VIII Scoring Criteria'!E17</f>
        <v>n/a</v>
      </c>
      <c r="F1168" s="2913" t="str">
        <f>'Part VIII Scoring Criteria'!F17</f>
        <v>Since the applicant qualifies for at least three community revitalization points above, the applicant is eligible for Community Transformation points.
The applicant and City of Sylvester Downtown Development Authority has agreed to serve as the Community Based Developer (See MOU in Tab 30) and has the following partnerships (See Tab 30).  1. Sylvester-Worth County Family Connections  2. WorkSource Southwest Georgia  3. Sylvester-Worth County Chamber of Commerce  4. Worth County Economic Development Authority  5. Worth County School System  6. Southwest Georgia Regional Commission.  The combined number of years as community partners exceeds 16 years.
The proposed development is not within and does not overlap a Defined Neighborhood already containing a Community Transformation initiative funded in 2020, 2021 and 2022.  A map of the Defined Neighborhood is included in Tab 30.
The Project Team member, The City of Sylvester DDA, associated with the submitted partnership letters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30 for supporting documentation.
The Community Quarterback Board has:
1.  At least one third of its members are residents of the Defined Neighborhood who have self certified their income is at less than 80% of AMI: a)Deandre Green b) Steven Danford
2.  At least one third include 3 of 5 following representatives: a) Education - Tracie Turner, Worth County School District b) Employment - None at this time
c) Health services-Mandy Gordon, Phoebe Worth Medical Center d) Transportation services-None at this time e) Local Government-Glenice Stephens Community Development Director, City of Sylvester
See Tab 30 for letters and signatures from the people above.
The board builds on existing community structure and local partnerships by having a member of the City of Sylvester GICH team on the board. - Glenice Stephens, Primary Contact for GICH team
In the last three years, the Community Based Developer has participated in or led philanthropic activities benefitting the community in which the proposed development will be located.  See Tab 30 for supporting documentation.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This section is not applicable.</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4040</v>
      </c>
      <c r="B1170" s="2403" t="s">
        <v>3261</v>
      </c>
      <c r="C1170" s="2406"/>
      <c r="D1170" s="2406"/>
      <c r="E1170" s="2914">
        <f>'Part VIII Scoring Criteria'!E19</f>
        <v>0</v>
      </c>
      <c r="F1170" s="2913" t="str">
        <f>'Part VIII Scoring Criteria'!F19</f>
        <v>This section is 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4052</v>
      </c>
      <c r="B1171" s="2403" t="s">
        <v>4041</v>
      </c>
      <c r="C1171" s="2406"/>
      <c r="D1171" s="2406"/>
      <c r="E1171" s="2914">
        <f>'Part VIII Scoring Criteria'!E20</f>
        <v>0</v>
      </c>
      <c r="F1171" s="2913" t="str">
        <f>'Part VIII Scoring Criteria'!F20</f>
        <v>This section is 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6242</v>
      </c>
      <c r="B1172" s="2403" t="s">
        <v>4042</v>
      </c>
      <c r="C1172" s="2406"/>
      <c r="D1172" s="2406"/>
      <c r="E1172" s="2914">
        <f>'Part VIII Scoring Criteria'!E21</f>
        <v>4</v>
      </c>
      <c r="F1172" s="2913" t="str">
        <f>'Part VIII Scoring Criteria'!F21</f>
        <v>The proposed site is within the current city limits of Sylvester, GA.  The City of Sylvester has only had one (1) project with an award of 9% Credits within the last 15 DCA Housing Credit Competitive Rounds and it was issued prior to January 1, 2017.   The name of that project is Paradise Estates Apartments (2008-061).</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71.25">
      <c r="A1173" s="2913" t="s">
        <v>6636</v>
      </c>
      <c r="B1173" s="2403" t="s">
        <v>6548</v>
      </c>
      <c r="C1173" s="2406"/>
      <c r="D1173" s="2406"/>
      <c r="E1173" s="2914">
        <f>'Part VIII Scoring Criteria'!E22</f>
        <v>0</v>
      </c>
      <c r="F1173" s="2913" t="str">
        <f>'Part VIII Scoring Criteria'!F22</f>
        <v>This section is not applicable.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5">
      <c r="A1176" s="2913" t="s">
        <v>3372</v>
      </c>
      <c r="B1176" s="2403" t="s">
        <v>3396</v>
      </c>
      <c r="C1176" s="2406"/>
      <c r="D1176" s="2406"/>
      <c r="E1176" s="2914">
        <f>'Part VIII Scoring Criteria'!E25</f>
        <v>2</v>
      </c>
      <c r="F1176" s="2913" t="str">
        <f>'Part VIII Scoring Criteria'!F25</f>
        <v>The City of Sylvester is a Certified GICH Alumni Commnunity.  The Applicant obtained a letter from the City of Sylvester GICH team.  This letter was the sole letter issued in 2023 by the City of Sylvester team and the letter identifies the boundaries of the GICH community, identifies the proposed development as being within the boundaries of the City of Sylvester GICH community and the letter is executed by the primary contact for the City of Sylvester GICH, Glenice Stephens.  The Applicant also obtained a letter from the local government agreeing to the issuance of the GICH letter.  Copies of all letters are in tab 41.</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1</v>
      </c>
      <c r="F1177" s="2913" t="str">
        <f>'Part VIII Scoring Criteria'!F26</f>
        <v>The applicant has secured a loan of Capital Manget Funds from a certified CDFI bank, Central Bank of Kansas City.  The loan meets all of the pre-requisites above and the size of the loan enables the applicant to score 1 point in this section.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71.25">
      <c r="A1178" s="2913" t="s">
        <v>3376</v>
      </c>
      <c r="B1178" s="2403" t="s">
        <v>3398</v>
      </c>
      <c r="C1178" s="2406"/>
      <c r="D1178" s="2406"/>
      <c r="E1178" s="2914">
        <f>'Part VIII Scoring Criteria'!E27</f>
        <v>0</v>
      </c>
      <c r="F1178" s="2913" t="str">
        <f>'Part VIII Scoring Criteria'!F27</f>
        <v>This section is 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This section is not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71.25">
      <c r="A1181" s="2913" t="s">
        <v>3802</v>
      </c>
      <c r="B1181" s="2403" t="s">
        <v>6552</v>
      </c>
      <c r="C1181" s="2406"/>
      <c r="D1181" s="2406"/>
      <c r="E1181" s="2914">
        <f>'Part VIII Scoring Criteria'!E30</f>
        <v>0</v>
      </c>
      <c r="F1181" s="2913" t="str">
        <f>'Part VIII Scoring Criteria'!F30</f>
        <v>This section is 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This section is 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6946</v>
      </c>
      <c r="B1185" s="3917"/>
      <c r="C1185" s="3917"/>
      <c r="D1185" s="3917"/>
      <c r="E1185" s="2397"/>
      <c r="F1185" s="2463" t="s">
        <v>6880</v>
      </c>
      <c r="G1185" s="2463"/>
      <c r="H1185" s="2463"/>
      <c r="I1185" s="2463"/>
      <c r="J1185" s="2198" t="s">
        <v>6139</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3178</v>
      </c>
      <c r="G1201" s="2463" t="s">
        <v>7015</v>
      </c>
      <c r="H1201" s="2463"/>
      <c r="I1201" s="2463"/>
      <c r="J1201" s="2312" t="s">
        <v>3178</v>
      </c>
      <c r="K1201" s="2923" t="s">
        <v>7016</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6876</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57.954545454545453</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6879</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The applicant has submitted 17 desirable activities which should qualifies the project for 22.50 desirable points.  However, the applicant is limited to only 20 points.  
The applicant is unaware of any undesirable/inefficient site activities/characteristics within .25 miles of the project site.  See Tab 26.
The project site does not fall within a food desert per USDA's website.  The nearest grocery store is located 1.60 miles from the project site.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31.518618</v>
      </c>
      <c r="G1240" s="2199"/>
      <c r="H1240" s="2199"/>
      <c r="I1240" s="2199"/>
      <c r="J1240" s="2199">
        <f>'Part VIII Scoring Criteria'!J89</f>
        <v>-83.848099000000005</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31.518618</v>
      </c>
      <c r="G1241" s="2199"/>
      <c r="H1241" s="2199"/>
      <c r="I1241" s="2199"/>
      <c r="J1241" s="2199">
        <f>'Part VIII Scoring Criteria'!J90</f>
        <v>-83.848099000000005</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6885</v>
      </c>
      <c r="C1242" s="2397"/>
      <c r="D1242" s="2397"/>
      <c r="E1242" s="2397"/>
      <c r="F1242" s="2342" t="s">
        <v>6849</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Southwest Georgia Regional Commission</v>
      </c>
      <c r="C1243" s="2199"/>
      <c r="D1243" s="2199"/>
      <c r="E1243" s="2199"/>
      <c r="F1243" s="2947" t="str">
        <f>'Part VIII Scoring Criteria'!F92</f>
        <v>229-446-7433</v>
      </c>
      <c r="G1243" s="2199" t="str">
        <f>'Part VIII Scoring Criteria'!G92</f>
        <v>info@swgrc.org</v>
      </c>
      <c r="H1243" s="2199"/>
      <c r="I1243" s="2199"/>
      <c r="J1243" s="2199" t="str">
        <f>'Part VIII Scoring Criteria'!J92</f>
        <v>https://www.swgrc.org/southwest-georgia-regional-transit</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Southwest Georgia Regional Commission provides on-call curb-to-curb transportation services for Worth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Worth County.
2.The costs of transit services are below:
a.$3.00 within the county for trips 0-10 miles
b.$5.00 within the county for trips over 10 miles
c.For trips outside the county, $5.00 plus 50 cents per mile for trips over 10 miles.
3.If an apartment complex is located in Worth County, SWGRC Regional Transit would be able to provide transit services to and from that apartment complex if the residents schedule transport.
4.To obtain service, a potential rider should call SWGRC Regional Transit at least 24 hours before their requested pick up by calling 229-724-7433.
Additional information can be obtained by contacting SWGRC at 229-522-3552 or info@swgrc.org. 
Additional information can also be found at the following website:
https://www.swgrc.org/southwest-georgia-regional-transit
See Tab 27 for further details.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Worth County Primary School</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71.25">
      <c r="A1262" s="2397"/>
      <c r="B1262" s="2438" t="str">
        <f>'Part VIII Scoring Criteria'!B111</f>
        <v>Worth County Elementary School</v>
      </c>
      <c r="C1262" s="2438"/>
      <c r="D1262" s="2438"/>
      <c r="E1262" s="2438"/>
      <c r="F1262" s="2438" t="str">
        <f>'Part VIII Scoring Criteria'!F111</f>
        <v>No</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57">
      <c r="A1263" s="2397"/>
      <c r="B1263" s="2438" t="str">
        <f>'Part VIII Scoring Criteria'!B112</f>
        <v>Worth County Middle School</v>
      </c>
      <c r="C1263" s="2438"/>
      <c r="D1263" s="2438"/>
      <c r="E1263" s="2438"/>
      <c r="F1263" s="2438" t="str">
        <f>'Part VIII Scoring Criteria'!F112</f>
        <v>No</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57">
      <c r="A1264" s="2397"/>
      <c r="B1264" s="2438" t="str">
        <f>'Part VIII Scoring Criteria'!B113</f>
        <v>Worth County High School</v>
      </c>
      <c r="C1264" s="2438"/>
      <c r="D1264" s="2438"/>
      <c r="E1264" s="2438"/>
      <c r="F1264" s="2438" t="str">
        <f>'Part VIII Scoring Criteria'!F113</f>
        <v>No</v>
      </c>
      <c r="G1264" s="2438"/>
      <c r="H1264" s="2438" t="str">
        <f>'Part VIII Scoring Criteria'!H113</f>
        <v>No</v>
      </c>
      <c r="I1264" s="2438"/>
      <c r="J1264" s="2438" t="str">
        <f>'Part VIII Scoring Criteria'!J113</f>
        <v>Yes</v>
      </c>
      <c r="K1264" s="2438"/>
      <c r="L1264" s="2199" t="str">
        <f>'Part VIII Scoring Criteria'!L113</f>
        <v>Yes</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The QAP allows applicants to claim points for schools under one of the three options available, A, B or C.
Option A – No schools in Worth County score under Option A.
Option B – Only three of the Worth County schools received a Beating the Odds designation (“BTO”) in 2018 or later and are eligible to claim points under Option B.
     -Worth County Primary School (serves grades PK-2) – received 2018 ans 2019 BTO
     -Worth County Elementary School (serves grades 3-5) – received 2018 BTO
     -Worth County Middle School (serves grades 6-8) – received 2018 BTO
Option C – Per the Option C Scoring Data Sheet published by DCA, the following schools meet the criteria to claim points under Option C:
1. Worth County Primary School (Grades Pre-K through 2nd)
2. Worth County Elementary School (Grades 3 through 5)
3. Worth County Middle School (Grades 6 through 8)
4. Worth County High School (Grades 9 through 12)
Worth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West Pine Residences will serve a family tenancy and all four schools collectively serve grades K-12 and meet the criteria for points under at least one of the three options available in this section.  The applicant qualifies for 3 points in this section.  All supporting documentation is included in Tab 28.</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6</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4</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Page 19 &amp; 41</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Pages 5,8,15-18</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Pages 5, 13-15</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Page 26-29</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Page 42. Last page of pdf</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5">
      <c r="A1288" s="2406" t="str">
        <f>'Part VIII Scoring Criteria'!A137</f>
        <v>West Pine Residences is located within the boundaries of the City of Sylvester Community Revitalization Plan (“CRP”).  The CRP meets the requirements below that are required by the QAP to be considered a CRP:
-	The CRP clearly delineates a Targeted Area that includes the proposed site within the City of Sylvester.
-	The CRP discusses housing as a goal of the CRP.
-	The CRP includes an assessment of the Targeted Area’s existing infrastructure
-	The CRP designates implementation measures.
-	The CRP was adopted by the City of Sylvester on January 22, 2019 which is less than ten (10) years from the Application Submission date.
West Pine Residences is eligible for two (2) points because the proposed development site is located within the Targeted Area of a qualifying CRP.
The Applicant is also eligible for the additional two (2) points noted below: 
-One (1) point - The Local Government solicited public input and engagement during CRP creation prior to the day of adoption.
-One (1) point - The Local Government demonstrated financial commitment to advancing the CRP through allocation of funds from the City of Sylvester in an amount equal to at least $10,000 per unit.  This amount, which is approximately $26,450/unit) would be eligible for at least two (2) points under subsection B. Third-Party Capital Investment.
The Applicant obtained a letter from the City Manager of the City of Sylvester detailing the amount and location of Third Party Capital Improvements and confirmed that these improvements will serve the residents of the proposed development.  All improvements listed were paid in full by unrelated third parties.  The improvements, all of which are within 1.0 miles of the proposed site, include:
1-$1,103,222 improvements on Pine Street.  This was completed in June 2019
2-$532,000 in utility extension and expansion.  The scope of this work will be complete between 2021 thru 2024.
3-$74,550 in street in paving.  Completed in 2022.
These investments exceed $20,000 per unit qualifying the Applicant for 2 points for Third Party Capital Investment.  
In total, the applicant qualifies for 6 points in this section. All supporting documentation is included in Tab 29.</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Yes</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Yes</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09.5">
      <c r="A1298" s="2406" t="str">
        <f>'Part VIII Scoring Criteria'!A147</f>
        <v>Since the applicant qualifies for at least three community revitalization points above, the applicant is eligible for Community Transformation points.
The applicant and City of Sylvester Downtown Development Authority has agreed to serve as the Community Based Developer (See MOU in Tab 30) and has the following partnerships (See Tab 30).  1. Sylvester-Worth County Family Connections  2. WorkSource Southwest Georgia  3. Sylvester-Worth County Chamber of Commerce  4. Worth County Economic Development Authority  5. Worth County School System  6. Southwest Georgia Regional Commission.  The combined number of years as community partners exceeds 16 years.
The proposed development is not within and does not overlap a Defined Neighborhood already containing a Community Transformation initiative funded in 2020, 2021 and 2022.  A map of the Defined Neighborhood is included in Tab 30.
The Project Team member, The City of Sylvester DDA, associated with the submitted partnership letters is not associated with partnerships that received Community Transformation points in applications for 2020, 2021 and 2022.
The applicant commits to creating a Community Improvement Fund in the amount of $50,000.  The funds will be directed to a designated financial account that is capable of documenting specific deposits and expenditures.  The funds must be spent out over a period of 5 years after the development is placed in service.  See tab 30 for supporting documentation.
The Community Quarterback Board has:
1.  At least one third of its members are residents of the Defined Neighborhood who have self certified their income is at less than 80% of AMI: a)Deandre Green b) Steven Danford
2.  At least one third include 3 of 5 following representatives: a) Education - Tracie Turner, Worth County School District b) Employment - None at this time
c) Health services-Mandy Gordon, Phoebe Worth Medical Center d) Transportation services-None at this time e) Local Government-Glenice Stephens Community Development Director, City of Sylvester
See Tab 30 for letters and signatures from the people above.
The board builds on existing community structure and local partnerships by having a member of the City of Sylvester GICH team on the board. - Glenice Stephens, Primary Contact for GICH team
In the last three years, the Community Based Developer has participated in or led philanthropic activities benefitting the community in which the proposed development will be located.  See Tab 30 for supporting documentation.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f>'Part VIII Scoring Criteria'!J154</f>
        <v>0</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6893</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71.25">
      <c r="A1316" s="2406" t="str">
        <f>'Part VIII Scoring Criteria'!A165</f>
        <v>This section is not applicable.</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This section is 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6857</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This section is 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4</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4</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The proposed site is within the current city limits of Sylvester, GA.  The City of Sylvester has only had one (1) project with an award of 9% Credits within the last 15 DCA Housing Credit Competitive Rounds and it was issued prior to January 1, 2017.   The name of that project is Paradise Estates Apartments (2008-061).</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6858</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71.25">
      <c r="A1379" s="2406" t="str">
        <f>'Part VIII Scoring Criteria'!A228</f>
        <v>This section is not applicable.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To Be Determined</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To Be Determined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6861</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6900</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6900</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City of Sylvester GICH</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5">
      <c r="A1426" s="2406" t="str">
        <f>'Part VIII Scoring Criteria'!A275</f>
        <v>The City of Sylvester is a Certified GICH Alumni Commnunity.  The Applicant obtained a letter from the City of Sylvester GICH team.  This letter was the sole letter issued in 2023 by the City of Sylvester team and the letter identifies the boundaries of the GICH community, identifies the proposed development as being within the boundaries of the City of Sylvester GICH community and the letter is executed by the primary contact for the City of Sylvester GICH, Glenice Stephens.  The Applicant also obtained a letter from the local government agreeing to the issuance of the GICH letter.  Copies of all letters are in tab 41.</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6865</v>
      </c>
      <c r="C1445" s="2199" t="s">
        <v>6902</v>
      </c>
      <c r="D1445" s="2397"/>
      <c r="E1445" s="2397"/>
      <c r="F1445" s="2397"/>
      <c r="G1445" s="2397"/>
      <c r="H1445" s="2397"/>
      <c r="I1445" s="2468"/>
      <c r="J1445" s="2994">
        <f>'Part VIII Scoring Criteria'!J294</f>
        <v>500000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500000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44</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11363.636363636364</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6866</v>
      </c>
      <c r="J1450" s="2996">
        <f>'Part VIII Scoring Criteria'!J299</f>
        <v>1</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1</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6868</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6869</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applicant has secured a loan of Capital Manget Funds from a certified CDFI bank, Central Bank of Kansas City.  The loan meets all of the pre-requisites above and the size of the loan enables the applicant to score 1 point in this section.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71.25">
      <c r="A1469" s="2406" t="str">
        <f>'Part VIII Scoring Criteria'!A318</f>
        <v>This section is 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3</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71.25">
      <c r="A1498" s="2406" t="str">
        <f>'Part VIII Scoring Criteria'!A347</f>
        <v>This section is not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71.25">
      <c r="A1511" s="2406" t="str">
        <f>'Part VIII Scoring Criteria'!A360</f>
        <v>This section is 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71.25">
      <c r="A1520" s="2406" t="str">
        <f>'Part VIII Scoring Criteria'!A369</f>
        <v>This section is 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6222</v>
      </c>
      <c r="H1527" s="2199"/>
      <c r="I1527" s="2199"/>
      <c r="J1527" s="2199" t="s">
        <v>575</v>
      </c>
      <c r="L1527" s="2342" t="s">
        <v>6933</v>
      </c>
      <c r="M1527" s="3917" t="s">
        <v>6943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71.25">
      <c r="A1540" s="2406" t="str">
        <f>'Part VIII Scoring Criteria'!A389</f>
        <v>This section is 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71.25">
      <c r="A1551" s="2406" t="str">
        <f>'Part VIII Scoring Criteria'!A400</f>
        <v>This section is not applicable.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72</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6545</v>
      </c>
      <c r="BD1570" s="3006" t="s">
        <v>6546</v>
      </c>
      <c r="BE1570" s="3006" t="s">
        <v>6547</v>
      </c>
      <c r="BF1570" s="3006">
        <v>0.09</v>
      </c>
      <c r="BG1570" s="3006">
        <v>0.04</v>
      </c>
      <c r="BH1570" s="3006">
        <v>0.04</v>
      </c>
      <c r="BI1570" s="3006" t="s">
        <v>6929</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6</v>
      </c>
      <c r="AZ1577" s="3007">
        <f>O1273</f>
        <v>6</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6947</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4</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72</v>
      </c>
      <c r="AZ1600" s="2542">
        <f>'Part VIII Scoring Criteria'!AZ449</f>
        <v>63</v>
      </c>
      <c r="BA1600" s="2542">
        <f>'Part VIII Scoring Criteria'!BA449</f>
        <v>30</v>
      </c>
      <c r="BB1600" s="2542">
        <f>'Part VIII Scoring Criteria'!BB449</f>
        <v>30</v>
      </c>
      <c r="BC1600" s="2542">
        <f>'Part VIII Scoring Criteria'!BC449</f>
        <v>34</v>
      </c>
      <c r="BD1600" s="2542">
        <f>'Part VIII Scoring Criteria'!BD449</f>
        <v>34</v>
      </c>
      <c r="BE1600" s="2542">
        <f>'Part VIII Scoring Criteria'!BE449</f>
        <v>34</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6" zoomScaleNormal="100" workbookViewId="0">
      <selection activeCell="Q35" sqref="Q3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West Pine Residences, Sylvester, Worth County</v>
      </c>
      <c r="B2" s="3103"/>
      <c r="C2" s="3103"/>
      <c r="D2" s="3103"/>
      <c r="E2" s="3103"/>
      <c r="F2" s="3103"/>
      <c r="G2" s="3103"/>
      <c r="H2" s="3103"/>
      <c r="I2" s="3103"/>
      <c r="J2" s="3103"/>
      <c r="K2" s="3103"/>
      <c r="L2" s="3103"/>
      <c r="M2" s="3103"/>
      <c r="N2" s="3103"/>
      <c r="O2" s="3103"/>
      <c r="P2" s="3103"/>
      <c r="Q2" s="3104"/>
      <c r="S2" s="3195" t="str">
        <f>$A$2</f>
        <v>PART TWO - SOURCES OF FUNDS (Proposed)  -  2023-0 West Pine Residences, Sylvester, Worth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2649</v>
      </c>
      <c r="M15" s="1621" t="s">
        <v>6082</v>
      </c>
      <c r="Y15" s="1742"/>
      <c r="Z15" s="1706">
        <v>15</v>
      </c>
      <c r="AZ15" s="1676"/>
    </row>
    <row r="16" spans="1:52" s="223" customFormat="1" ht="16.5" customHeight="1">
      <c r="A16" s="375"/>
      <c r="B16" s="818" t="s">
        <v>2652</v>
      </c>
      <c r="C16" s="224" t="s">
        <v>1673</v>
      </c>
      <c r="E16" s="818" t="s">
        <v>2652</v>
      </c>
      <c r="F16" s="224" t="s">
        <v>6499</v>
      </c>
      <c r="I16" s="3181"/>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7056</v>
      </c>
      <c r="I22" s="3228"/>
      <c r="J22" s="3228"/>
      <c r="K22" s="3229"/>
      <c r="L22" s="3230">
        <v>9806796</v>
      </c>
      <c r="M22" s="3231"/>
      <c r="N22" s="3232">
        <v>0.08</v>
      </c>
      <c r="O22" s="3233"/>
      <c r="P22" s="3234">
        <v>24</v>
      </c>
      <c r="Q22" s="3235"/>
      <c r="S22" s="3197"/>
      <c r="T22" s="3198"/>
      <c r="Y22" s="1742" t="s">
        <v>6340</v>
      </c>
      <c r="Z22" s="1706">
        <v>22</v>
      </c>
      <c r="AZ22" s="1676" t="s">
        <v>6341</v>
      </c>
    </row>
    <row r="23" spans="1:52" s="223" customFormat="1" ht="27.75" customHeight="1">
      <c r="A23" s="144"/>
      <c r="B23" s="3236" t="s">
        <v>1487</v>
      </c>
      <c r="C23" s="3237"/>
      <c r="D23" s="3237"/>
      <c r="E23" s="144"/>
      <c r="F23" s="144"/>
      <c r="G23" s="144"/>
      <c r="H23" s="3238" t="s">
        <v>7057</v>
      </c>
      <c r="I23" s="3239"/>
      <c r="J23" s="3239"/>
      <c r="K23" s="3240"/>
      <c r="L23" s="3241">
        <v>500000</v>
      </c>
      <c r="M23" s="3242"/>
      <c r="N23" s="3250">
        <v>3.6600000000000001E-2</v>
      </c>
      <c r="O23" s="3251"/>
      <c r="P23" s="3252">
        <v>24</v>
      </c>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7043</v>
      </c>
      <c r="I28" s="3239"/>
      <c r="J28" s="3239"/>
      <c r="K28" s="3240"/>
      <c r="L28" s="3241">
        <v>1878312.2000000002</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7043</v>
      </c>
      <c r="I29" s="3239"/>
      <c r="J29" s="3239"/>
      <c r="K29" s="3240"/>
      <c r="L29" s="3241">
        <v>784471.60000000009</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12969579.799999999</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12969579.405665185</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0.39433481357991695</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28.5" customHeight="1">
      <c r="A40" s="144"/>
      <c r="B40" s="3225" t="s">
        <v>2402</v>
      </c>
      <c r="C40" s="3226"/>
      <c r="D40" s="3226"/>
      <c r="E40" s="3227" t="s">
        <v>7057</v>
      </c>
      <c r="F40" s="3228"/>
      <c r="G40" s="3228"/>
      <c r="H40" s="3229"/>
      <c r="I40" s="3287">
        <v>500000</v>
      </c>
      <c r="J40" s="3288"/>
      <c r="K40" s="654">
        <v>3.6600000000000001E-2</v>
      </c>
      <c r="L40" s="822">
        <v>15</v>
      </c>
      <c r="M40" s="822">
        <v>30</v>
      </c>
      <c r="N40" s="3272" t="s">
        <v>7045</v>
      </c>
      <c r="O40" s="3272"/>
      <c r="P40" s="3286">
        <f>IF(OR(I40&lt;=0,I40=""),"",IF(N40="Cash Flow",0,IF(N40="Amortizing",-PMT(K40/12,M40*12,I40,0,0)*12,"")))</f>
        <v>27481.410572564375</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6.1578512396694212E-3</v>
      </c>
      <c r="E45" s="3186" t="s">
        <v>7044</v>
      </c>
      <c r="F45" s="3187"/>
      <c r="G45" s="3187"/>
      <c r="H45" s="3188"/>
      <c r="I45" s="3273">
        <v>7451</v>
      </c>
      <c r="J45" s="3274"/>
      <c r="K45" s="653">
        <v>0</v>
      </c>
      <c r="L45" s="652">
        <v>15</v>
      </c>
      <c r="M45" s="652" t="s">
        <v>906</v>
      </c>
      <c r="N45" s="3043" t="s">
        <v>1096</v>
      </c>
      <c r="O45" s="3044"/>
      <c r="P45" s="3275">
        <f>IF(OR(I45&lt;=0,I45=""),"",IF(N45="Cash Flow",0,IF(N45="Amortizing",-PMT(K45/12,M45*12,I45,0,0)*12,"")))</f>
        <v>0</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249139.52923944738</v>
      </c>
      <c r="G47" s="3285"/>
      <c r="H47" s="485" t="s">
        <v>3404</v>
      </c>
      <c r="I47" s="3284">
        <f>IF(OR($I$45="",$I$45=0,'Part VI-Pro Forma'!$R$35=0,'Part VI-Pro Forma'!$R$35=""),"",VLOOKUP($L$45,'Part VI-Pro Forma'!$Q$21:$S$35,2))</f>
        <v>7451</v>
      </c>
      <c r="J47" s="3285"/>
      <c r="K47" s="485" t="s">
        <v>3406</v>
      </c>
      <c r="L47" s="3282">
        <f>IF(OR($F$47 = 0,$F$47 =""),"",$I$47/$F$47)</f>
        <v>2.9906936176470264E-2</v>
      </c>
      <c r="M47" s="3283"/>
      <c r="N47" s="3307" t="s">
        <v>3847</v>
      </c>
      <c r="O47" s="3308"/>
      <c r="P47" s="3305">
        <f>IF(OR($I$62=0,$I$60&gt;$I$61),0,ABS($I$60-$I$61))</f>
        <v>0.1158476248383522</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7043</v>
      </c>
      <c r="F51" s="3239"/>
      <c r="G51" s="3239"/>
      <c r="H51" s="3240"/>
      <c r="I51" s="3269">
        <v>9391561</v>
      </c>
      <c r="J51" s="3269"/>
      <c r="L51" s="3280">
        <f>'Part III-A-Uses of Funds'!$J$191*10*'Part III-A-Uses of Funds'!$N$182</f>
        <v>9392500</v>
      </c>
      <c r="M51" s="3280"/>
      <c r="N51" s="3281">
        <f>I51-L51</f>
        <v>-939</v>
      </c>
      <c r="O51" s="3281"/>
      <c r="P51" s="324">
        <f>I51/I61</f>
        <v>0.67949565935084888</v>
      </c>
      <c r="Q51" s="144"/>
      <c r="S51" s="3199"/>
      <c r="T51" s="3200"/>
      <c r="Y51" s="1742" t="s">
        <v>6359</v>
      </c>
      <c r="Z51" s="1706">
        <v>51</v>
      </c>
      <c r="AZ51" s="1676" t="s">
        <v>6360</v>
      </c>
    </row>
    <row r="52" spans="1:52" s="223" customFormat="1" ht="15" customHeight="1">
      <c r="A52" s="144"/>
      <c r="B52" s="3236" t="s">
        <v>747</v>
      </c>
      <c r="C52" s="3237"/>
      <c r="D52" s="3277"/>
      <c r="E52" s="3238" t="s">
        <v>7043</v>
      </c>
      <c r="F52" s="3239"/>
      <c r="G52" s="3239"/>
      <c r="H52" s="3240"/>
      <c r="I52" s="3269">
        <v>3922358</v>
      </c>
      <c r="J52" s="3269"/>
      <c r="L52" s="3280">
        <f>'Part III-A-Uses of Funds'!$J$191*10*'Part III-A-Uses of Funds'!$Q$182</f>
        <v>3922750</v>
      </c>
      <c r="M52" s="3280"/>
      <c r="N52" s="3281">
        <f>I52-L52</f>
        <v>-392</v>
      </c>
      <c r="O52" s="3281"/>
      <c r="P52" s="324">
        <f>I52/I61</f>
        <v>0.28378937595359033</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0.96328503530443921</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13821370</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13821370.115847625</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-0.1158476248383522</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7082</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cellWatches>
    <cellWatch r="L34"/>
  </cellWatche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9" zoomScaleNormal="100" workbookViewId="0">
      <selection activeCell="S122" sqref="S122:T12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West Pine Residences, Sylvester, Worth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West Pine Residences, Sylvester, Worth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12000</v>
      </c>
      <c r="H9" s="3231"/>
      <c r="J9" s="3230">
        <v>12000</v>
      </c>
      <c r="K9" s="3231"/>
      <c r="L9" s="828"/>
      <c r="M9" s="3230"/>
      <c r="N9" s="3231"/>
      <c r="P9" s="3230"/>
      <c r="Q9" s="3231"/>
      <c r="S9" s="3230"/>
      <c r="T9" s="3231"/>
      <c r="V9" s="849"/>
      <c r="W9" s="3342"/>
      <c r="X9" s="3343"/>
      <c r="AZ9" s="1968"/>
      <c r="BA9" s="1706">
        <v>9</v>
      </c>
    </row>
    <row r="10" spans="1:53" s="144" customFormat="1" ht="11.25" customHeight="1">
      <c r="B10" s="144" t="s">
        <v>431</v>
      </c>
      <c r="G10" s="3241">
        <v>9000</v>
      </c>
      <c r="H10" s="3242"/>
      <c r="J10" s="3241">
        <v>9000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10000</v>
      </c>
      <c r="H11" s="3242"/>
      <c r="J11" s="3241">
        <v>10000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15000</v>
      </c>
      <c r="H12" s="3242"/>
      <c r="J12" s="3241">
        <v>15000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6100</v>
      </c>
      <c r="H13" s="3242"/>
      <c r="J13" s="3241">
        <v>6100</v>
      </c>
      <c r="K13" s="3242"/>
      <c r="L13" s="828"/>
      <c r="M13" s="3241"/>
      <c r="N13" s="3242"/>
      <c r="P13" s="3241"/>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6721</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6721</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52100</v>
      </c>
      <c r="H18" s="3339"/>
      <c r="J18" s="3338">
        <f>SUM(J9:J17)</f>
        <v>52100</v>
      </c>
      <c r="K18" s="3339"/>
      <c r="L18" s="828"/>
      <c r="M18" s="3338">
        <f>SUM(M9:M17)</f>
        <v>0</v>
      </c>
      <c r="N18" s="3339"/>
      <c r="P18" s="3338">
        <f>SUM(P9:P17)</f>
        <v>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49800</v>
      </c>
      <c r="G20" s="3230">
        <v>249000</v>
      </c>
      <c r="H20" s="3231"/>
      <c r="J20" s="283"/>
      <c r="K20" s="280"/>
      <c r="L20" s="283"/>
      <c r="M20" s="283"/>
      <c r="N20" s="280"/>
      <c r="P20" s="283"/>
      <c r="Q20" s="280"/>
      <c r="S20" s="3230">
        <v>249000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249000</v>
      </c>
      <c r="H24" s="3339"/>
      <c r="J24" s="283"/>
      <c r="K24" s="280"/>
      <c r="L24" s="283"/>
      <c r="M24" s="3338">
        <f>SUM(M22:M23)</f>
        <v>0</v>
      </c>
      <c r="N24" s="3339"/>
      <c r="P24" s="283"/>
      <c r="Q24" s="280"/>
      <c r="S24" s="3338">
        <f>SUM(S20:S23)</f>
        <v>249000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340000</v>
      </c>
      <c r="G26" s="3230">
        <v>1700000</v>
      </c>
      <c r="H26" s="3231"/>
      <c r="J26" s="3230">
        <v>1615000</v>
      </c>
      <c r="K26" s="3231"/>
      <c r="L26" s="828"/>
      <c r="M26" s="3379"/>
      <c r="N26" s="3380"/>
      <c r="P26" s="3379"/>
      <c r="Q26" s="3380"/>
      <c r="S26" s="3230">
        <v>85000</v>
      </c>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1700000</v>
      </c>
      <c r="H28" s="3339"/>
      <c r="J28" s="3338">
        <f>SUM(J26:J27)</f>
        <v>1615000</v>
      </c>
      <c r="K28" s="3339"/>
      <c r="L28" s="283"/>
      <c r="M28" s="3338">
        <f>M26</f>
        <v>0</v>
      </c>
      <c r="N28" s="3339"/>
      <c r="P28" s="3338">
        <f>P26</f>
        <v>0</v>
      </c>
      <c r="Q28" s="3339"/>
      <c r="S28" s="3338">
        <f>SUM(S26:S27)</f>
        <v>85000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6926372</v>
      </c>
      <c r="H30" s="3231"/>
      <c r="J30" s="3230">
        <v>6926372</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6088</v>
      </c>
      <c r="G32" s="3241">
        <v>347000</v>
      </c>
      <c r="H32" s="3242"/>
      <c r="J32" s="3241">
        <v>347000</v>
      </c>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7273372</v>
      </c>
      <c r="H36" s="3339"/>
      <c r="J36" s="3338">
        <f>SUM(J30:J35)</f>
        <v>7273372</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0.13999987964390642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538402</v>
      </c>
      <c r="F38" s="1949">
        <f>IF(($G$28+$G$36)=0,0,G38/($G$28+$G$36))</f>
        <v>5.9999964338935244E-2</v>
      </c>
      <c r="G38" s="3230">
        <v>538402</v>
      </c>
      <c r="H38" s="3231"/>
      <c r="I38" s="145"/>
      <c r="J38" s="3230">
        <v>538402</v>
      </c>
      <c r="K38" s="3231"/>
      <c r="L38" s="828"/>
      <c r="M38" s="3230"/>
      <c r="N38" s="3231"/>
      <c r="P38" s="3230"/>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179467</v>
      </c>
      <c r="F39" s="1949">
        <f>IF(($G$28+$G$36)=0,0,G39/($G$28+$G$36))</f>
        <v>1.9999950966035955E-2</v>
      </c>
      <c r="G39" s="3241">
        <v>179467</v>
      </c>
      <c r="H39" s="3242"/>
      <c r="I39" s="145"/>
      <c r="J39" s="3241">
        <v>179467</v>
      </c>
      <c r="K39" s="3242"/>
      <c r="L39" s="828"/>
      <c r="M39" s="3241"/>
      <c r="N39" s="3242"/>
      <c r="P39" s="3241"/>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538402</v>
      </c>
      <c r="F40" s="1952">
        <f>IF(($G$28+$G$36)=0,0,G40/($G$28+$G$36))</f>
        <v>5.9999964338935244E-2</v>
      </c>
      <c r="G40" s="3340">
        <v>538402</v>
      </c>
      <c r="H40" s="3341"/>
      <c r="I40" s="145"/>
      <c r="J40" s="3340">
        <v>538402</v>
      </c>
      <c r="K40" s="3341"/>
      <c r="L40" s="828"/>
      <c r="M40" s="3340"/>
      <c r="N40" s="3341"/>
      <c r="P40" s="3340"/>
      <c r="Q40" s="3341"/>
      <c r="S40" s="3340"/>
      <c r="T40" s="3341"/>
      <c r="V40" s="849"/>
      <c r="W40" s="3349"/>
      <c r="X40" s="3350"/>
      <c r="AZ40" s="1968"/>
      <c r="BA40" s="1706">
        <v>40</v>
      </c>
    </row>
    <row r="41" spans="1:53" s="144" customFormat="1" ht="12.6" customHeight="1" thickTop="1">
      <c r="B41" s="147" t="s">
        <v>3225</v>
      </c>
      <c r="D41" s="761">
        <f>SUM(D38:D40)</f>
        <v>0.14000000000000001</v>
      </c>
      <c r="E41" s="762">
        <f>SUM(E38:E40)</f>
        <v>1256271</v>
      </c>
      <c r="F41" s="1946" t="s">
        <v>184</v>
      </c>
      <c r="G41" s="3338">
        <f>SUM(G38:G40)</f>
        <v>1256271</v>
      </c>
      <c r="H41" s="3339"/>
      <c r="J41" s="3338">
        <f>SUM(J38:J40)</f>
        <v>1256271</v>
      </c>
      <c r="K41" s="3339"/>
      <c r="L41" s="283"/>
      <c r="M41" s="3338">
        <f>SUM(M38:M40)</f>
        <v>0</v>
      </c>
      <c r="N41" s="3339"/>
      <c r="P41" s="3338">
        <f>SUM(P38:P40)</f>
        <v>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10229643</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232491.88636363635</v>
      </c>
      <c r="G48" s="1668" t="s">
        <v>2492</v>
      </c>
      <c r="H48" s="1669"/>
      <c r="I48" s="1669"/>
      <c r="J48" s="3398">
        <f>C49/'Part V-Revenues &amp; Expenses'!$P$67</f>
        <v>232491.88636363635</v>
      </c>
      <c r="K48" s="3398"/>
      <c r="L48" s="1669"/>
      <c r="M48" s="3399" t="s">
        <v>6475</v>
      </c>
      <c r="N48" s="3399"/>
      <c r="O48" s="1669"/>
      <c r="P48" s="3398">
        <f>C49/'Part V-Revenues &amp; Expenses'!$K$175</f>
        <v>222.21929443454837</v>
      </c>
      <c r="Q48" s="3398"/>
      <c r="R48" s="1669"/>
      <c r="S48" s="3400" t="s">
        <v>6477</v>
      </c>
      <c r="T48" s="3401"/>
      <c r="V48" s="852"/>
      <c r="W48" s="3392"/>
      <c r="X48" s="3393"/>
      <c r="AZ48" s="1968"/>
      <c r="BA48" s="1706">
        <v>48</v>
      </c>
    </row>
    <row r="49" spans="1:53" s="144" customFormat="1" ht="12.6" customHeight="1">
      <c r="B49" s="1714" t="s">
        <v>6488</v>
      </c>
      <c r="C49" s="1713">
        <f>G28+G36+G41+G46</f>
        <v>10229643</v>
      </c>
      <c r="E49" s="3397"/>
      <c r="F49" s="1670">
        <f>C49/'Part V-Revenues &amp; Expenses'!$P$166</f>
        <v>233.37233654241001</v>
      </c>
      <c r="G49" s="1671" t="s">
        <v>2493</v>
      </c>
      <c r="H49" s="1672"/>
      <c r="I49" s="1672"/>
      <c r="J49" s="3386">
        <f>C49/'Part V-Revenues &amp; Expenses'!$P$168</f>
        <v>233.37233654241001</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511482.15</v>
      </c>
      <c r="F55" s="1756">
        <f>G55/C49</f>
        <v>0.05</v>
      </c>
      <c r="G55" s="3388">
        <v>511482.15</v>
      </c>
      <c r="H55" s="3389"/>
      <c r="I55" s="144"/>
      <c r="J55" s="3388">
        <v>511482.15</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244116.48068181818</v>
      </c>
      <c r="G57" s="1668" t="s">
        <v>2492</v>
      </c>
      <c r="H57" s="1669"/>
      <c r="I57" s="1669"/>
      <c r="J57" s="3398">
        <f>B58/'Part V-Revenues &amp; Expenses'!$P$67</f>
        <v>244116.48068181818</v>
      </c>
      <c r="K57" s="3398"/>
      <c r="L57" s="1669"/>
      <c r="M57" s="3399" t="s">
        <v>6475</v>
      </c>
      <c r="N57" s="3399"/>
      <c r="O57" s="1669"/>
      <c r="P57" s="3398">
        <f>B58/'Part V-Revenues &amp; Expenses'!$K$175</f>
        <v>233.33025915627582</v>
      </c>
      <c r="Q57" s="3398"/>
      <c r="R57" s="1669"/>
      <c r="S57" s="3400" t="s">
        <v>6477</v>
      </c>
      <c r="T57" s="3401"/>
      <c r="V57" s="852"/>
      <c r="W57" s="3392"/>
      <c r="X57" s="3393"/>
      <c r="AZ57" s="1968"/>
      <c r="BA57" s="1706">
        <v>54</v>
      </c>
    </row>
    <row r="58" spans="1:53" s="144" customFormat="1" ht="12.6" customHeight="1">
      <c r="B58" s="3479">
        <f>C49+G55</f>
        <v>10741125.15</v>
      </c>
      <c r="C58" s="3480"/>
      <c r="E58" s="3482"/>
      <c r="F58" s="1670">
        <f>B58/'Part V-Revenues &amp; Expenses'!$P$166</f>
        <v>245.04095336953051</v>
      </c>
      <c r="G58" s="1671" t="s">
        <v>2493</v>
      </c>
      <c r="H58" s="1672"/>
      <c r="I58" s="1672"/>
      <c r="J58" s="3386">
        <f>B58/'Part V-Revenues &amp; Expenses'!$P$168</f>
        <v>245.04095336953051</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104000</v>
      </c>
      <c r="H63" s="3242"/>
      <c r="J63" s="3241">
        <v>52000</v>
      </c>
      <c r="K63" s="3242"/>
      <c r="L63" s="828"/>
      <c r="M63" s="3241"/>
      <c r="N63" s="3242"/>
      <c r="P63" s="3241"/>
      <c r="Q63" s="3242"/>
      <c r="S63" s="3241">
        <v>52000</v>
      </c>
      <c r="T63" s="3242"/>
      <c r="V63" s="853"/>
      <c r="W63" s="3342"/>
      <c r="X63" s="3343"/>
      <c r="AZ63" s="1968"/>
      <c r="BA63" s="1706">
        <v>63</v>
      </c>
    </row>
    <row r="64" spans="1:53" s="144" customFormat="1" ht="12" customHeight="1">
      <c r="B64" s="144" t="s">
        <v>2167</v>
      </c>
      <c r="G64" s="3241">
        <v>427349.25566518534</v>
      </c>
      <c r="H64" s="3242"/>
      <c r="J64" s="3241">
        <v>427349.25566518534</v>
      </c>
      <c r="K64" s="3242"/>
      <c r="L64" s="828"/>
      <c r="M64" s="3241"/>
      <c r="N64" s="3242"/>
      <c r="P64" s="3241"/>
      <c r="Q64" s="3242"/>
      <c r="S64" s="3241"/>
      <c r="T64" s="3242"/>
      <c r="V64" s="853"/>
      <c r="W64" s="3342"/>
      <c r="X64" s="3343"/>
      <c r="AZ64" s="1968"/>
      <c r="BA64" s="1706">
        <v>64</v>
      </c>
    </row>
    <row r="65" spans="1:53" s="144" customFormat="1" ht="12" customHeight="1">
      <c r="B65" s="144" t="s">
        <v>2168</v>
      </c>
      <c r="G65" s="3241">
        <v>60000</v>
      </c>
      <c r="H65" s="3242"/>
      <c r="J65" s="3241">
        <v>60000</v>
      </c>
      <c r="K65" s="3242"/>
      <c r="L65" s="828"/>
      <c r="M65" s="3241"/>
      <c r="N65" s="3242"/>
      <c r="P65" s="3241"/>
      <c r="Q65" s="3242"/>
      <c r="S65" s="3241"/>
      <c r="T65" s="3242"/>
      <c r="V65" s="853"/>
      <c r="W65" s="3342"/>
      <c r="X65" s="3343"/>
      <c r="AZ65" s="1968" t="s">
        <v>6375</v>
      </c>
      <c r="BA65" s="1706">
        <v>65</v>
      </c>
    </row>
    <row r="66" spans="1:53" s="144" customFormat="1" ht="12" customHeight="1">
      <c r="B66" s="144" t="s">
        <v>2450</v>
      </c>
      <c r="G66" s="3241">
        <v>15000</v>
      </c>
      <c r="H66" s="3242"/>
      <c r="J66" s="3241">
        <v>15000</v>
      </c>
      <c r="K66" s="3242"/>
      <c r="L66" s="828"/>
      <c r="M66" s="3241"/>
      <c r="N66" s="3242"/>
      <c r="P66" s="3241"/>
      <c r="Q66" s="3242"/>
      <c r="S66" s="3241"/>
      <c r="T66" s="3242"/>
      <c r="V66" s="853"/>
      <c r="W66" s="3342"/>
      <c r="X66" s="3343"/>
      <c r="AZ66" s="1968" t="s">
        <v>6376</v>
      </c>
      <c r="BA66" s="1706">
        <v>66</v>
      </c>
    </row>
    <row r="67" spans="1:53" s="144" customFormat="1" ht="12" customHeight="1">
      <c r="B67" s="144" t="s">
        <v>676</v>
      </c>
      <c r="G67" s="3241">
        <v>6500</v>
      </c>
      <c r="H67" s="3242"/>
      <c r="J67" s="3241">
        <v>6500</v>
      </c>
      <c r="K67" s="3242"/>
      <c r="L67" s="828"/>
      <c r="M67" s="3241"/>
      <c r="N67" s="3242"/>
      <c r="P67" s="3241"/>
      <c r="Q67" s="3242"/>
      <c r="S67" s="3241"/>
      <c r="T67" s="3242"/>
      <c r="V67" s="853"/>
      <c r="W67" s="3342"/>
      <c r="X67" s="3343"/>
      <c r="AZ67" s="1968" t="s">
        <v>6377</v>
      </c>
      <c r="BA67" s="1706">
        <v>67</v>
      </c>
    </row>
    <row r="68" spans="1:53" s="144" customFormat="1" ht="12" customHeight="1">
      <c r="B68" s="144" t="s">
        <v>2169</v>
      </c>
      <c r="G68" s="3241">
        <v>13000</v>
      </c>
      <c r="H68" s="3242"/>
      <c r="J68" s="3241">
        <v>13000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21000</v>
      </c>
      <c r="H69" s="3242"/>
      <c r="J69" s="3241">
        <v>21000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6721</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646849.2556651854</v>
      </c>
      <c r="H73" s="3339"/>
      <c r="J73" s="3338">
        <f>SUM(J61:J72)</f>
        <v>594849.2556651854</v>
      </c>
      <c r="K73" s="3339"/>
      <c r="L73" s="283"/>
      <c r="M73" s="3338">
        <f>SUM(M61:M72)</f>
        <v>0</v>
      </c>
      <c r="N73" s="3339"/>
      <c r="P73" s="3338">
        <f>SUM(P61:P72)</f>
        <v>0</v>
      </c>
      <c r="Q73" s="3339"/>
      <c r="S73" s="3338">
        <f>SUM(S61:S72)</f>
        <v>52000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147400</v>
      </c>
      <c r="H75" s="3231"/>
      <c r="J75" s="3230">
        <v>147400</v>
      </c>
      <c r="K75" s="3231"/>
      <c r="L75" s="828"/>
      <c r="M75" s="3230"/>
      <c r="N75" s="3231"/>
      <c r="P75" s="3230"/>
      <c r="Q75" s="3231"/>
      <c r="S75" s="3230"/>
      <c r="T75" s="3231"/>
      <c r="V75" s="849"/>
      <c r="W75" s="3342"/>
      <c r="X75" s="3343"/>
      <c r="AZ75" s="1968"/>
      <c r="BA75" s="1706">
        <v>75</v>
      </c>
    </row>
    <row r="76" spans="1:53" s="144" customFormat="1" ht="12" customHeight="1">
      <c r="B76" s="144" t="s">
        <v>451</v>
      </c>
      <c r="G76" s="3241">
        <v>22000</v>
      </c>
      <c r="H76" s="3242"/>
      <c r="J76" s="3241">
        <v>22000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30000</v>
      </c>
      <c r="H77" s="3242"/>
      <c r="J77" s="3241">
        <v>30000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6000</v>
      </c>
      <c r="H78" s="3242"/>
      <c r="J78" s="3241">
        <v>6000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15000</v>
      </c>
      <c r="H79" s="3242"/>
      <c r="J79" s="3241">
        <v>15000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v>30000</v>
      </c>
      <c r="H80" s="3242"/>
      <c r="J80" s="3241">
        <v>30000</v>
      </c>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90000</v>
      </c>
      <c r="H81" s="3242"/>
      <c r="J81" s="3241">
        <v>90000</v>
      </c>
      <c r="K81" s="3242"/>
      <c r="L81" s="828"/>
      <c r="M81" s="3241"/>
      <c r="N81" s="3242"/>
      <c r="P81" s="3241"/>
      <c r="Q81" s="3242"/>
      <c r="S81" s="3241"/>
      <c r="T81" s="3242"/>
      <c r="V81" s="849"/>
      <c r="W81" s="3342"/>
      <c r="X81" s="3343"/>
      <c r="AZ81" s="744"/>
      <c r="BA81" s="1706">
        <v>81</v>
      </c>
    </row>
    <row r="82" spans="1:53" s="144" customFormat="1" ht="12" customHeight="1">
      <c r="B82" s="144" t="s">
        <v>453</v>
      </c>
      <c r="G82" s="3241">
        <v>27000</v>
      </c>
      <c r="H82" s="3242"/>
      <c r="J82" s="3241">
        <v>15000</v>
      </c>
      <c r="K82" s="3242"/>
      <c r="L82" s="828"/>
      <c r="M82" s="3241"/>
      <c r="N82" s="3242"/>
      <c r="P82" s="3241"/>
      <c r="Q82" s="3242"/>
      <c r="S82" s="3241">
        <v>12000</v>
      </c>
      <c r="T82" s="3242"/>
      <c r="V82" s="849"/>
      <c r="W82" s="3342"/>
      <c r="X82" s="3343"/>
      <c r="AZ82" s="1968"/>
      <c r="BA82" s="1706">
        <v>82</v>
      </c>
    </row>
    <row r="83" spans="1:53" s="144" customFormat="1" ht="12" customHeight="1">
      <c r="B83" s="144" t="s">
        <v>1899</v>
      </c>
      <c r="G83" s="3241">
        <v>29000</v>
      </c>
      <c r="H83" s="3242"/>
      <c r="J83" s="3241">
        <v>29000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5000</v>
      </c>
      <c r="H84" s="3242"/>
      <c r="J84" s="3241">
        <v>5000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6721</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401400</v>
      </c>
      <c r="H86" s="3339"/>
      <c r="J86" s="3338">
        <f>SUM(J75:J85)</f>
        <v>389400</v>
      </c>
      <c r="K86" s="3339"/>
      <c r="L86" s="283"/>
      <c r="M86" s="3338">
        <f>SUM(M75:M85)</f>
        <v>0</v>
      </c>
      <c r="N86" s="3339"/>
      <c r="P86" s="3338">
        <f>SUM(P75:P85)</f>
        <v>0</v>
      </c>
      <c r="Q86" s="3339"/>
      <c r="S86" s="3338">
        <f>SUM(S75:S85)</f>
        <v>12000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1825.1136363636363</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6905</v>
      </c>
      <c r="H88" s="3231"/>
      <c r="J88" s="3230">
        <v>6905</v>
      </c>
      <c r="K88" s="3231"/>
      <c r="L88" s="828"/>
      <c r="M88" s="3230"/>
      <c r="N88" s="3231"/>
      <c r="P88" s="3230"/>
      <c r="Q88" s="3231"/>
      <c r="S88" s="3230"/>
      <c r="T88" s="3231"/>
      <c r="V88" s="849"/>
      <c r="W88" s="3342"/>
      <c r="X88" s="3343"/>
      <c r="AZ88" s="1968"/>
      <c r="BA88" s="1706">
        <v>88</v>
      </c>
    </row>
    <row r="89" spans="1:53" s="144" customFormat="1" ht="12" customHeight="1">
      <c r="B89" s="144" t="s">
        <v>1195</v>
      </c>
      <c r="G89" s="3241">
        <v>0</v>
      </c>
      <c r="H89" s="3242"/>
      <c r="J89" s="3241">
        <v>0</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v>32900</v>
      </c>
      <c r="H90" s="3242"/>
      <c r="I90" s="145"/>
      <c r="J90" s="3241">
        <v>32900</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v>40500</v>
      </c>
      <c r="H91" s="3190"/>
      <c r="I91" s="145"/>
      <c r="J91" s="3189">
        <v>40500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80305</v>
      </c>
      <c r="H92" s="3339"/>
      <c r="J92" s="3338">
        <f>SUM(J88:J91)</f>
        <v>80305</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5000</v>
      </c>
      <c r="H97" s="3231"/>
      <c r="J97" s="3410"/>
      <c r="K97" s="3410"/>
      <c r="L97" s="828"/>
      <c r="M97" s="3410"/>
      <c r="N97" s="3410"/>
      <c r="P97" s="3410"/>
      <c r="Q97" s="3410"/>
      <c r="S97" s="3230">
        <v>5000</v>
      </c>
      <c r="T97" s="3231"/>
      <c r="V97" s="849"/>
      <c r="W97" s="3342"/>
      <c r="X97" s="3343"/>
      <c r="AZ97" s="1968" t="s">
        <v>6382</v>
      </c>
      <c r="BA97" s="1706">
        <v>97</v>
      </c>
    </row>
    <row r="98" spans="1:53" s="144" customFormat="1" ht="12" customHeight="1">
      <c r="B98" s="144" t="s">
        <v>1199</v>
      </c>
      <c r="G98" s="3241">
        <v>15000</v>
      </c>
      <c r="H98" s="3242"/>
      <c r="J98" s="3410"/>
      <c r="K98" s="3410"/>
      <c r="L98" s="828"/>
      <c r="M98" s="3410"/>
      <c r="N98" s="3410"/>
      <c r="P98" s="3410"/>
      <c r="Q98" s="3410"/>
      <c r="S98" s="3241">
        <v>15000</v>
      </c>
      <c r="T98" s="3242"/>
      <c r="V98" s="849"/>
      <c r="W98" s="3342"/>
      <c r="X98" s="3343"/>
      <c r="AZ98" s="1968"/>
      <c r="BA98" s="1706">
        <v>98</v>
      </c>
    </row>
    <row r="99" spans="1:53" s="144" customFormat="1" ht="12" customHeight="1">
      <c r="B99" s="144" t="s">
        <v>1200</v>
      </c>
      <c r="G99" s="3241">
        <v>9000</v>
      </c>
      <c r="H99" s="3242"/>
      <c r="J99" s="3410"/>
      <c r="K99" s="3410"/>
      <c r="L99" s="828"/>
      <c r="M99" s="3410"/>
      <c r="N99" s="3410"/>
      <c r="P99" s="3410"/>
      <c r="Q99" s="3410"/>
      <c r="S99" s="3241">
        <v>9000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6721</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29000</v>
      </c>
      <c r="H103" s="3339"/>
      <c r="J103" s="3410"/>
      <c r="K103" s="3410"/>
      <c r="L103" s="283"/>
      <c r="M103" s="3410"/>
      <c r="N103" s="3410"/>
      <c r="P103" s="3410"/>
      <c r="Q103" s="3410"/>
      <c r="S103" s="3338">
        <f>SUM(S97:S102)</f>
        <v>29000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v>2000</v>
      </c>
      <c r="H105" s="3231"/>
      <c r="J105" s="283"/>
      <c r="K105" s="283"/>
      <c r="L105" s="828"/>
      <c r="M105" s="283"/>
      <c r="N105" s="283"/>
      <c r="P105" s="283"/>
      <c r="Q105" s="283"/>
      <c r="S105" s="3230">
        <v>2000</v>
      </c>
      <c r="T105" s="3231"/>
      <c r="V105" s="849"/>
      <c r="W105" s="3342"/>
      <c r="X105" s="3343"/>
      <c r="Y105" s="333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44</v>
      </c>
      <c r="AZ106" s="1968" t="s">
        <v>6383</v>
      </c>
      <c r="BA106" s="1706">
        <v>106</v>
      </c>
    </row>
    <row r="107" spans="1:53" s="144" customFormat="1" ht="12.6" customHeight="1">
      <c r="B107" s="144" t="s">
        <v>3318</v>
      </c>
      <c r="G107" s="3241"/>
      <c r="H107" s="3242"/>
      <c r="J107" s="283"/>
      <c r="K107" s="283"/>
      <c r="L107" s="290"/>
      <c r="M107" s="283"/>
      <c r="N107" s="283"/>
      <c r="P107" s="283"/>
      <c r="Q107" s="283"/>
      <c r="S107" s="3241"/>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44000</v>
      </c>
      <c r="F109" s="3412"/>
      <c r="G109" s="3241">
        <v>44000</v>
      </c>
      <c r="H109" s="3242"/>
      <c r="I109" s="3346" t="str">
        <f>IF(E109&gt;G109,"WARNING!  LIHTC Compliance Fee proposed is below minimum required.","")</f>
        <v/>
      </c>
      <c r="J109" s="3347"/>
      <c r="K109" s="3347"/>
      <c r="L109" s="3347"/>
      <c r="M109" s="3347"/>
      <c r="N109" s="3347"/>
      <c r="O109" s="3347"/>
      <c r="P109" s="3347"/>
      <c r="Q109" s="3347"/>
      <c r="R109" s="3348"/>
      <c r="S109" s="3241">
        <v>44000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44</v>
      </c>
      <c r="AF113" s="1934">
        <f>IF($AD$105="Income Averaging",AD113*'DCA Underwriting Assumptions'!$Q$61,AD113*'DCA Underwriting Assumptions'!$Q$60)</f>
        <v>44000</v>
      </c>
      <c r="AZ113" s="1968" t="s">
        <v>6386</v>
      </c>
      <c r="BA113" s="1706">
        <v>113</v>
      </c>
    </row>
    <row r="114" spans="1:53" s="144" customFormat="1" ht="12.6" customHeight="1" thickTop="1">
      <c r="F114" s="281" t="s">
        <v>184</v>
      </c>
      <c r="G114" s="3338">
        <f>SUM(G105:G113)</f>
        <v>155400</v>
      </c>
      <c r="H114" s="3339"/>
      <c r="J114" s="283"/>
      <c r="K114" s="283"/>
      <c r="L114" s="828"/>
      <c r="M114" s="283"/>
      <c r="N114" s="283"/>
      <c r="P114" s="283"/>
      <c r="Q114" s="283"/>
      <c r="S114" s="3338">
        <f>SUM(S105:S113)</f>
        <v>155400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44</v>
      </c>
      <c r="AF115" s="1935">
        <f>SUM(AF113:AF114)</f>
        <v>44000</v>
      </c>
      <c r="AZ115" s="1959"/>
      <c r="BA115" s="1706">
        <v>115</v>
      </c>
    </row>
    <row r="116" spans="1:53" s="144" customFormat="1" ht="12.6" customHeight="1">
      <c r="B116" s="144" t="s">
        <v>267</v>
      </c>
      <c r="G116" s="3230">
        <v>3000</v>
      </c>
      <c r="H116" s="3231"/>
      <c r="J116" s="3410"/>
      <c r="K116" s="3410"/>
      <c r="L116" s="828"/>
      <c r="M116" s="3410"/>
      <c r="N116" s="3410"/>
      <c r="P116" s="3410"/>
      <c r="Q116" s="3410"/>
      <c r="S116" s="3230">
        <v>3000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3000</v>
      </c>
      <c r="H120" s="3339"/>
      <c r="J120" s="3410"/>
      <c r="K120" s="3410"/>
      <c r="L120" s="828"/>
      <c r="M120" s="3410"/>
      <c r="N120" s="3410"/>
      <c r="P120" s="3410"/>
      <c r="Q120" s="3410"/>
      <c r="S120" s="3338">
        <f>SUM(S116:S119)</f>
        <v>3000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0.5</v>
      </c>
      <c r="G122" s="3413">
        <v>605000</v>
      </c>
      <c r="H122" s="3413"/>
      <c r="J122" s="3414">
        <v>555000</v>
      </c>
      <c r="K122" s="3415"/>
      <c r="L122" s="282"/>
      <c r="M122" s="3414"/>
      <c r="N122" s="3415"/>
      <c r="P122" s="3414"/>
      <c r="Q122" s="3415"/>
      <c r="S122" s="3414">
        <v>50000</v>
      </c>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1210000</v>
      </c>
      <c r="AF122" s="3370">
        <f>SUM(AE122:AE124)</f>
        <v>1210000</v>
      </c>
      <c r="AG122" s="3497">
        <f>'DCA Underwriting Assumptions'!$Q$74</f>
        <v>2000000</v>
      </c>
      <c r="AH122" s="3489">
        <f>MIN(AF122,AG122)</f>
        <v>1210000</v>
      </c>
      <c r="AI122" s="3490"/>
      <c r="AZ122" s="1959"/>
      <c r="BA122" s="1706">
        <v>122</v>
      </c>
    </row>
    <row r="123" spans="1:53" s="144" customFormat="1" ht="12.6" customHeight="1">
      <c r="B123" s="144" t="s">
        <v>3411</v>
      </c>
      <c r="F123" s="949">
        <v>605000</v>
      </c>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1210000</v>
      </c>
      <c r="AF125" s="3370">
        <f>SUM(AE125:AE127)</f>
        <v>1210000</v>
      </c>
      <c r="AG125" s="3370">
        <f>'DCA Underwriting Assumptions'!$Q$75</f>
        <v>3500000</v>
      </c>
      <c r="AH125" s="3489">
        <f>MIN(AF125,AG125)</f>
        <v>1210000</v>
      </c>
      <c r="AI125" s="3490"/>
      <c r="AZ125" s="1959"/>
      <c r="BA125" s="1706">
        <v>125</v>
      </c>
    </row>
    <row r="126" spans="1:53" s="144" customFormat="1" ht="12.6" customHeight="1" thickBot="1">
      <c r="B126" s="144" t="s">
        <v>1717</v>
      </c>
      <c r="F126" s="323">
        <f>IF($G$127=0,0,G126/$G$127)</f>
        <v>0.5</v>
      </c>
      <c r="G126" s="3189">
        <v>605000</v>
      </c>
      <c r="H126" s="3190"/>
      <c r="J126" s="3189">
        <v>605000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1210000</v>
      </c>
      <c r="F127" s="281" t="s">
        <v>184</v>
      </c>
      <c r="G127" s="3338">
        <f>SUM(G122:G126)</f>
        <v>1210000</v>
      </c>
      <c r="H127" s="3416"/>
      <c r="J127" s="3338">
        <f>SUM(J122:J126)</f>
        <v>1160000</v>
      </c>
      <c r="K127" s="3416"/>
      <c r="L127" s="828"/>
      <c r="M127" s="3338">
        <f>SUM(M122:M126)</f>
        <v>0</v>
      </c>
      <c r="N127" s="3416"/>
      <c r="P127" s="3338">
        <f>SUM(P122:P126)</f>
        <v>0</v>
      </c>
      <c r="Q127" s="3416"/>
      <c r="S127" s="3338">
        <f>SUM(S122:S126)</f>
        <v>50000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24400</v>
      </c>
      <c r="H129" s="3231"/>
      <c r="J129" s="291"/>
      <c r="K129" s="291"/>
      <c r="L129" s="291"/>
      <c r="M129" s="291"/>
      <c r="N129" s="291"/>
      <c r="P129" s="291"/>
      <c r="Q129" s="291"/>
      <c r="S129" s="3230">
        <v>24400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53350.11</v>
      </c>
      <c r="G130" s="3241">
        <v>53350</v>
      </c>
      <c r="H130" s="3242"/>
      <c r="J130" s="765" t="str">
        <f>IF(E130&gt;G130,"WARNING! Rent-Up Reserves proposed is below minimum - add comment.","")</f>
        <v/>
      </c>
      <c r="K130" s="765"/>
      <c r="L130" s="828"/>
      <c r="M130" s="750"/>
      <c r="N130" s="750"/>
      <c r="P130" s="750"/>
      <c r="Q130" s="750"/>
      <c r="S130" s="3241">
        <v>53350</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120440.92528628219</v>
      </c>
      <c r="G131" s="3241">
        <v>120440.71018243973</v>
      </c>
      <c r="H131" s="3242"/>
      <c r="J131" s="765" t="str">
        <f>IF(E131&gt;G131,"WARNING! ODR proposed is below minimum - add comment.","")</f>
        <v/>
      </c>
      <c r="K131" s="290"/>
      <c r="L131" s="290"/>
      <c r="M131" s="290"/>
      <c r="N131" s="290"/>
      <c r="P131" s="290"/>
      <c r="Q131" s="290"/>
      <c r="S131" s="3241">
        <v>120440.71018243973</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1250</v>
      </c>
      <c r="G133" s="3241">
        <v>55000</v>
      </c>
      <c r="H133" s="3242"/>
      <c r="J133" s="3230">
        <v>55000</v>
      </c>
      <c r="K133" s="3231"/>
      <c r="L133" s="828"/>
      <c r="M133" s="3230"/>
      <c r="N133" s="3231"/>
      <c r="P133" s="3230"/>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6721</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253190.71018243971</v>
      </c>
      <c r="H135" s="3339"/>
      <c r="J135" s="3338">
        <f>SUM(J133:J134)</f>
        <v>55000</v>
      </c>
      <c r="K135" s="3339"/>
      <c r="L135" s="828"/>
      <c r="M135" s="3338">
        <f>SUM(M133:M134)</f>
        <v>0</v>
      </c>
      <c r="N135" s="3339"/>
      <c r="P135" s="3338">
        <f>SUM(P133:P134)</f>
        <v>0</v>
      </c>
      <c r="Q135" s="3339"/>
      <c r="S135" s="3338">
        <f>SUM(S129:S134)</f>
        <v>198190.71018243971</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13821370.115847625</v>
      </c>
      <c r="H146" s="3487"/>
      <c r="J146" s="3486">
        <f>J18+J24+J28+J36+J41+J46+J55+J73+J86+J92+J103+J114+J120+J127+J135+J144</f>
        <v>12987779.405665185</v>
      </c>
      <c r="K146" s="3487"/>
      <c r="M146" s="3486">
        <f>M18+M24+M28+M36+M41+M46+M55+M73+M86+M92+M103+M114+M120+M127+M135+M144</f>
        <v>0</v>
      </c>
      <c r="N146" s="3487"/>
      <c r="P146" s="3486">
        <f>P18+P24+P28+P36+P41+P46+P55+P73+P86+P92+P103+P114+P120+P127+P135+P144</f>
        <v>0</v>
      </c>
      <c r="Q146" s="3487"/>
      <c r="S146" s="3486">
        <f>S18+S24+S28+S36+S41+S46+S55+S73+S86+S92+S103+S114+S120+S127+S135+S144</f>
        <v>833590.71018243977</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314122.04808744602</v>
      </c>
      <c r="E148" s="3483"/>
      <c r="F148" s="390" t="s">
        <v>2487</v>
      </c>
      <c r="G148" s="3484">
        <f>IF('Part V-Revenues &amp; Expenses'!$K$175=0,0,G146/'Part V-Revenues &amp; Expenses'!$K$175)</f>
        <v>300.24264925593309</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12987779.405665185</v>
      </c>
      <c r="K162" s="3335"/>
      <c r="M162" s="3336">
        <f>M146</f>
        <v>0</v>
      </c>
      <c r="N162" s="3337"/>
      <c r="P162" s="3334">
        <f>P146</f>
        <v>0</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12987779.405665185</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c r="Q165" s="3422"/>
      <c r="R165" s="3470" t="s">
        <v>3204</v>
      </c>
      <c r="S165" s="3471"/>
      <c r="T165" s="3472"/>
      <c r="U165" s="1170"/>
      <c r="V165" s="849"/>
      <c r="W165" s="3342"/>
      <c r="X165" s="3343"/>
      <c r="AZ165" s="1968"/>
      <c r="BA165" s="1706">
        <v>165</v>
      </c>
    </row>
    <row r="166" spans="1:53" s="144" customFormat="1" ht="14.1" customHeight="1">
      <c r="B166" s="144" t="s">
        <v>1903</v>
      </c>
      <c r="J166" s="3355">
        <f>J164*J165</f>
        <v>12987779.405665185</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12987779.405665185</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1168900.1465098667</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1168900</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13821370.115847625</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500000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13321370.115847625</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1332137.0115847625</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1.2050000000000001</v>
      </c>
      <c r="K182" s="3441"/>
      <c r="L182" s="3442"/>
      <c r="M182" s="248" t="s">
        <v>1212</v>
      </c>
      <c r="N182" s="3443">
        <v>0.85</v>
      </c>
      <c r="O182" s="3444"/>
      <c r="P182" s="248" t="s">
        <v>570</v>
      </c>
      <c r="Q182" s="3443">
        <v>0.35499999999999998</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1105507</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v>1105507</v>
      </c>
      <c r="K187" s="3446"/>
      <c r="L187" s="3447"/>
      <c r="Q187" s="147" t="s">
        <v>6247</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1105000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1105000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7118</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14" sqref="F14:F18"/>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West Pine Residences  -  Sylvester  -  Worth,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West Pine Residences, Sylvester, Worth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South</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7046</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7047</v>
      </c>
      <c r="E12" s="3528"/>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v>12</v>
      </c>
      <c r="M13" s="1268"/>
      <c r="O13" s="3540" t="s">
        <v>3275</v>
      </c>
      <c r="P13" s="3540"/>
      <c r="Q13" s="3540"/>
    </row>
    <row r="14" spans="1:25" s="6" customFormat="1" ht="12" customHeight="1">
      <c r="B14" s="1275" t="s">
        <v>1493</v>
      </c>
      <c r="C14" s="1276"/>
      <c r="D14" s="3547" t="s">
        <v>1491</v>
      </c>
      <c r="E14" s="3548"/>
      <c r="F14" s="208" t="s">
        <v>416</v>
      </c>
      <c r="G14" s="208"/>
      <c r="H14" s="203"/>
      <c r="I14" s="1267"/>
      <c r="J14" s="1267">
        <v>14</v>
      </c>
      <c r="K14" s="1267">
        <v>19</v>
      </c>
      <c r="L14" s="1268">
        <v>23</v>
      </c>
      <c r="M14" s="1268"/>
      <c r="O14" s="3540"/>
      <c r="P14" s="3540"/>
      <c r="Q14" s="3540"/>
    </row>
    <row r="15" spans="1:25" s="6" customFormat="1" ht="12" customHeight="1">
      <c r="B15" s="1277" t="s">
        <v>440</v>
      </c>
      <c r="C15" s="1278"/>
      <c r="D15" s="1277" t="s">
        <v>1491</v>
      </c>
      <c r="E15" s="204"/>
      <c r="F15" s="208" t="s">
        <v>416</v>
      </c>
      <c r="G15" s="208"/>
      <c r="H15" s="802"/>
      <c r="I15" s="1267"/>
      <c r="J15" s="1267">
        <v>10</v>
      </c>
      <c r="K15" s="1267">
        <v>13</v>
      </c>
      <c r="L15" s="1268">
        <v>16</v>
      </c>
      <c r="M15" s="1268"/>
      <c r="O15" s="3540"/>
      <c r="P15" s="3540"/>
      <c r="Q15" s="3540"/>
    </row>
    <row r="16" spans="1:25" s="6" customFormat="1" ht="12" customHeight="1">
      <c r="B16" s="1279" t="s">
        <v>3269</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3270</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21</v>
      </c>
      <c r="K18" s="1267">
        <v>27</v>
      </c>
      <c r="L18" s="1268">
        <v>33</v>
      </c>
      <c r="M18" s="1268"/>
      <c r="O18" s="3540"/>
      <c r="P18" s="3540"/>
      <c r="Q18" s="3540"/>
    </row>
    <row r="19" spans="1:25" s="6" customFormat="1" ht="12" customHeight="1">
      <c r="B19" s="1277" t="s">
        <v>1292</v>
      </c>
      <c r="C19" s="1278"/>
      <c r="D19" s="1283" t="s">
        <v>3076</v>
      </c>
      <c r="E19" s="1265" t="s">
        <v>2649</v>
      </c>
      <c r="F19" s="208" t="s">
        <v>416</v>
      </c>
      <c r="G19" s="208"/>
      <c r="H19" s="802"/>
      <c r="I19" s="1267"/>
      <c r="J19" s="1267">
        <v>43</v>
      </c>
      <c r="K19" s="1267">
        <v>54</v>
      </c>
      <c r="L19" s="1268">
        <v>66</v>
      </c>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6" ma:contentTypeDescription="Create a new document." ma:contentTypeScope="" ma:versionID="2277430e8a5c9066aa03e376737fbc4c">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7c1fcc95baaedb7a921bb2bdf0b5aed"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0FA9CEE-23ED-40F3-91D0-A69BC21D39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1D03A2-4F2D-46CC-A214-9A5C4C82B3B5}">
  <ds:schemaRefs>
    <ds:schemaRef ds:uri="http://schemas.microsoft.com/sharepoint/v3/contenttype/forms"/>
  </ds:schemaRefs>
</ds:datastoreItem>
</file>

<file path=customXml/itemProps3.xml><?xml version="1.0" encoding="utf-8"?>
<ds:datastoreItem xmlns:ds="http://schemas.openxmlformats.org/officeDocument/2006/customXml" ds:itemID="{D1B83557-3722-4EF5-B41D-33C9A92B88C6}">
  <ds:schemaRefs>
    <ds:schemaRef ds:uri="http://schemas.microsoft.com/office/2006/metadata/properties"/>
    <ds:schemaRef ds:uri="http://schemas.microsoft.com/office/infopath/2007/PartnerControls"/>
    <ds:schemaRef ds:uri="2e669154-7074-4abd-8878-51cd44ef535d"/>
    <ds:schemaRef ds:uri="b369fc44-467f-4fd4-ad5b-7b83e11effc3"/>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2023-05-18T13:12:46Z</cp:lastPrinted>
  <dcterms:created xsi:type="dcterms:W3CDTF">2005-09-15T20:51:37Z</dcterms:created>
  <dcterms:modified xsi:type="dcterms:W3CDTF">2023-05-19T14:33:27Z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