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Clayton County-Westchester Village\Application FIle\CORE App\"/>
    </mc:Choice>
  </mc:AlternateContent>
  <xr:revisionPtr revIDLastSave="0" documentId="13_ncr:1_{7E6D0CD1-7677-431A-8D76-D1EDE9CC34A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76" l="1"/>
  <c r="J18" i="76"/>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BJ439" i="102"/>
  <c r="P1431" i="103"/>
  <c r="P179" i="102"/>
  <c r="L123" i="102"/>
  <c r="O122" i="102"/>
  <c r="P1245" i="103"/>
  <c r="P86" i="102"/>
  <c r="P1237" i="103" s="1"/>
  <c r="O1245" i="103"/>
  <c r="O86" i="102"/>
  <c r="O1237" i="103" s="1"/>
  <c r="P1228" i="103"/>
  <c r="BG1574" i="103" s="1"/>
  <c r="P66" i="102"/>
  <c r="P1217" i="103" s="1"/>
  <c r="BG1573" i="103" s="1"/>
  <c r="O1219" i="103"/>
  <c r="O66" i="102"/>
  <c r="O1217" i="103" s="1"/>
  <c r="AZ1573" i="103" s="1"/>
  <c r="BJ437" i="102"/>
  <c r="BF440" i="102"/>
  <c r="R312" i="102"/>
  <c r="O1463" i="103"/>
  <c r="AY1591" i="103" s="1"/>
  <c r="E34" i="102"/>
  <c r="C1187" i="103"/>
  <c r="AH449" i="102"/>
  <c r="AH1600" i="103" s="1"/>
  <c r="AJ449" i="102"/>
  <c r="AJ1600" i="103" s="1"/>
  <c r="BB447" i="102"/>
  <c r="BF432" i="102"/>
  <c r="P1351" i="103"/>
  <c r="BF1583" i="103" s="1"/>
  <c r="E21" i="102"/>
  <c r="E1172" i="103" s="1"/>
  <c r="O1351" i="103"/>
  <c r="L1351"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P1191" i="103"/>
  <c r="BB433" i="102"/>
  <c r="O1361" i="103"/>
  <c r="O1273" i="103"/>
  <c r="AZ1577" i="103" s="1"/>
  <c r="O179" i="102"/>
  <c r="O404" i="102" s="1"/>
  <c r="O1555" i="103" s="1"/>
  <c r="AY1573" i="103"/>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L1330" i="103" s="1"/>
  <c r="B171" i="103"/>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O6" i="102"/>
  <c r="P6" i="102"/>
  <c r="BF424" i="102"/>
  <c r="BF449" i="102" s="1"/>
  <c r="BF1600" i="103" s="1"/>
  <c r="L179" i="102"/>
  <c r="AZ430" i="102"/>
  <c r="AZ449" i="102" s="1"/>
  <c r="AZ1600" i="103" s="1"/>
  <c r="N144" i="102"/>
  <c r="E19" i="102"/>
  <c r="E1170" i="103" s="1"/>
  <c r="AY430" i="102"/>
  <c r="AY449" i="102" s="1"/>
  <c r="AY1600" i="103" s="1"/>
  <c r="L618" i="103" l="1"/>
  <c r="AZ1581" i="103"/>
  <c r="AY1581" i="103"/>
  <c r="Q614" i="103"/>
  <c r="Q607" i="103"/>
  <c r="M529" i="103"/>
  <c r="Q612" i="103"/>
  <c r="N526" i="103"/>
  <c r="M517" i="103"/>
  <c r="M618" i="103"/>
  <c r="M535"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3" i="95" l="1"/>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C40" i="95"/>
  <c r="C41" i="95"/>
  <c r="C39" i="95"/>
  <c r="C42" i="95"/>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H26" i="74"/>
  <c r="H733" i="103" s="1"/>
  <c r="K91" i="74"/>
  <c r="K798" i="103" s="1"/>
  <c r="K805" i="103" s="1"/>
  <c r="D120" i="74"/>
  <c r="D827"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AI35" i="72" l="1"/>
  <c r="AH35" i="72"/>
  <c r="AG35" i="72"/>
  <c r="AF35" i="72"/>
  <c r="AE35" i="72"/>
  <c r="AD35" i="72"/>
  <c r="D129" i="74"/>
  <c r="D829" i="103"/>
  <c r="D836" i="103" s="1"/>
  <c r="D56" i="86"/>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7" i="87"/>
  <c r="I69" i="74"/>
  <c r="J99" i="74"/>
  <c r="B16" i="87"/>
  <c r="F99" i="74"/>
  <c r="B14" i="87"/>
  <c r="B34" i="87"/>
  <c r="B11" i="87"/>
  <c r="C128" i="74"/>
  <c r="E41" i="87"/>
  <c r="E21" i="87"/>
  <c r="F84" i="92"/>
  <c r="G36" i="74"/>
  <c r="H68" i="74"/>
  <c r="I36" i="74"/>
  <c r="D36" i="74"/>
  <c r="C68" i="74"/>
  <c r="E130" i="74"/>
  <c r="B23" i="87"/>
  <c r="B10" i="87"/>
  <c r="B17" i="87"/>
  <c r="D99" i="74"/>
  <c r="B68" i="74"/>
  <c r="H36" i="74"/>
  <c r="G68" i="74"/>
  <c r="B42" i="87"/>
  <c r="B27" i="87"/>
  <c r="B13" i="87"/>
  <c r="H99" i="74"/>
  <c r="B36" i="87"/>
  <c r="E39" i="87"/>
  <c r="B41" i="87"/>
  <c r="B39" i="87"/>
  <c r="B40" i="87"/>
  <c r="B28" i="87"/>
  <c r="B129" i="74"/>
  <c r="J68" i="74"/>
  <c r="E99" i="74"/>
  <c r="F69" i="74"/>
  <c r="B33" i="87"/>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D22" i="74" s="1"/>
  <c r="D729" i="103" s="1"/>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A68" i="85"/>
  <c r="B20" i="87" l="1"/>
  <c r="B22" i="87"/>
  <c r="L71" i="98"/>
  <c r="I71" i="98"/>
  <c r="L72" i="98"/>
  <c r="I72" i="98"/>
  <c r="C75" i="100"/>
  <c r="I75" i="100" s="1"/>
  <c r="I77" i="100" s="1"/>
  <c r="A22" i="83"/>
  <c r="P94" i="103"/>
  <c r="P95" i="103"/>
  <c r="I105" i="103"/>
  <c r="B30" i="87"/>
  <c r="B26" i="87"/>
  <c r="B25" i="87"/>
  <c r="B35" i="87"/>
  <c r="B12" i="87"/>
  <c r="B29" i="87"/>
  <c r="B31" i="87"/>
  <c r="C40" i="74"/>
  <c r="C747" i="103" s="1"/>
  <c r="J797" i="103"/>
  <c r="B32" i="87"/>
  <c r="B44" i="87"/>
  <c r="B43" i="87"/>
  <c r="K733" i="103"/>
  <c r="F771" i="103"/>
  <c r="J739" i="103"/>
  <c r="K739" i="103"/>
  <c r="B771" i="103"/>
  <c r="C771" i="103"/>
  <c r="C739" i="103"/>
  <c r="E739" i="103"/>
  <c r="B739" i="103"/>
  <c r="B44" i="74"/>
  <c r="B751" i="103" s="1"/>
  <c r="F739" i="103"/>
  <c r="E771" i="103"/>
  <c r="H739" i="103"/>
  <c r="D739" i="103"/>
  <c r="D771" i="103"/>
  <c r="G739" i="103"/>
  <c r="I739" i="103"/>
  <c r="M496" i="103"/>
  <c r="M497" i="103"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E22" i="74" s="1"/>
  <c r="E729" i="103" s="1"/>
  <c r="P138" i="75"/>
  <c r="M147" i="75"/>
  <c r="P136" i="75"/>
  <c r="R31" i="74"/>
  <c r="O164" i="75"/>
  <c r="O166" i="75" s="1"/>
  <c r="O168" i="75" s="1"/>
  <c r="P108" i="75"/>
  <c r="P93" i="75"/>
  <c r="J164" i="78"/>
  <c r="J166" i="78" s="1"/>
  <c r="E3" i="86"/>
  <c r="B4" i="82"/>
  <c r="C18" i="84"/>
  <c r="I61" i="68"/>
  <c r="P139" i="75"/>
  <c r="P114" i="75"/>
  <c r="G14" i="86"/>
  <c r="A67" i="85"/>
  <c r="I75" i="98" l="1"/>
  <c r="K75" i="100"/>
  <c r="K77" i="100" s="1"/>
  <c r="C77" i="100"/>
  <c r="E75" i="100"/>
  <c r="E77" i="100" s="1"/>
  <c r="G75" i="100"/>
  <c r="G77" i="100" s="1"/>
  <c r="L35" i="68"/>
  <c r="P96" i="103"/>
  <c r="A21" i="83"/>
  <c r="D10" i="86"/>
  <c r="C81" i="100"/>
  <c r="C80" i="100"/>
  <c r="C44" i="74"/>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I63" i="72" s="1"/>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63" i="72" l="1"/>
  <c r="AH63" i="72"/>
  <c r="AG63" i="72"/>
  <c r="B728" i="103"/>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G21" i="86"/>
  <c r="F22" i="86"/>
  <c r="D728" i="103" l="1"/>
  <c r="F728" i="103"/>
  <c r="E728" i="103"/>
  <c r="C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H21" i="86"/>
  <c r="G22" i="86"/>
  <c r="G728" i="103" l="1"/>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I22" i="74" s="1"/>
  <c r="I729" i="103" s="1"/>
  <c r="H16" i="74"/>
  <c r="H723" i="103" s="1"/>
  <c r="H15" i="74"/>
  <c r="H722" i="103" s="1"/>
  <c r="H21" i="74"/>
  <c r="I21" i="86"/>
  <c r="I22" i="86" s="1"/>
  <c r="H22" i="86"/>
  <c r="H728" i="103" l="1"/>
  <c r="H53" i="82"/>
  <c r="H738" i="103"/>
  <c r="E174" i="90"/>
  <c r="E175" i="90" s="1"/>
  <c r="C66" i="84"/>
  <c r="E66" i="84" s="1"/>
  <c r="Q682" i="103"/>
  <c r="AD238" i="103"/>
  <c r="AF238" i="103" s="1"/>
  <c r="B23" i="74"/>
  <c r="I23" i="74" s="1"/>
  <c r="I730" i="103" s="1"/>
  <c r="N235" i="75"/>
  <c r="Q247" i="75"/>
  <c r="Q235" i="75"/>
  <c r="Q694" i="103"/>
  <c r="F751" i="103"/>
  <c r="G44" i="74"/>
  <c r="H20" i="100"/>
  <c r="C20" i="100"/>
  <c r="H19" i="100"/>
  <c r="D17" i="83"/>
  <c r="F53" i="89"/>
  <c r="F16" i="85"/>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53" i="84"/>
  <c r="E54" i="84" s="1"/>
  <c r="E56" i="84" s="1"/>
  <c r="E64" i="84" s="1"/>
  <c r="F17" i="74"/>
  <c r="F724" i="103" s="1"/>
  <c r="P97" i="72"/>
  <c r="O87" i="75"/>
  <c r="L87" i="75"/>
  <c r="AF125" i="78"/>
  <c r="AH125" i="78" s="1"/>
  <c r="H19" i="84"/>
  <c r="AF122" i="78"/>
  <c r="C19" i="84"/>
  <c r="H17" i="74"/>
  <c r="H724" i="103" s="1"/>
  <c r="I24" i="74"/>
  <c r="I731" i="103" s="1"/>
  <c r="J14" i="74"/>
  <c r="J22" i="74" s="1"/>
  <c r="J729" i="103" s="1"/>
  <c r="I16" i="74"/>
  <c r="I723" i="103" s="1"/>
  <c r="I15" i="74"/>
  <c r="I722" i="103" s="1"/>
  <c r="I21" i="74"/>
  <c r="A9" i="83"/>
  <c r="I53" i="82" l="1"/>
  <c r="C70" i="84"/>
  <c r="C72" i="84" s="1"/>
  <c r="K66" i="84"/>
  <c r="H23" i="74"/>
  <c r="H730" i="103" s="1"/>
  <c r="F23" i="74"/>
  <c r="F730" i="103" s="1"/>
  <c r="F746" i="103"/>
  <c r="G23" i="74"/>
  <c r="G730" i="103" s="1"/>
  <c r="G746" i="103" s="1"/>
  <c r="D23" i="74"/>
  <c r="D730" i="103" s="1"/>
  <c r="D746" i="103"/>
  <c r="C13" i="86"/>
  <c r="E724" i="103"/>
  <c r="H39" i="74"/>
  <c r="B730" i="103"/>
  <c r="B746" i="103" s="1"/>
  <c r="B39" i="74"/>
  <c r="H746" i="103"/>
  <c r="F39" i="74"/>
  <c r="I728" i="103"/>
  <c r="J31" i="74"/>
  <c r="J738" i="103" s="1"/>
  <c r="E70" i="84"/>
  <c r="E76" i="84" s="1"/>
  <c r="E73" i="84" s="1"/>
  <c r="G66" i="84"/>
  <c r="I66" i="84"/>
  <c r="I70" i="84" s="1"/>
  <c r="I76" i="84" s="1"/>
  <c r="I73" i="84" s="1"/>
  <c r="E23" i="74"/>
  <c r="E730" i="103" s="1"/>
  <c r="C23" i="74"/>
  <c r="C730" i="103" s="1"/>
  <c r="C746" i="103" s="1"/>
  <c r="G751" i="103"/>
  <c r="H44" i="74"/>
  <c r="G20" i="74"/>
  <c r="G727" i="103" s="1"/>
  <c r="G732" i="103" s="1"/>
  <c r="B25" i="74"/>
  <c r="B727" i="103"/>
  <c r="E56" i="100"/>
  <c r="E64" i="100" s="1"/>
  <c r="E70" i="100" s="1"/>
  <c r="K56" i="100"/>
  <c r="K64" i="100" s="1"/>
  <c r="K70" i="100" s="1"/>
  <c r="I56" i="100"/>
  <c r="I64" i="100" s="1"/>
  <c r="I70" i="100" s="1"/>
  <c r="C76" i="100"/>
  <c r="C73" i="100" s="1"/>
  <c r="C72" i="100"/>
  <c r="G56" i="100"/>
  <c r="G64" i="100" s="1"/>
  <c r="G70" i="100" s="1"/>
  <c r="G13" i="86"/>
  <c r="K70" i="84"/>
  <c r="K72" i="84" s="1"/>
  <c r="AH122" i="78"/>
  <c r="E127" i="78" s="1"/>
  <c r="P89" i="72"/>
  <c r="O89" i="72"/>
  <c r="C30" i="86"/>
  <c r="I13" i="86"/>
  <c r="C20" i="74"/>
  <c r="H13" i="86"/>
  <c r="C33" i="86"/>
  <c r="C20" i="84"/>
  <c r="H20" i="84"/>
  <c r="J40" i="74"/>
  <c r="J747" i="103" s="1"/>
  <c r="E20" i="74"/>
  <c r="E727" i="103" s="1"/>
  <c r="D20" i="74"/>
  <c r="D727" i="103" s="1"/>
  <c r="G56" i="84"/>
  <c r="G64" i="84" s="1"/>
  <c r="C76" i="84"/>
  <c r="C73" i="84" s="1"/>
  <c r="F20" i="74"/>
  <c r="F727" i="103" s="1"/>
  <c r="F732" i="103" s="1"/>
  <c r="K31" i="74"/>
  <c r="K738" i="103" s="1"/>
  <c r="K14" i="74"/>
  <c r="K22" i="74" s="1"/>
  <c r="K729" i="103" s="1"/>
  <c r="J24" i="74"/>
  <c r="J731" i="103" s="1"/>
  <c r="J15" i="74"/>
  <c r="J722" i="103" s="1"/>
  <c r="J16" i="74"/>
  <c r="J723" i="103" s="1"/>
  <c r="J21" i="74"/>
  <c r="J23" i="74"/>
  <c r="J730" i="103" s="1"/>
  <c r="I17" i="74"/>
  <c r="I724" i="103" s="1"/>
  <c r="H20" i="74"/>
  <c r="H727" i="103" s="1"/>
  <c r="H732" i="103" s="1"/>
  <c r="G39" i="74" l="1"/>
  <c r="G70" i="84"/>
  <c r="G76" i="84" s="1"/>
  <c r="G73" i="84" s="1"/>
  <c r="E13" i="86"/>
  <c r="B732" i="103"/>
  <c r="D39" i="74"/>
  <c r="D732" i="103"/>
  <c r="D745" i="103" s="1"/>
  <c r="C39" i="74"/>
  <c r="I39" i="74"/>
  <c r="I746" i="103"/>
  <c r="E39" i="74"/>
  <c r="J53" i="82"/>
  <c r="E746" i="103"/>
  <c r="E72" i="84"/>
  <c r="J728" i="103"/>
  <c r="F13" i="86"/>
  <c r="D13" i="86"/>
  <c r="E732" i="103"/>
  <c r="E745" i="103" s="1"/>
  <c r="F740" i="103"/>
  <c r="F745" i="103"/>
  <c r="F741" i="103"/>
  <c r="B44" i="82"/>
  <c r="B51" i="82" s="1"/>
  <c r="B34" i="74"/>
  <c r="B38" i="74"/>
  <c r="G740" i="103"/>
  <c r="G745" i="103"/>
  <c r="G741" i="103"/>
  <c r="H740" i="103"/>
  <c r="H741" i="103"/>
  <c r="H745" i="103"/>
  <c r="B740" i="103"/>
  <c r="B745" i="103"/>
  <c r="B741" i="103"/>
  <c r="H751" i="103"/>
  <c r="I44" i="74"/>
  <c r="B33" i="74"/>
  <c r="C9" i="86" s="1"/>
  <c r="C17" i="86" s="1"/>
  <c r="C18" i="86" s="1"/>
  <c r="C20" i="86" s="1"/>
  <c r="C24" i="86" s="1"/>
  <c r="K6" i="86" s="1"/>
  <c r="G66" i="86" s="1"/>
  <c r="N92" i="85" s="1"/>
  <c r="G25"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J178" i="78"/>
  <c r="J180" i="78" s="1"/>
  <c r="I20" i="74"/>
  <c r="I727" i="103" s="1"/>
  <c r="I732" i="103" s="1"/>
  <c r="K24" i="74"/>
  <c r="K731" i="103" s="1"/>
  <c r="B46" i="74"/>
  <c r="B54" i="74" s="1"/>
  <c r="B761" i="103" s="1"/>
  <c r="K15" i="74"/>
  <c r="K722" i="103" s="1"/>
  <c r="K16" i="74"/>
  <c r="K723" i="103" s="1"/>
  <c r="K21" i="74"/>
  <c r="K23" i="74"/>
  <c r="K730" i="103" s="1"/>
  <c r="H25" i="74"/>
  <c r="D33" i="86"/>
  <c r="B63" i="74"/>
  <c r="B770" i="103" s="1"/>
  <c r="K53" i="82"/>
  <c r="J17" i="74"/>
  <c r="J724" i="103" s="1"/>
  <c r="D741" i="103" l="1"/>
  <c r="D740" i="103"/>
  <c r="E740" i="103"/>
  <c r="J39" i="74"/>
  <c r="J746" i="103"/>
  <c r="S21" i="74"/>
  <c r="B46" i="82"/>
  <c r="K728" i="103"/>
  <c r="E741" i="103"/>
  <c r="D34" i="74"/>
  <c r="D38" i="74"/>
  <c r="C44" i="82"/>
  <c r="C46" i="82" s="1"/>
  <c r="C34" i="74"/>
  <c r="C38" i="74"/>
  <c r="I740" i="103"/>
  <c r="I745" i="103"/>
  <c r="I741" i="103"/>
  <c r="E34" i="74"/>
  <c r="E38" i="74"/>
  <c r="H34" i="74"/>
  <c r="H38" i="74"/>
  <c r="C740" i="103"/>
  <c r="C741" i="103"/>
  <c r="C745" i="103"/>
  <c r="F34" i="74"/>
  <c r="F38" i="74"/>
  <c r="G44" i="82"/>
  <c r="G51" i="82" s="1"/>
  <c r="G34" i="74"/>
  <c r="G38" i="74"/>
  <c r="I751" i="103"/>
  <c r="J44" i="74"/>
  <c r="G33" i="74"/>
  <c r="H9" i="86" s="1"/>
  <c r="H17" i="86" s="1"/>
  <c r="H18" i="86" s="1"/>
  <c r="H20" i="86" s="1"/>
  <c r="H24" i="86" s="1"/>
  <c r="K11" i="86" s="1"/>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F44" i="82"/>
  <c r="F33" i="74"/>
  <c r="I25" i="74"/>
  <c r="J20" i="74"/>
  <c r="J727" i="103" s="1"/>
  <c r="J732" i="103" s="1"/>
  <c r="H44" i="82"/>
  <c r="H33" i="74"/>
  <c r="K17" i="74"/>
  <c r="K724" i="103" s="1"/>
  <c r="C46" i="74"/>
  <c r="C54" i="74" s="1"/>
  <c r="C761" i="103" s="1"/>
  <c r="B56" i="74"/>
  <c r="B48" i="74"/>
  <c r="B755" i="103" s="1"/>
  <c r="B47" i="74"/>
  <c r="B754" i="103" s="1"/>
  <c r="B53" i="74"/>
  <c r="B55" i="74"/>
  <c r="B762" i="103" s="1"/>
  <c r="C63" i="74"/>
  <c r="C770" i="103" s="1"/>
  <c r="B73" i="82"/>
  <c r="E33" i="86"/>
  <c r="G46" i="82" l="1"/>
  <c r="K39" i="74"/>
  <c r="K746" i="103"/>
  <c r="B760" i="103"/>
  <c r="J740" i="103"/>
  <c r="J745" i="103"/>
  <c r="J741" i="103"/>
  <c r="C51" i="82"/>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D54" i="74" s="1"/>
  <c r="D761" i="103" s="1"/>
  <c r="C47" i="74"/>
  <c r="C754" i="103" s="1"/>
  <c r="C53" i="74"/>
  <c r="C55" i="74"/>
  <c r="C762" i="103" s="1"/>
  <c r="B49" i="74"/>
  <c r="B756" i="103" s="1"/>
  <c r="I9" i="86"/>
  <c r="S27" i="74"/>
  <c r="H51" i="82"/>
  <c r="H46" i="82"/>
  <c r="F33" i="86"/>
  <c r="K20" i="74"/>
  <c r="K727" i="103" s="1"/>
  <c r="K732" i="103" s="1"/>
  <c r="B778" i="103" l="1"/>
  <c r="B71" i="74"/>
  <c r="C760" i="103"/>
  <c r="K740" i="103"/>
  <c r="K741" i="103"/>
  <c r="K745" i="103"/>
  <c r="J38" i="74"/>
  <c r="J34"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E54" i="74" s="1"/>
  <c r="E761" i="103" s="1"/>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F54" i="74" s="1"/>
  <c r="F761" i="103" s="1"/>
  <c r="E48" i="74"/>
  <c r="E755" i="103" s="1"/>
  <c r="E53" i="74"/>
  <c r="E55" i="74"/>
  <c r="E762" i="103" s="1"/>
  <c r="H33" i="86"/>
  <c r="D71" i="74" l="1"/>
  <c r="D778" i="103"/>
  <c r="E760" i="103"/>
  <c r="B70" i="74"/>
  <c r="B66" i="74"/>
  <c r="C772" i="103"/>
  <c r="C777" i="103"/>
  <c r="C773" i="103"/>
  <c r="C783" i="103"/>
  <c r="D76" i="74"/>
  <c r="I30" i="86"/>
  <c r="F72" i="74"/>
  <c r="F779" i="103" s="1"/>
  <c r="C57" i="74"/>
  <c r="D52" i="74"/>
  <c r="D759" i="103" s="1"/>
  <c r="D764" i="103" s="1"/>
  <c r="F56" i="74"/>
  <c r="F48" i="74"/>
  <c r="F755" i="103" s="1"/>
  <c r="F47" i="74"/>
  <c r="F754" i="103" s="1"/>
  <c r="G46" i="74"/>
  <c r="G54" i="74" s="1"/>
  <c r="G761" i="103" s="1"/>
  <c r="F53" i="74"/>
  <c r="F55" i="74"/>
  <c r="F762" i="103" s="1"/>
  <c r="E49" i="74"/>
  <c r="E756" i="103" s="1"/>
  <c r="E29" i="86"/>
  <c r="S30" i="74"/>
  <c r="F73" i="82"/>
  <c r="G63" i="74"/>
  <c r="G770" i="103" s="1"/>
  <c r="K51" i="82"/>
  <c r="K46" i="82"/>
  <c r="B25" i="82" s="1"/>
  <c r="I33" i="86"/>
  <c r="B64" i="82"/>
  <c r="B65" i="74"/>
  <c r="E71" i="74" l="1"/>
  <c r="E778" i="103"/>
  <c r="F760" i="103"/>
  <c r="C70" i="74"/>
  <c r="C66" i="74"/>
  <c r="D772" i="103"/>
  <c r="D773" i="103"/>
  <c r="D777" i="103"/>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H54" i="74" s="1"/>
  <c r="H761" i="103" s="1"/>
  <c r="G47" i="74"/>
  <c r="G754" i="103" s="1"/>
  <c r="G53" i="74"/>
  <c r="G55" i="74"/>
  <c r="G762" i="103" s="1"/>
  <c r="F71" i="74" l="1"/>
  <c r="F778" i="103"/>
  <c r="G760" i="103"/>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I54" i="74" s="1"/>
  <c r="I761" i="103" s="1"/>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F772" i="103"/>
  <c r="F777" i="103"/>
  <c r="F773" i="103"/>
  <c r="E66" i="74"/>
  <c r="E70" i="74"/>
  <c r="F783" i="103"/>
  <c r="G76" i="74"/>
  <c r="G783" i="103" s="1"/>
  <c r="D57" i="86"/>
  <c r="D58" i="86" s="1"/>
  <c r="D60" i="86" s="1"/>
  <c r="D64" i="86" s="1"/>
  <c r="K21" i="86" s="1"/>
  <c r="E50" i="86"/>
  <c r="I72" i="74"/>
  <c r="I779" i="103" s="1"/>
  <c r="E64" i="82"/>
  <c r="E71" i="82" s="1"/>
  <c r="E74" i="82" s="1"/>
  <c r="E65" i="74"/>
  <c r="B76" i="82"/>
  <c r="E53" i="86"/>
  <c r="H29" i="86"/>
  <c r="S33" i="74"/>
  <c r="J46" i="74"/>
  <c r="J54" i="74" s="1"/>
  <c r="J761" i="103" s="1"/>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66" i="74"/>
  <c r="F70"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K54" i="74" s="1"/>
  <c r="K761" i="103" s="1"/>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H772" i="103"/>
  <c r="H773" i="103"/>
  <c r="H777"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B86" i="74" s="1"/>
  <c r="B793" i="103" s="1"/>
  <c r="K56" i="74"/>
  <c r="K47" i="74"/>
  <c r="K754" i="103" s="1"/>
  <c r="K48" i="74"/>
  <c r="K755" i="103" s="1"/>
  <c r="K53" i="74"/>
  <c r="K55" i="74"/>
  <c r="K762" i="103" s="1"/>
  <c r="H57" i="74"/>
  <c r="J71" i="74" l="1"/>
  <c r="J778" i="103"/>
  <c r="K760" i="103"/>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C86" i="74" s="1"/>
  <c r="C793" i="103" s="1"/>
  <c r="B85" i="74"/>
  <c r="B87" i="74"/>
  <c r="B794" i="103" s="1"/>
  <c r="S36" i="74"/>
  <c r="H64" i="82"/>
  <c r="H65" i="74"/>
  <c r="H53" i="86"/>
  <c r="G66" i="82"/>
  <c r="G71" i="82"/>
  <c r="G74" i="82" s="1"/>
  <c r="K49" i="74"/>
  <c r="K756" i="103" s="1"/>
  <c r="C95" i="74"/>
  <c r="C802" i="103" s="1"/>
  <c r="K71" i="74" l="1"/>
  <c r="K778"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D86" i="74" s="1"/>
  <c r="D793" i="103" s="1"/>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E86" i="74" s="1"/>
  <c r="E793" i="103" s="1"/>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F86" i="74" s="1"/>
  <c r="F793" i="103" s="1"/>
  <c r="E88" i="74"/>
  <c r="E79" i="74"/>
  <c r="E786" i="103" s="1"/>
  <c r="E80" i="74"/>
  <c r="E787" i="103" s="1"/>
  <c r="E85" i="74"/>
  <c r="E87" i="74"/>
  <c r="E794" i="103" s="1"/>
  <c r="B89" i="74"/>
  <c r="D102" i="74" l="1"/>
  <c r="D809" i="103"/>
  <c r="E792" i="103"/>
  <c r="B97" i="74"/>
  <c r="B101" i="74"/>
  <c r="C803" i="103"/>
  <c r="C804" i="103"/>
  <c r="C808" i="103"/>
  <c r="F103" i="74"/>
  <c r="F810" i="103" s="1"/>
  <c r="B96" i="74"/>
  <c r="C89" i="74"/>
  <c r="D84" i="74"/>
  <c r="D791" i="103" s="1"/>
  <c r="D796" i="103" s="1"/>
  <c r="E81" i="74"/>
  <c r="E788" i="103" s="1"/>
  <c r="K71" i="82"/>
  <c r="K74" i="82" s="1"/>
  <c r="K66" i="82"/>
  <c r="F88" i="74"/>
  <c r="G78" i="74"/>
  <c r="G86" i="74" s="1"/>
  <c r="G793" i="103" s="1"/>
  <c r="F80" i="74"/>
  <c r="F787" i="103" s="1"/>
  <c r="F79" i="74"/>
  <c r="F786" i="103" s="1"/>
  <c r="F85" i="74"/>
  <c r="F87" i="74"/>
  <c r="F794" i="103" s="1"/>
  <c r="S40" i="74"/>
  <c r="G95" i="74"/>
  <c r="G802" i="103" s="1"/>
  <c r="E102" i="74" l="1"/>
  <c r="E809" i="103"/>
  <c r="F792" i="103"/>
  <c r="C97" i="74"/>
  <c r="C101" i="74"/>
  <c r="D803" i="103"/>
  <c r="D808" i="103"/>
  <c r="D804" i="103"/>
  <c r="G103" i="74"/>
  <c r="G810" i="103" s="1"/>
  <c r="C96" i="74"/>
  <c r="E84" i="74"/>
  <c r="E791" i="103" s="1"/>
  <c r="E796" i="103" s="1"/>
  <c r="G79" i="74"/>
  <c r="G786" i="103" s="1"/>
  <c r="G88" i="74"/>
  <c r="G80" i="74"/>
  <c r="G787" i="103" s="1"/>
  <c r="H78" i="74"/>
  <c r="H86" i="74" s="1"/>
  <c r="H793" i="103" s="1"/>
  <c r="G85" i="74"/>
  <c r="G87" i="74"/>
  <c r="G794" i="103" s="1"/>
  <c r="K75" i="82"/>
  <c r="K76" i="82" s="1"/>
  <c r="H95" i="74"/>
  <c r="H802" i="103" s="1"/>
  <c r="F81" i="74"/>
  <c r="F788" i="103" s="1"/>
  <c r="D89" i="74"/>
  <c r="F102" i="74" l="1"/>
  <c r="F809" i="103"/>
  <c r="G792" i="103"/>
  <c r="D97" i="74"/>
  <c r="D101" i="74"/>
  <c r="E803" i="103"/>
  <c r="E808" i="103"/>
  <c r="E804" i="103"/>
  <c r="H103" i="74"/>
  <c r="H810" i="103" s="1"/>
  <c r="D96" i="74"/>
  <c r="E89" i="74"/>
  <c r="F84" i="74"/>
  <c r="F791" i="103" s="1"/>
  <c r="F796" i="103" s="1"/>
  <c r="H88" i="74"/>
  <c r="H80" i="74"/>
  <c r="H787" i="103" s="1"/>
  <c r="H79" i="74"/>
  <c r="H786" i="103" s="1"/>
  <c r="I78" i="74"/>
  <c r="I86" i="74" s="1"/>
  <c r="I793" i="103" s="1"/>
  <c r="H85" i="74"/>
  <c r="H87" i="74"/>
  <c r="H794" i="103" s="1"/>
  <c r="G81" i="74"/>
  <c r="G788" i="103" s="1"/>
  <c r="I95" i="74"/>
  <c r="I802" i="103" s="1"/>
  <c r="G102" i="74" l="1"/>
  <c r="G809" i="103"/>
  <c r="H792" i="103"/>
  <c r="E97" i="74"/>
  <c r="E101" i="74"/>
  <c r="F803" i="103"/>
  <c r="F804" i="103"/>
  <c r="F808" i="103"/>
  <c r="I103" i="74"/>
  <c r="I810" i="103" s="1"/>
  <c r="E96" i="74"/>
  <c r="F89" i="74"/>
  <c r="G84" i="74"/>
  <c r="G791" i="103" s="1"/>
  <c r="G796" i="103" s="1"/>
  <c r="I88" i="74"/>
  <c r="I79" i="74"/>
  <c r="I786" i="103" s="1"/>
  <c r="J78" i="74"/>
  <c r="J86" i="74" s="1"/>
  <c r="J793" i="103" s="1"/>
  <c r="I80" i="74"/>
  <c r="I787" i="103" s="1"/>
  <c r="I85" i="74"/>
  <c r="I87" i="74"/>
  <c r="I794" i="103" s="1"/>
  <c r="H81" i="74"/>
  <c r="H788" i="103" s="1"/>
  <c r="J95" i="74"/>
  <c r="J802" i="103" s="1"/>
  <c r="H102" i="74" l="1"/>
  <c r="H809" i="103"/>
  <c r="I792" i="103"/>
  <c r="F97" i="74"/>
  <c r="F101" i="74"/>
  <c r="G803" i="103"/>
  <c r="G804" i="103"/>
  <c r="G808"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I102" i="74" l="1"/>
  <c r="I809" i="103"/>
  <c r="J792" i="103"/>
  <c r="H803" i="103"/>
  <c r="H804" i="103"/>
  <c r="H808" i="103"/>
  <c r="G97" i="74"/>
  <c r="G101" i="74"/>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J102" i="74" l="1"/>
  <c r="J809" i="103"/>
  <c r="K792" i="103"/>
  <c r="H97" i="74"/>
  <c r="H101" i="74"/>
  <c r="I803" i="103"/>
  <c r="I804" i="103"/>
  <c r="I808" i="103"/>
  <c r="B133" i="74"/>
  <c r="B840" i="103" s="1"/>
  <c r="H96" i="74"/>
  <c r="J84" i="74"/>
  <c r="J791" i="103" s="1"/>
  <c r="J796" i="103" s="1"/>
  <c r="K81" i="74"/>
  <c r="K788" i="103" s="1"/>
  <c r="C125" i="74"/>
  <c r="C832" i="103" s="1"/>
  <c r="I89" i="74"/>
  <c r="B109" i="74"/>
  <c r="B816" i="103" s="1"/>
  <c r="C108" i="74"/>
  <c r="C116" i="74" s="1"/>
  <c r="C823" i="103" s="1"/>
  <c r="B110" i="74"/>
  <c r="B817" i="103" s="1"/>
  <c r="B118" i="74"/>
  <c r="B115" i="74"/>
  <c r="B117" i="74"/>
  <c r="B824" i="103" s="1"/>
  <c r="K102" i="74" l="1"/>
  <c r="K809" i="103"/>
  <c r="B822" i="103"/>
  <c r="J803" i="103"/>
  <c r="J804" i="103"/>
  <c r="J808" i="103"/>
  <c r="I97" i="74"/>
  <c r="I101" i="74"/>
  <c r="C133" i="74"/>
  <c r="C840" i="103" s="1"/>
  <c r="I96" i="74"/>
  <c r="J89" i="74"/>
  <c r="K84" i="74"/>
  <c r="K791" i="103" s="1"/>
  <c r="K796" i="103" s="1"/>
  <c r="D108" i="74"/>
  <c r="D116" i="74" s="1"/>
  <c r="D823" i="103" s="1"/>
  <c r="C109" i="74"/>
  <c r="C816" i="103" s="1"/>
  <c r="C118" i="74"/>
  <c r="C110" i="74"/>
  <c r="C817" i="103" s="1"/>
  <c r="C115" i="74"/>
  <c r="C117" i="74"/>
  <c r="C824" i="103" s="1"/>
  <c r="D125" i="74"/>
  <c r="D832" i="103" s="1"/>
  <c r="B111" i="74"/>
  <c r="B818" i="103" s="1"/>
  <c r="B132" i="74" l="1"/>
  <c r="B839" i="103"/>
  <c r="C822" i="103"/>
  <c r="J97" i="74"/>
  <c r="J101" i="74"/>
  <c r="K803" i="103"/>
  <c r="K804" i="103"/>
  <c r="K808" i="103"/>
  <c r="D133" i="74"/>
  <c r="D840" i="103" s="1"/>
  <c r="K89" i="74"/>
  <c r="J96" i="74"/>
  <c r="B114" i="74"/>
  <c r="B821" i="103" s="1"/>
  <c r="B826" i="103" s="1"/>
  <c r="C111" i="74"/>
  <c r="C818" i="103" s="1"/>
  <c r="E125" i="74"/>
  <c r="E832" i="103" s="1"/>
  <c r="D118" i="74"/>
  <c r="D109" i="74"/>
  <c r="D816" i="103" s="1"/>
  <c r="E108" i="74"/>
  <c r="E116" i="74" s="1"/>
  <c r="E823" i="103" s="1"/>
  <c r="D110" i="74"/>
  <c r="D817" i="103" s="1"/>
  <c r="D115" i="74"/>
  <c r="D117" i="74"/>
  <c r="D824" i="103" s="1"/>
  <c r="C132" i="74" l="1"/>
  <c r="C839" i="103"/>
  <c r="D822" i="103"/>
  <c r="K97" i="74"/>
  <c r="K101" i="74"/>
  <c r="B833" i="103"/>
  <c r="B834" i="103"/>
  <c r="B838" i="103"/>
  <c r="E133" i="74"/>
  <c r="E840" i="103" s="1"/>
  <c r="K96" i="74"/>
  <c r="B119" i="74"/>
  <c r="C114" i="74"/>
  <c r="C821" i="103" s="1"/>
  <c r="C826" i="103" s="1"/>
  <c r="F125" i="74"/>
  <c r="F832" i="103" s="1"/>
  <c r="F108" i="74"/>
  <c r="F116" i="74" s="1"/>
  <c r="F823" i="103" s="1"/>
  <c r="E109" i="74"/>
  <c r="E816" i="103" s="1"/>
  <c r="E118" i="74"/>
  <c r="E110" i="74"/>
  <c r="E817" i="103" s="1"/>
  <c r="E115" i="74"/>
  <c r="E117" i="74"/>
  <c r="E824" i="103" s="1"/>
  <c r="D111" i="74"/>
  <c r="D818" i="103" s="1"/>
  <c r="D132" i="74" l="1"/>
  <c r="D839" i="103"/>
  <c r="E822" i="103"/>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7" i="74"/>
  <c r="C131" i="74"/>
  <c r="D833" i="103"/>
  <c r="D834" i="103"/>
  <c r="D838" i="103"/>
  <c r="C126" i="74"/>
  <c r="E114" i="74"/>
  <c r="E821" i="103" s="1"/>
  <c r="E826" i="103" s="1"/>
  <c r="F111" i="74"/>
  <c r="F818" i="103" s="1"/>
  <c r="D119" i="74"/>
  <c r="F132" i="74" l="1"/>
  <c r="F839" i="103"/>
  <c r="E833" i="103"/>
  <c r="E834" i="103"/>
  <c r="E838" i="103"/>
  <c r="D127" i="74"/>
  <c r="D131" i="74"/>
  <c r="D126" i="74"/>
  <c r="E119" i="74"/>
  <c r="F114" i="74"/>
  <c r="F821" i="103" s="1"/>
  <c r="F826" i="103" s="1"/>
  <c r="F833" i="103" l="1"/>
  <c r="F834" i="103"/>
  <c r="F838" i="103"/>
  <c r="E131" i="74"/>
  <c r="E127"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E00-000001000000}">
      <text>
        <r>
          <rPr>
            <b/>
            <sz val="9"/>
            <color indexed="81"/>
            <rFont val="Tahoma"/>
            <family val="2"/>
          </rPr>
          <t xml:space="preserve">marie.palena: </t>
        </r>
        <r>
          <rPr>
            <sz val="9"/>
            <color indexed="81"/>
            <rFont val="Tahoma"/>
            <family val="2"/>
          </rPr>
          <t>Rehab only</t>
        </r>
      </text>
    </comment>
    <comment ref="I74" authorId="0" shapeId="0" xr:uid="{00000000-0006-0000-1E00-000002000000}">
      <text>
        <r>
          <rPr>
            <b/>
            <sz val="9"/>
            <color indexed="81"/>
            <rFont val="Tahoma"/>
            <family val="2"/>
          </rPr>
          <t xml:space="preserve">marie.palena: </t>
        </r>
        <r>
          <rPr>
            <sz val="9"/>
            <color indexed="81"/>
            <rFont val="Tahoma"/>
            <family val="2"/>
          </rPr>
          <t>Rehab only</t>
        </r>
      </text>
    </comment>
    <comment ref="I75" authorId="0" shapeId="0" xr:uid="{00000000-0006-0000-1E00-000003000000}">
      <text>
        <r>
          <rPr>
            <b/>
            <sz val="9"/>
            <color indexed="81"/>
            <rFont val="Tahoma"/>
            <family val="2"/>
          </rPr>
          <t xml:space="preserve">marie.palena: </t>
        </r>
        <r>
          <rPr>
            <sz val="9"/>
            <color indexed="81"/>
            <rFont val="Tahoma"/>
            <family val="2"/>
          </rPr>
          <t>Rehab only</t>
        </r>
      </text>
    </comment>
    <comment ref="I76" authorId="0" shapeId="0" xr:uid="{00000000-0006-0000-1E00-000004000000}">
      <text>
        <r>
          <rPr>
            <b/>
            <sz val="9"/>
            <color indexed="81"/>
            <rFont val="Tahoma"/>
            <family val="2"/>
          </rPr>
          <t xml:space="preserve">marie.palena: </t>
        </r>
        <r>
          <rPr>
            <sz val="9"/>
            <color indexed="81"/>
            <rFont val="Tahoma"/>
            <family val="2"/>
          </rPr>
          <t>Rehab only</t>
        </r>
      </text>
    </comment>
    <comment ref="I77" authorId="0" shapeId="0" xr:uid="{00000000-0006-0000-1E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E00-000006000000}">
      <text>
        <r>
          <rPr>
            <b/>
            <sz val="9"/>
            <color indexed="81"/>
            <rFont val="Tahoma"/>
            <family val="2"/>
          </rPr>
          <t>marie.palena:</t>
        </r>
        <r>
          <rPr>
            <sz val="9"/>
            <color indexed="81"/>
            <rFont val="Tahoma"/>
            <family val="2"/>
          </rPr>
          <t xml:space="preserve">
USDA 515, other HUD funds</t>
        </r>
      </text>
    </comment>
    <comment ref="F93" authorId="0" shapeId="0" xr:uid="{00000000-0006-0000-1E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E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E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E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00000000-0006-0000-20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00000000-0006-0000-2000-00000200000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E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E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E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<sst xmlns="http://schemas.openxmlformats.org/spreadsheetml/2006/main" count="19301" uniqueCount="7113">
  <si>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</si>
  <si>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</si>
  <si>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</si>
  <si>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</si>
  <si>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</si>
  <si>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</si>
  <si>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</si>
  <si>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</si>
  <si>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</si>
  <si>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</si>
  <si>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</si>
  <si>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</si>
  <si>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</si>
  <si>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</si>
  <si>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</si>
  <si>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</si>
  <si>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</si>
  <si>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</si>
  <si>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</si>
  <si>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</si>
  <si>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</si>
  <si>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</si>
  <si>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</si>
  <si>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</si>
  <si>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</si>
  <si>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</si>
  <si>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</si>
  <si>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</si>
  <si>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</si>
  <si>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</si>
  <si>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</si>
  <si>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</si>
  <si>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</si>
  <si>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</si>
  <si>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</si>
  <si>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</si>
  <si>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</si>
  <si>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</si>
  <si>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</si>
  <si>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</si>
  <si>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</si>
  <si>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</si>
  <si>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</si>
  <si>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</si>
  <si>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</si>
  <si>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</si>
  <si>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</si>
  <si>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</si>
  <si>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</si>
  <si>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</si>
  <si>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</si>
  <si>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</si>
  <si>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</si>
  <si>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</si>
  <si>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</si>
  <si>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</si>
  <si>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</si>
  <si>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</si>
  <si>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</si>
  <si>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</si>
  <si>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</si>
  <si>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</si>
  <si>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</si>
  <si>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</si>
  <si>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</si>
  <si>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</si>
  <si>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</si>
  <si>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</si>
  <si>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</si>
  <si>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</si>
  <si>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</si>
  <si>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</si>
  <si>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</si>
  <si>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</si>
  <si>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</si>
  <si>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</si>
  <si>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</si>
  <si>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</si>
  <si>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</si>
  <si>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</si>
  <si>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</si>
  <si>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</si>
  <si>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</si>
  <si>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</si>
  <si>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</si>
  <si>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</si>
  <si>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</si>
  <si>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</si>
  <si>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</si>
  <si>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</si>
  <si>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</si>
  <si>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</si>
  <si>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</si>
  <si>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</si>
  <si>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</si>
  <si>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</si>
  <si>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</si>
  <si>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</si>
  <si>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</si>
  <si>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</si>
  <si>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</si>
  <si>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</si>
  <si>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</si>
  <si>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</si>
  <si>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</si>
  <si>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</si>
  <si>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</si>
  <si>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</si>
  <si>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</si>
  <si>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</si>
  <si>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</si>
  <si>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</si>
  <si>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</si>
  <si>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</si>
  <si>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</si>
  <si>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</si>
  <si>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</si>
  <si>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</si>
  <si>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</si>
  <si>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</si>
  <si>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</si>
  <si>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</si>
  <si>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</si>
  <si>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</si>
  <si>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</si>
  <si>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</si>
  <si>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</si>
  <si>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</si>
  <si>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</si>
  <si>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</si>
  <si>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</si>
  <si>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</si>
  <si>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</si>
  <si>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</si>
  <si>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</si>
  <si>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</si>
  <si>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</si>
  <si>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</si>
  <si>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</si>
  <si>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</si>
  <si>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</si>
  <si>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</si>
  <si>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</si>
  <si>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</si>
  <si>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</si>
  <si>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</si>
  <si>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</si>
  <si>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</si>
  <si>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</si>
  <si>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</si>
  <si>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</si>
  <si>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</si>
  <si>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</si>
  <si>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</si>
  <si>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</si>
  <si>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</si>
  <si>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</si>
  <si>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</si>
  <si>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</si>
  <si>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</si>
  <si>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</si>
  <si>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</si>
  <si>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</si>
  <si>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</si>
  <si>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</si>
  <si>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</si>
  <si>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</si>
  <si>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</si>
  <si>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</si>
  <si>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</si>
  <si>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</si>
  <si>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</si>
  <si>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</si>
  <si>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</si>
  <si>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</si>
  <si>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</si>
  <si>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</si>
  <si>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</si>
  <si>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</si>
  <si>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</si>
  <si>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</si>
  <si>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</si>
  <si>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</si>
  <si>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</si>
  <si>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</si>
  <si>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</si>
  <si>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</si>
  <si>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</si>
  <si>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</si>
  <si>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</si>
  <si>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</si>
  <si>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</si>
  <si>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</si>
  <si>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</si>
  <si>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</si>
  <si>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</si>
  <si>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</si>
  <si>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</si>
  <si>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</si>
  <si>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</si>
  <si>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</si>
  <si>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</si>
  <si>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</si>
  <si>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</si>
  <si>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</si>
  <si>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</si>
  <si>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</si>
  <si>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</si>
  <si>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</si>
  <si>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</si>
  <si>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</si>
  <si>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</si>
  <si>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</si>
  <si>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</si>
  <si>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</si>
  <si>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</si>
  <si>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</si>
  <si>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</si>
  <si>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</si>
  <si>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</si>
  <si>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</si>
  <si>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</si>
  <si>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</si>
  <si>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</si>
  <si>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</si>
  <si>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</si>
  <si>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</si>
  <si>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</si>
  <si>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</si>
  <si>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</si>
  <si>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</si>
  <si>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</si>
  <si>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</si>
  <si>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</si>
  <si>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</si>
  <si>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</si>
  <si>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</si>
  <si>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</si>
  <si>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</si>
  <si>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</si>
  <si>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</si>
  <si>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</si>
  <si>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</si>
  <si>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</si>
  <si>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</si>
  <si>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</si>
  <si>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</si>
  <si>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</si>
  <si>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</si>
  <si>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</si>
  <si>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</si>
  <si>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</si>
  <si>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</si>
  <si>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</si>
  <si>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</si>
  <si>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</si>
  <si>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</si>
  <si>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</si>
  <si>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</si>
  <si>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</si>
  <si>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</si>
  <si>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</si>
  <si>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</si>
  <si>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</si>
  <si>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</si>
  <si>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</si>
  <si>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</si>
  <si>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</si>
  <si>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</si>
  <si>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</si>
  <si>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</si>
  <si>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</si>
  <si>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</si>
  <si>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</si>
  <si>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</si>
  <si>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</si>
  <si>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</si>
  <si>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</si>
  <si>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</si>
  <si>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</si>
  <si>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</si>
  <si>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</si>
  <si>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</si>
  <si>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</si>
  <si>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</si>
  <si>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</si>
  <si>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</si>
  <si>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</si>
  <si>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</si>
  <si>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</si>
  <si>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</si>
  <si>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</si>
  <si>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</si>
  <si>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</si>
  <si>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</si>
  <si>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</si>
  <si>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</si>
  <si>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</si>
  <si>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</si>
  <si>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</si>
  <si>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</si>
  <si>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</si>
  <si>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</si>
  <si>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</si>
  <si>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</si>
  <si>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</si>
  <si>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</si>
  <si>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</si>
  <si>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</si>
  <si>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</si>
  <si>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</si>
  <si>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</si>
  <si>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</si>
  <si>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</si>
  <si>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</si>
  <si>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</si>
  <si>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</si>
  <si>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</si>
  <si>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</si>
  <si>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</si>
  <si>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</si>
  <si>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</si>
  <si>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</si>
  <si>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</si>
  <si>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</si>
  <si>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</si>
  <si>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</si>
  <si>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</si>
  <si>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</si>
  <si>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</si>
  <si>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</si>
  <si>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</si>
  <si>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</si>
  <si>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</si>
  <si>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</si>
  <si>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</si>
  <si>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</si>
  <si>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</si>
  <si>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</si>
  <si>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</si>
  <si>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</si>
  <si>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</si>
  <si>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</si>
  <si>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</si>
  <si>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</si>
  <si>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</si>
  <si>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</si>
  <si>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</si>
  <si>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</si>
  <si>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</si>
  <si>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</si>
  <si>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</si>
  <si>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</si>
  <si>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</si>
  <si>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</si>
  <si>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</si>
  <si>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</si>
  <si>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</si>
  <si>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</si>
  <si>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</si>
  <si>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</si>
  <si>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</si>
  <si>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</si>
  <si>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</si>
  <si>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</si>
  <si>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</si>
  <si>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</si>
  <si>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</si>
  <si>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</si>
  <si>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</si>
  <si>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</si>
  <si>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</si>
  <si>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</si>
  <si>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</si>
  <si>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</si>
  <si>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</si>
  <si>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</si>
  <si>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</si>
  <si>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</si>
  <si>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</si>
  <si>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</si>
  <si>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</si>
  <si>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</si>
  <si>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</si>
  <si>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</si>
  <si>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</si>
  <si>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</si>
  <si>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</si>
  <si>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</si>
  <si>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</si>
  <si>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</si>
  <si>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</si>
  <si>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</si>
  <si>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</si>
  <si>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</si>
  <si>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</si>
  <si>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</si>
  <si>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</si>
  <si>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</si>
  <si>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</si>
  <si>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</si>
  <si>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</si>
  <si>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</si>
  <si>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</si>
  <si>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</si>
  <si>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</si>
  <si>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</si>
  <si>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</si>
  <si>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</si>
  <si>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</si>
  <si>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</si>
  <si>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</si>
  <si>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</si>
  <si>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</si>
  <si>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</si>
  <si>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</si>
  <si>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</si>
  <si>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</si>
  <si>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</si>
  <si>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</si>
  <si>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</si>
  <si>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</si>
  <si>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</si>
  <si>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</si>
  <si>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</si>
  <si>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</si>
  <si>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</si>
  <si>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</si>
  <si>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</si>
  <si>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</si>
  <si>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</si>
  <si>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</si>
  <si>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</si>
  <si>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</si>
  <si>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</si>
  <si>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</si>
  <si>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</si>
  <si>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</si>
  <si>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</si>
  <si>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</si>
  <si>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</si>
  <si>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</si>
  <si>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</si>
  <si>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</si>
  <si>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</si>
  <si>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</si>
  <si>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</si>
  <si>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</si>
  <si>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</si>
  <si>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</si>
  <si>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</si>
  <si>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</si>
  <si>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</si>
  <si>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</si>
  <si>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</si>
  <si>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</si>
  <si>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</si>
  <si>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</si>
  <si>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</si>
  <si>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</si>
  <si>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</si>
  <si>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</si>
  <si>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</si>
  <si>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</si>
  <si>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</si>
  <si>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</si>
  <si>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</si>
  <si>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</si>
  <si>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</si>
  <si>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</si>
  <si>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</si>
  <si>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</si>
  <si>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</si>
  <si>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</si>
  <si>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</si>
  <si>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</si>
  <si>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</si>
  <si>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</si>
  <si>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</si>
  <si>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</si>
  <si>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</si>
  <si>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</si>
  <si>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</si>
  <si>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</si>
  <si>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</si>
  <si>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</si>
  <si>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</si>
  <si>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</si>
  <si>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</si>
  <si>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</si>
  <si>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</si>
  <si>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</si>
  <si>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</si>
  <si>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</si>
  <si>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</si>
  <si>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</si>
  <si>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</si>
  <si>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</si>
  <si>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</si>
  <si>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</si>
  <si>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</si>
  <si>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</si>
  <si>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</si>
  <si>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</si>
  <si>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</si>
  <si>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</si>
  <si>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</si>
  <si>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</si>
  <si>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</si>
  <si>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</si>
  <si>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</si>
  <si>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</si>
  <si>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</si>
  <si>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</si>
  <si>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</si>
  <si>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</si>
  <si>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</si>
  <si>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</si>
  <si>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</si>
  <si>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</si>
  <si>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</si>
  <si>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</si>
  <si>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</si>
  <si>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</si>
  <si>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</si>
  <si>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</si>
  <si>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</si>
  <si>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</si>
  <si>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</si>
  <si>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</si>
  <si>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</si>
  <si>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</si>
  <si>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</si>
  <si>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</si>
  <si>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</si>
  <si>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</si>
  <si>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</si>
  <si>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</si>
  <si>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</si>
  <si>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</si>
  <si>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</si>
  <si>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</si>
  <si>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</si>
  <si>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</si>
  <si>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</si>
  <si>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</si>
  <si>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</si>
  <si>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</si>
  <si>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</si>
  <si>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</si>
  <si>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</si>
  <si>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</si>
  <si>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</si>
  <si>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</si>
  <si>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</si>
  <si>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</si>
  <si>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</si>
  <si>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</si>
  <si>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</si>
  <si>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</si>
  <si>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</si>
  <si>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</si>
  <si>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</si>
  <si>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</si>
  <si>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</si>
  <si>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</si>
  <si>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</si>
  <si>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</si>
  <si>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</si>
  <si>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</si>
  <si>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</si>
  <si>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</si>
  <si>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</si>
  <si>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</si>
  <si>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</si>
  <si>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</si>
  <si>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</si>
  <si>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</si>
  <si>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</si>
  <si>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</si>
  <si>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</si>
  <si>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</si>
  <si>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</si>
  <si>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</si>
  <si>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</si>
  <si>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</si>
  <si>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</si>
  <si>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</si>
  <si>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</si>
  <si>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</si>
  <si>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</si>
  <si>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</si>
  <si>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</si>
  <si>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</si>
  <si>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</si>
  <si>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</si>
  <si>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</si>
  <si>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</si>
  <si>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</si>
  <si>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</si>
  <si>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</si>
  <si>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</si>
  <si>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</si>
  <si>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</si>
  <si>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</si>
  <si>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</si>
  <si>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</si>
  <si>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</si>
  <si>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</si>
  <si>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</si>
  <si>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</si>
  <si>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</si>
  <si>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</si>
  <si>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</si>
  <si>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</si>
  <si>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</si>
  <si>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</si>
  <si>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</si>
  <si>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</si>
  <si>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</si>
  <si>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</si>
  <si>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</si>
  <si>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</si>
  <si>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</si>
  <si>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</si>
  <si>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</si>
  <si>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</si>
  <si>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</si>
  <si>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</si>
  <si>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</si>
  <si>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</si>
  <si>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</si>
  <si>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</si>
  <si>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</si>
  <si>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</si>
  <si>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</si>
  <si>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</si>
  <si>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</si>
  <si>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</si>
  <si>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</si>
  <si>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</si>
  <si>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</si>
  <si>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</si>
  <si>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</si>
  <si>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</si>
  <si>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</si>
  <si>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</si>
  <si>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</si>
  <si>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</si>
  <si>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</si>
  <si>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</si>
  <si>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</si>
  <si>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</si>
  <si>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</si>
  <si>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</si>
  <si>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</si>
  <si>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</si>
  <si>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</si>
  <si>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</si>
  <si>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</si>
  <si>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</si>
  <si>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</si>
  <si>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</si>
  <si>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</si>
  <si>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</si>
  <si>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</si>
  <si>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</si>
  <si>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</si>
  <si>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</si>
  <si>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</si>
  <si>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</si>
  <si>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</si>
  <si>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</si>
  <si>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</si>
  <si>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</si>
  <si>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</si>
  <si>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</si>
  <si>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</si>
  <si>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</si>
  <si>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</si>
  <si>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</si>
  <si>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</si>
  <si>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</si>
  <si>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</si>
  <si>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</si>
  <si>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</si>
  <si>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</si>
  <si>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</si>
  <si>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</si>
  <si>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</si>
  <si>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</si>
  <si>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</si>
  <si>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</si>
  <si>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</si>
  <si>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</si>
  <si>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</si>
  <si>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</si>
  <si>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</si>
  <si>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</si>
  <si>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</si>
  <si>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</si>
  <si>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</si>
  <si>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</si>
  <si>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</si>
  <si>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</si>
  <si>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</si>
  <si>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</si>
  <si>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</si>
  <si>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</si>
  <si>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</si>
  <si>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</si>
  <si>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</si>
  <si>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</si>
  <si>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</si>
  <si>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</si>
  <si>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</si>
  <si>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</si>
  <si>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</si>
  <si>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</si>
  <si>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</si>
  <si>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</si>
  <si>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</si>
  <si>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</si>
  <si>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</si>
  <si>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</si>
  <si>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</si>
  <si>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</si>
  <si>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</si>
  <si>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</si>
  <si>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</si>
  <si>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</si>
  <si>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</si>
  <si>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</si>
  <si>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</si>
  <si>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</si>
  <si>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</si>
  <si>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</si>
  <si>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</si>
  <si>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</si>
  <si>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</si>
  <si>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</si>
  <si>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</si>
  <si>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</si>
  <si>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</si>
  <si>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</si>
  <si>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</si>
  <si>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</si>
  <si>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</si>
  <si>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</si>
  <si>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</si>
  <si>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</si>
  <si>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</si>
  <si>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</si>
  <si>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</si>
  <si>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</si>
  <si>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</si>
  <si>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</si>
  <si>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</si>
  <si>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</si>
  <si>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</si>
  <si>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</si>
  <si>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</si>
  <si>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</si>
  <si>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</si>
  <si>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</si>
  <si>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</si>
  <si>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</si>
  <si>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</si>
  <si>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</si>
  <si>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</si>
  <si>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</si>
  <si>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</si>
  <si>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</si>
  <si>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</si>
  <si>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</si>
  <si>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</si>
  <si>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</si>
  <si>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</si>
  <si>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</si>
  <si>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</si>
  <si>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</si>
  <si>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</si>
  <si>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</si>
  <si>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</si>
  <si>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</si>
  <si>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</si>
  <si>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</si>
  <si>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</si>
  <si>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</si>
  <si>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</si>
  <si>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</si>
  <si>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</si>
  <si>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</si>
  <si>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</si>
  <si>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</si>
  <si>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</si>
  <si>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</si>
  <si>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</si>
  <si>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</si>
  <si>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</si>
  <si>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</si>
  <si>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</si>
  <si>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</si>
  <si>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</si>
  <si>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</si>
  <si>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</si>
  <si>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</si>
  <si>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</si>
  <si>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</si>
  <si>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</si>
  <si>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</si>
  <si>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</si>
  <si>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</si>
  <si>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</si>
  <si>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</si>
  <si>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</si>
  <si>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</si>
  <si>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</si>
  <si>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</si>
  <si>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</si>
  <si>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</si>
  <si>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</si>
  <si>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</si>
  <si>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</si>
  <si>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</si>
  <si>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</si>
  <si>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</si>
  <si>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</si>
  <si>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</si>
  <si>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</si>
  <si>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</si>
  <si>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</si>
  <si>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</si>
  <si>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</si>
  <si>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</si>
  <si>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</si>
  <si>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</si>
  <si>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</si>
  <si>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</si>
  <si>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</si>
  <si>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</si>
  <si>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</si>
  <si>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</si>
  <si>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</si>
  <si>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</si>
  <si>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</si>
  <si>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</si>
  <si>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</si>
  <si>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</si>
  <si>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</si>
  <si>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</si>
  <si>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</si>
  <si>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</si>
  <si>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</si>
  <si>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</si>
  <si>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</si>
  <si>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</si>
  <si>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</si>
  <si>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</si>
  <si>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</si>
  <si>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</si>
  <si>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</si>
  <si>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</si>
  <si>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</si>
  <si>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</si>
  <si>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</si>
  <si>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</si>
  <si>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</si>
  <si>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</si>
  <si>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</si>
  <si>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</si>
  <si>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</si>
  <si>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</si>
  <si>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</si>
  <si>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</si>
  <si>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</si>
  <si>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</si>
  <si>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</si>
  <si>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</si>
  <si>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</si>
  <si>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</si>
  <si>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</si>
  <si>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</si>
  <si>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</si>
  <si>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</si>
  <si>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</si>
  <si>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</si>
  <si>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</si>
  <si>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</si>
  <si>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</si>
  <si>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</si>
  <si>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</si>
  <si>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</si>
  <si>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</si>
  <si>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</si>
  <si>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</si>
  <si>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</si>
  <si>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</si>
  <si>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</si>
  <si>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</si>
  <si>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</si>
  <si>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</si>
  <si>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</si>
  <si>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</si>
  <si>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</si>
  <si>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</si>
  <si>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</si>
  <si>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</si>
  <si>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</si>
  <si>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</si>
  <si>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</si>
  <si>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</si>
  <si>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</si>
  <si>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</si>
  <si>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</si>
  <si>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</si>
  <si>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</si>
  <si>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</si>
  <si>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</si>
  <si>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</si>
  <si>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</si>
  <si>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</si>
  <si>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</si>
  <si>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</si>
  <si>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</si>
  <si>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</si>
  <si>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</si>
  <si>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</si>
  <si>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</si>
  <si>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</si>
  <si>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</si>
  <si>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</si>
  <si>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</si>
  <si>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</si>
  <si>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</si>
  <si>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</si>
  <si>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</si>
  <si>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</si>
  <si>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</si>
  <si>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</si>
  <si>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</si>
  <si>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</si>
  <si>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</si>
  <si>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</si>
  <si>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</si>
  <si>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</si>
  <si>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</si>
  <si>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</si>
  <si>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</si>
  <si>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</si>
  <si>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</si>
  <si>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</si>
  <si>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</si>
  <si>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</si>
  <si>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</si>
  <si>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</si>
  <si>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</si>
  <si>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</si>
  <si>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</si>
  <si>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</si>
  <si>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</si>
  <si>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</si>
  <si>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</si>
  <si>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</si>
  <si>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</si>
  <si>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</si>
  <si>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</si>
  <si>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</si>
  <si>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</si>
  <si>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</si>
  <si>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</si>
  <si>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</si>
  <si>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</si>
  <si>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</si>
  <si>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</si>
  <si>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</si>
  <si>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</si>
  <si>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</si>
  <si>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</si>
  <si>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</si>
  <si>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</si>
  <si>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</si>
  <si>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</si>
  <si>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</si>
  <si>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</si>
  <si>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</si>
  <si>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</si>
  <si>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</si>
  <si>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</si>
  <si>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</si>
  <si>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</si>
  <si>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</si>
  <si>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</si>
  <si>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</si>
  <si>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</si>
  <si>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</si>
  <si>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</si>
  <si>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</si>
  <si>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</si>
  <si>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</si>
  <si>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</si>
  <si>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</si>
  <si>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</si>
  <si>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</si>
  <si>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</si>
  <si>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</si>
  <si>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</si>
  <si>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</si>
  <si>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</si>
  <si>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</si>
  <si>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</si>
  <si>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</si>
  <si>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</si>
  <si>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</si>
  <si>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</si>
  <si>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</si>
  <si>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</si>
  <si>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</si>
  <si>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</si>
  <si>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</si>
  <si>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</si>
  <si>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</si>
  <si>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</si>
  <si>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</si>
  <si>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</si>
  <si>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</si>
  <si>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</si>
  <si>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</si>
  <si>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</si>
  <si>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</si>
  <si>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</si>
  <si>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</si>
  <si>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</si>
  <si>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</si>
  <si>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</si>
  <si>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</si>
  <si>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</si>
  <si>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</si>
  <si>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</si>
  <si>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</si>
  <si>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</si>
  <si>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</si>
  <si>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</si>
  <si>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</si>
  <si>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</si>
  <si>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</si>
  <si>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</si>
  <si>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</si>
  <si>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</si>
  <si>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</si>
  <si>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</si>
  <si>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</si>
  <si>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</si>
  <si>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</si>
  <si>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</si>
  <si>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</si>
  <si>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</si>
  <si>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</si>
  <si>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</si>
  <si>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</si>
  <si>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</si>
  <si>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</si>
  <si>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</si>
  <si>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</si>
  <si>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</si>
  <si>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</si>
  <si>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</si>
  <si>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</si>
  <si>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</si>
  <si>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</si>
  <si>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</si>
  <si>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</si>
  <si>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</si>
  <si>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</si>
  <si>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</si>
  <si>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</si>
  <si>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</si>
  <si>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</si>
  <si>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</si>
  <si>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</si>
  <si>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</si>
  <si>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</si>
  <si>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</si>
  <si>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</si>
  <si>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</si>
  <si>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</si>
  <si>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</si>
  <si>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</si>
  <si>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</si>
  <si>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</si>
  <si>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</si>
  <si>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</si>
  <si>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</si>
  <si>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</si>
  <si>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</si>
  <si>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</si>
  <si>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</si>
  <si>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</si>
  <si>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</si>
  <si>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</si>
  <si>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</si>
  <si>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</si>
  <si>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</si>
  <si>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</si>
  <si>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</si>
  <si>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</si>
  <si>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</si>
  <si>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</si>
  <si>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</si>
  <si>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</si>
  <si>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</si>
  <si>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</si>
  <si>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</si>
  <si>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</si>
  <si>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</si>
  <si>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</si>
  <si>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</si>
  <si>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</si>
  <si>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</si>
  <si>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</si>
  <si>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</si>
  <si>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</si>
  <si>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</si>
  <si>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</si>
  <si>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</si>
  <si>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</si>
  <si>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</si>
  <si>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</si>
  <si>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</si>
  <si>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</si>
  <si>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</si>
  <si>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</si>
  <si>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</si>
  <si>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</si>
  <si>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</si>
  <si>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</si>
  <si>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</si>
  <si>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</si>
  <si>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</si>
  <si>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</si>
  <si>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</si>
  <si>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</si>
  <si>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</si>
  <si>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</si>
  <si>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</si>
  <si>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</si>
  <si>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</si>
  <si>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</si>
  <si>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</si>
  <si>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</si>
  <si>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</si>
  <si>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</si>
  <si>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</si>
  <si>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</si>
  <si>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</si>
  <si>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</si>
  <si>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</si>
  <si>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</si>
  <si>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</si>
  <si>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</si>
  <si>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</si>
  <si>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</si>
  <si>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</si>
  <si>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</si>
  <si>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</si>
  <si>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</si>
  <si>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</si>
  <si>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</si>
  <si>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</si>
  <si>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</si>
  <si>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</si>
  <si>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</si>
  <si>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</si>
  <si>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</si>
  <si>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</si>
  <si>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</si>
  <si>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</si>
  <si>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</si>
  <si>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</si>
  <si>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</si>
  <si>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</si>
  <si>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</si>
  <si>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</si>
  <si>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</si>
  <si>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</si>
  <si>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</si>
  <si>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</si>
  <si>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</si>
  <si>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</si>
  <si>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</si>
  <si>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</si>
  <si>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</si>
  <si>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</si>
  <si>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</si>
  <si>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</si>
  <si>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</si>
  <si>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</si>
  <si>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</si>
  <si>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</si>
  <si>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</si>
  <si>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</si>
  <si>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</si>
  <si>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</si>
  <si>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</si>
  <si>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</si>
  <si>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</si>
  <si>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</si>
  <si>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</si>
  <si>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</si>
  <si>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</si>
  <si>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</si>
  <si>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</si>
  <si>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</si>
  <si>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</si>
  <si>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</si>
  <si>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</si>
  <si>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</si>
  <si>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</si>
  <si>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</si>
  <si>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</si>
  <si>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</si>
  <si>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</si>
  <si>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</si>
  <si>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</si>
  <si>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</si>
  <si>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</si>
  <si>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</si>
  <si>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</si>
  <si>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</si>
  <si>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</si>
  <si>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</si>
  <si>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</si>
  <si>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</si>
  <si>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</si>
  <si>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</si>
  <si>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</si>
  <si>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</si>
  <si>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</si>
  <si>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</si>
  <si>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</si>
  <si>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</si>
  <si>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</si>
  <si>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</si>
  <si>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</si>
  <si>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</si>
  <si>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</si>
  <si>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</si>
  <si>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</si>
  <si>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</si>
  <si>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</si>
  <si>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</si>
  <si>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</si>
  <si>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</si>
  <si>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</si>
  <si>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</si>
  <si>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</si>
  <si>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</si>
  <si>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</si>
  <si>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</si>
  <si>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</si>
  <si>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</si>
  <si>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</si>
  <si>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</si>
  <si>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</si>
  <si>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</si>
  <si>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</si>
  <si>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</si>
  <si>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</si>
  <si>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</si>
  <si>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</si>
  <si>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</si>
  <si>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</si>
  <si>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</si>
  <si>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</si>
  <si>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</si>
  <si>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</si>
  <si>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</si>
  <si>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</si>
  <si>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</si>
  <si>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</si>
  <si>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</si>
  <si>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</si>
  <si>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</si>
  <si>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</si>
  <si>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</si>
  <si>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</si>
  <si>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</si>
  <si>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</si>
  <si>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</si>
  <si>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</si>
  <si>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</si>
  <si>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</si>
  <si>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</si>
  <si>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</si>
  <si>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</si>
  <si>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</si>
  <si>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</si>
  <si>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</si>
  <si>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</si>
  <si>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</si>
  <si>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</si>
  <si>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</si>
  <si>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</si>
  <si>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</si>
  <si>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</si>
  <si>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</si>
  <si>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</si>
  <si>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</si>
  <si>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</si>
  <si>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</si>
  <si>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</si>
  <si>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</si>
  <si>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</si>
  <si>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</si>
  <si>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</si>
  <si>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</si>
  <si>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</si>
  <si>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</si>
  <si>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</si>
  <si>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</si>
  <si>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</si>
  <si>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</si>
  <si>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</si>
  <si>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</si>
  <si>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</si>
  <si>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</si>
  <si>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</si>
  <si>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</si>
  <si>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</si>
  <si>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</si>
  <si>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</si>
  <si>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</si>
  <si>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</si>
  <si>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</si>
  <si>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</si>
  <si>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</si>
  <si>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</si>
  <si>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</si>
  <si>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</si>
  <si>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</si>
  <si>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</si>
  <si>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</si>
  <si>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</si>
  <si>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</si>
  <si>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</si>
  <si>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</si>
  <si>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</si>
  <si>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</si>
  <si>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</si>
  <si>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</si>
  <si>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</si>
  <si>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</si>
  <si>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</si>
  <si>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</si>
  <si>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</si>
  <si>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</si>
  <si>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</si>
  <si>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</si>
  <si>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</si>
  <si>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</si>
  <si>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</si>
  <si>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</si>
  <si>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</si>
  <si>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</si>
  <si>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</si>
  <si>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</si>
  <si>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</si>
  <si>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</si>
  <si>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</si>
  <si>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</si>
  <si>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</si>
  <si>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</si>
  <si>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</si>
  <si>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</si>
  <si>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</si>
  <si>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</si>
  <si>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</si>
  <si>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</si>
  <si>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</si>
  <si>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</si>
  <si>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</si>
  <si>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</si>
  <si>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</si>
  <si>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</si>
  <si>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</si>
  <si>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</si>
  <si>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</si>
  <si>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</si>
  <si>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</si>
  <si>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</si>
  <si>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</si>
  <si>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</si>
  <si>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</si>
  <si>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</si>
  <si>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</si>
  <si>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</si>
  <si>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</si>
  <si>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</si>
  <si>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</si>
  <si>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</si>
  <si>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</si>
  <si>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</si>
  <si>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</si>
  <si>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</si>
  <si>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</si>
  <si>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</si>
  <si>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</si>
  <si>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</si>
  <si>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</si>
  <si>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</si>
  <si>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</si>
  <si>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</si>
  <si>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</si>
  <si>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</si>
  <si>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</si>
  <si>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</si>
  <si>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</si>
  <si>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</si>
  <si>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</si>
  <si>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</si>
  <si>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</si>
  <si>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</si>
  <si>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</si>
  <si>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</si>
  <si>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</si>
  <si>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</si>
  <si>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</si>
  <si>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</si>
  <si>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</si>
  <si>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</si>
  <si>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</si>
  <si>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</si>
  <si>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</si>
  <si>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</si>
  <si>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</si>
  <si>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</si>
  <si>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</si>
  <si>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</si>
  <si>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</si>
  <si>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</si>
  <si>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</si>
  <si>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</si>
  <si>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</si>
  <si>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</si>
  <si>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</si>
  <si>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</si>
  <si>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</si>
  <si>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</si>
  <si>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</si>
  <si>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</si>
  <si>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</si>
  <si>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</si>
  <si>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</si>
  <si>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</si>
  <si>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</si>
  <si>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</si>
  <si>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</si>
  <si>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</si>
  <si>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</si>
  <si>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</si>
  <si>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</si>
  <si>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</si>
  <si>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</si>
  <si>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</si>
  <si>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</si>
  <si>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</si>
  <si>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</si>
  <si>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</si>
  <si>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</si>
  <si>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</si>
  <si>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</si>
  <si>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</si>
  <si>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</si>
  <si>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</si>
  <si>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</si>
  <si>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</si>
  <si>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</si>
  <si>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</si>
  <si>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</si>
  <si>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</si>
  <si>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</si>
  <si>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</si>
  <si>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</si>
  <si>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</si>
  <si>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</si>
  <si>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</si>
  <si>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</si>
  <si>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</si>
  <si>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</si>
  <si>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</si>
  <si>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</si>
  <si>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</si>
  <si>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</si>
  <si>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</si>
  <si>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</si>
  <si>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</si>
  <si>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</si>
  <si>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</si>
  <si>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</si>
  <si>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</si>
  <si>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</si>
  <si>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</si>
  <si>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</si>
  <si>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</si>
  <si>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</si>
  <si>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</si>
  <si>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</si>
  <si>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</si>
  <si>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</si>
  <si>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</si>
  <si>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</si>
  <si>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</si>
  <si>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</si>
  <si>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</si>
  <si>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</si>
  <si>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</si>
  <si>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</si>
  <si>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</si>
  <si>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</si>
  <si>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</si>
  <si>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</si>
  <si>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</si>
  <si>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</si>
  <si>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</si>
  <si>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</si>
  <si>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</si>
  <si>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</si>
  <si>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</si>
  <si>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</si>
  <si>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</si>
  <si>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</si>
  <si>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</si>
  <si>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</si>
  <si>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</si>
  <si>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</si>
  <si>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</si>
  <si>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</si>
  <si>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</si>
  <si>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</si>
  <si>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</si>
  <si>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</si>
  <si>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</si>
  <si>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</si>
  <si>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</si>
  <si>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</si>
  <si>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</si>
  <si>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</si>
  <si>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</si>
  <si>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</si>
  <si>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</si>
  <si>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</si>
  <si>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</si>
  <si>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</si>
  <si>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</si>
  <si>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</si>
  <si>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</si>
  <si>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</si>
  <si>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</si>
  <si>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</si>
  <si>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</si>
  <si>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</si>
  <si>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</si>
  <si>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</si>
  <si>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</si>
  <si>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</si>
  <si>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</si>
  <si>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</si>
  <si>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</si>
  <si>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</si>
  <si>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</si>
  <si>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</si>
  <si>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</si>
  <si>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</si>
  <si>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</si>
  <si>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</si>
  <si>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</si>
  <si>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</si>
  <si>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</si>
  <si>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</si>
  <si>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</si>
  <si>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</si>
  <si>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</si>
  <si>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</si>
  <si>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</si>
  <si>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</si>
  <si>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</si>
  <si>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</si>
  <si>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</si>
  <si>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</si>
  <si>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</si>
  <si>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</si>
  <si>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</si>
  <si>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</si>
  <si>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</si>
  <si>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</si>
  <si>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</si>
  <si>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</si>
  <si>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</si>
  <si>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</si>
  <si>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</si>
  <si>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</si>
  <si>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</si>
  <si>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</si>
  <si>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</si>
  <si>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</si>
  <si>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</si>
  <si>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</si>
  <si>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</si>
  <si>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</si>
  <si>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</si>
  <si>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</si>
  <si>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</si>
  <si>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</si>
  <si>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</si>
  <si>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</si>
  <si>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</si>
  <si>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</si>
  <si>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</si>
  <si>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</si>
  <si>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</si>
  <si>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</si>
  <si>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</si>
  <si>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</si>
  <si>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</si>
  <si>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</si>
  <si>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</si>
  <si>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</si>
  <si>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</si>
  <si>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</si>
  <si>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</si>
  <si>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</si>
  <si>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</si>
  <si>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</si>
  <si>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</si>
  <si>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</si>
  <si>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</si>
  <si>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</si>
  <si>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</si>
  <si>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</si>
  <si>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</si>
  <si>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</si>
  <si>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</si>
  <si>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</si>
  <si>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</si>
  <si>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</si>
  <si>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</si>
  <si>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</si>
  <si>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</si>
  <si>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</si>
  <si>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</si>
  <si>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</si>
  <si>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</si>
  <si>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</si>
  <si>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</si>
  <si>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</si>
  <si>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</si>
  <si>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</si>
  <si>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</si>
  <si>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</si>
  <si>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</si>
  <si>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</si>
  <si>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</si>
  <si>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</si>
  <si>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</si>
  <si>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</si>
  <si>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</si>
  <si>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</si>
  <si>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</si>
  <si>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</si>
  <si>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</si>
  <si>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</si>
  <si>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</si>
  <si>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</si>
  <si>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</si>
  <si>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</si>
  <si>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</si>
  <si>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</si>
  <si>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</si>
  <si>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</si>
  <si>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</si>
  <si>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</si>
  <si>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</si>
  <si>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</si>
  <si>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</si>
  <si>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</si>
  <si>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</si>
  <si>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</si>
  <si>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</si>
  <si>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</si>
  <si>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</si>
  <si>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</si>
  <si>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</si>
  <si>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</si>
  <si>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</si>
  <si>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</si>
  <si>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</si>
  <si>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</si>
  <si>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</si>
  <si>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</si>
  <si>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</si>
  <si>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</si>
  <si>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</si>
  <si>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</si>
  <si>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</si>
  <si>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</si>
  <si>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</si>
  <si>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</si>
  <si>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</si>
  <si>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</si>
  <si>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</si>
  <si>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</si>
  <si>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</si>
  <si>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</si>
  <si>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</si>
  <si>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</si>
  <si>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</si>
  <si>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</si>
  <si>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</si>
  <si>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</si>
  <si>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</si>
  <si>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</si>
  <si>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</si>
  <si>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</si>
  <si>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</si>
  <si>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</si>
  <si>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</si>
  <si>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</si>
  <si>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</si>
  <si>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</si>
  <si>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</si>
  <si>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</si>
  <si>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</si>
  <si>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</si>
  <si>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</si>
  <si>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</si>
  <si>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</si>
  <si>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</si>
  <si>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</si>
  <si>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</si>
  <si>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</si>
  <si>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</si>
  <si>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</si>
  <si>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</si>
  <si>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</si>
  <si>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</si>
  <si>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</si>
  <si>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</si>
  <si>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</si>
  <si>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</si>
  <si>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</si>
  <si>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</si>
  <si>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</si>
  <si>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</si>
  <si>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</si>
  <si>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</si>
  <si>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</si>
  <si>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</si>
  <si>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</si>
  <si>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</si>
  <si>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</si>
  <si>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</si>
  <si>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</si>
  <si>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</si>
  <si>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</si>
  <si>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</si>
  <si>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</si>
  <si>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</si>
  <si>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</si>
  <si>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</si>
  <si>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</si>
  <si>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</si>
  <si>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</si>
  <si>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</si>
  <si>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</si>
  <si>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</si>
  <si>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</si>
  <si>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</si>
  <si>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</si>
  <si>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</si>
  <si>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</si>
  <si>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</si>
  <si>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</si>
  <si>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</si>
  <si>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</si>
  <si>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</si>
  <si>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</si>
  <si>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</si>
  <si>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</si>
  <si>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</si>
  <si>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</si>
  <si>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</si>
  <si>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</si>
  <si>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</si>
  <si>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</si>
  <si>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</si>
  <si>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</si>
  <si>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</si>
  <si>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</si>
  <si>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</si>
  <si>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</si>
  <si>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</si>
  <si>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</si>
  <si>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</si>
  <si>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</si>
  <si>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</si>
  <si>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</si>
  <si>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</si>
  <si>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</si>
  <si>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</si>
  <si>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</si>
  <si>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</si>
  <si>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</si>
  <si>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</si>
  <si>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</si>
  <si>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</si>
  <si>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</si>
  <si>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</si>
  <si>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</si>
  <si>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</si>
  <si>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</si>
  <si>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</si>
  <si>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</si>
  <si>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</si>
  <si>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</si>
  <si>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</si>
  <si>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</si>
  <si>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</si>
  <si>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</si>
  <si>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</si>
  <si>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</si>
  <si>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</si>
  <si>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</si>
  <si>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</si>
  <si>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</si>
  <si>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</si>
  <si>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</si>
  <si>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</si>
  <si>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</si>
  <si>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</si>
  <si>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</si>
  <si>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</si>
  <si>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</si>
  <si>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</si>
  <si>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</si>
  <si>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</si>
  <si>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</si>
  <si>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</si>
  <si>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</si>
  <si>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</si>
  <si>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</si>
  <si>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</si>
  <si>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</si>
  <si>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</si>
  <si>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</si>
  <si>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</si>
  <si>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</si>
  <si>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</si>
  <si>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</si>
  <si>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</si>
  <si>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</si>
  <si>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</si>
  <si>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</si>
  <si>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</si>
  <si>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</si>
  <si>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</si>
  <si>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</si>
  <si>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</si>
  <si>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</si>
  <si>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</si>
  <si>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</si>
  <si>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</si>
  <si>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</si>
  <si>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</si>
  <si>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</si>
  <si>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</si>
  <si>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</si>
  <si>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</si>
  <si>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</si>
  <si>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</si>
  <si>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</si>
  <si>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</si>
  <si>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</si>
  <si>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</si>
  <si>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</si>
  <si>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</si>
  <si>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</si>
  <si>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</si>
  <si>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</si>
  <si>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</si>
  <si>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</si>
  <si>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</si>
  <si>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</si>
  <si>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</si>
  <si>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</si>
  <si>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</si>
  <si>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</si>
  <si>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</si>
  <si>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</si>
  <si>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</si>
  <si>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</si>
  <si>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</si>
  <si>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</si>
  <si>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</si>
  <si>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</si>
  <si>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</si>
  <si>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</si>
  <si>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</si>
  <si>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</si>
  <si>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</si>
  <si>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</si>
  <si>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</si>
  <si>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</si>
  <si>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</si>
  <si>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</si>
  <si>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</si>
  <si>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</si>
  <si>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</si>
  <si>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</si>
  <si>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</si>
  <si>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</si>
  <si>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</si>
  <si>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</si>
  <si>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</si>
  <si>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</si>
  <si>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</si>
  <si>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</si>
  <si>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</si>
  <si>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</si>
  <si>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</si>
  <si>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</si>
  <si>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</si>
  <si>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</si>
  <si>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</si>
  <si>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</si>
  <si>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</si>
  <si>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</si>
  <si>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</si>
  <si>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</si>
  <si>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</si>
  <si>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</si>
  <si>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</si>
  <si>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</si>
  <si>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</si>
  <si>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</si>
  <si>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</si>
  <si>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</si>
  <si>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</si>
  <si>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</si>
  <si>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</si>
  <si>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</si>
  <si>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</si>
  <si>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</si>
  <si>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</si>
  <si>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</si>
  <si>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</si>
  <si>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</si>
  <si>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</si>
  <si>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</si>
  <si>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</si>
  <si>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</si>
  <si>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</si>
  <si>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</si>
  <si>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</si>
  <si>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</si>
  <si>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</si>
  <si>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</si>
  <si>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</si>
  <si>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</si>
  <si>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</si>
  <si>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</si>
  <si>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</si>
  <si>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</si>
  <si>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</si>
  <si>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</si>
  <si>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</si>
  <si>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</si>
  <si>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</si>
  <si>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</si>
  <si>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</si>
  <si>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</si>
  <si>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</si>
  <si>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</si>
  <si>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</si>
  <si>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</si>
  <si>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</si>
  <si>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</si>
  <si>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</si>
  <si>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</si>
  <si>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</si>
  <si>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</si>
  <si>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</si>
  <si>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</si>
  <si>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</si>
  <si>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</si>
  <si>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</si>
  <si>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</si>
  <si>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</si>
  <si>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</si>
  <si>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</si>
  <si>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</si>
  <si>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</si>
  <si>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</si>
  <si>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</si>
  <si>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</si>
  <si>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</si>
  <si>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</si>
  <si>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</si>
  <si>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</si>
  <si>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</si>
  <si>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</si>
  <si>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</si>
  <si>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</si>
  <si>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</si>
  <si>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</si>
  <si>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</si>
  <si>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</si>
  <si>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</si>
  <si>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</si>
  <si>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</si>
  <si>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</si>
  <si>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</si>
  <si>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</si>
  <si>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</si>
  <si>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</si>
  <si>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</si>
  <si>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</si>
  <si>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</si>
  <si>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</si>
  <si>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</si>
  <si>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</si>
  <si>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</si>
  <si>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</si>
  <si>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</si>
  <si>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</si>
  <si>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</si>
  <si>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</si>
  <si>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</si>
  <si>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</si>
  <si>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</si>
  <si>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</si>
  <si>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</si>
  <si>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</si>
  <si>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</si>
  <si>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</si>
  <si>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</si>
  <si>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</si>
  <si>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</si>
  <si>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</si>
  <si>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</si>
  <si>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</si>
  <si>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</si>
  <si>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</si>
  <si>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</si>
  <si>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</si>
  <si>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</si>
  <si>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</si>
  <si>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</si>
  <si>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</si>
  <si>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</si>
  <si>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</si>
  <si>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</si>
  <si>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</si>
  <si>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</si>
  <si>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</si>
  <si>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</si>
  <si>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</si>
  <si>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</si>
  <si>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</si>
  <si>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</si>
  <si>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</si>
  <si>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</si>
  <si>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</si>
  <si>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</si>
  <si>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</si>
  <si>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</si>
  <si>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</si>
  <si>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</si>
  <si>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</si>
  <si>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</si>
  <si>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</si>
  <si>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</si>
  <si>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</si>
  <si>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</si>
  <si>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</si>
  <si>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</si>
  <si>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</si>
  <si>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</si>
  <si>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</si>
  <si>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</si>
  <si>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</si>
  <si>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</si>
  <si>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</si>
  <si>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</si>
  <si>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</si>
  <si>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</si>
  <si>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</si>
  <si>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</si>
  <si>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</si>
  <si>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</si>
  <si>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</si>
  <si>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</si>
  <si>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</si>
  <si>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</si>
  <si>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</si>
  <si>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</si>
  <si>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</si>
  <si>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</si>
  <si>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</si>
  <si>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</si>
  <si>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</si>
  <si>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</si>
  <si>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</si>
  <si>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</si>
  <si>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</si>
  <si>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</si>
  <si>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</si>
  <si>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</si>
  <si>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</si>
  <si>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</si>
  <si>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</si>
  <si>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</si>
  <si>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</si>
  <si>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</si>
  <si>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</si>
  <si>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</si>
  <si>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</si>
  <si>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</si>
  <si>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</si>
  <si>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</si>
  <si>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</si>
  <si>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</si>
  <si>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</si>
  <si>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</si>
  <si>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</si>
  <si>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</si>
  <si>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</si>
  <si>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</si>
  <si>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</si>
  <si>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</si>
  <si>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</si>
  <si>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</si>
  <si>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</si>
  <si>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</si>
  <si>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</si>
  <si>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</si>
  <si>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</si>
  <si>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</si>
  <si>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</si>
  <si>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</si>
  <si>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</si>
  <si>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</si>
  <si>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</si>
  <si>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</si>
  <si>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</si>
  <si>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</si>
  <si>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</si>
  <si>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</si>
  <si>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</si>
  <si>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</si>
  <si>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</si>
  <si>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</si>
  <si>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</si>
  <si>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</si>
  <si>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</si>
  <si>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</si>
  <si>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</si>
  <si>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</si>
  <si>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</si>
  <si>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</si>
  <si>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</si>
  <si>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</si>
  <si>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</si>
  <si>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</si>
  <si>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</si>
  <si>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</si>
  <si>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</si>
  <si>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</si>
  <si>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</si>
  <si>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</si>
  <si>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</si>
  <si>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</si>
  <si>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</si>
  <si>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</si>
  <si>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</si>
  <si>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</si>
  <si>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</si>
  <si>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</si>
  <si>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</si>
  <si>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</si>
  <si>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</si>
  <si>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</si>
  <si>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</si>
  <si>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</si>
  <si>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</si>
  <si>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</si>
  <si>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</si>
  <si>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</si>
  <si>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</si>
  <si>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</si>
  <si>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</si>
  <si>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</si>
  <si>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</si>
  <si>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</si>
  <si>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</si>
  <si>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</si>
  <si>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</si>
  <si>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</si>
  <si>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</si>
  <si>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</si>
  <si>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</si>
  <si>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</si>
  <si>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</si>
  <si>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</si>
  <si>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</si>
  <si>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</si>
  <si>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</si>
  <si>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</si>
  <si>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</si>
  <si>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</si>
  <si>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</si>
  <si>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</si>
  <si>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</si>
  <si>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</si>
  <si>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</si>
  <si>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</si>
  <si>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</si>
  <si>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</si>
  <si>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</si>
  <si>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</si>
  <si>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</si>
  <si>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</si>
  <si>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</si>
  <si>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</si>
  <si>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</si>
  <si>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</si>
  <si>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</si>
  <si>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</si>
  <si>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</si>
  <si>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</si>
  <si>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</si>
  <si>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</si>
  <si>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</si>
  <si>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</si>
  <si>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</si>
  <si>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</si>
  <si>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</si>
  <si>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</si>
  <si>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</si>
  <si>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</si>
  <si>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</si>
  <si>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</si>
  <si>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</si>
  <si>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</si>
  <si>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</si>
  <si>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</si>
  <si>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</si>
  <si>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</si>
  <si>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</si>
  <si>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</si>
  <si>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</si>
  <si>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</si>
  <si>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</si>
  <si>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</si>
  <si>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</si>
  <si>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</si>
  <si>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</si>
  <si>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</si>
  <si>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</si>
  <si>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</si>
  <si>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</si>
  <si>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</si>
  <si>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</si>
  <si>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</si>
  <si>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</si>
  <si>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</si>
  <si>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</si>
  <si>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</si>
  <si>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</si>
  <si>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</si>
  <si>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</si>
  <si>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</si>
  <si>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</si>
  <si>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</si>
  <si>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</si>
  <si>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</si>
  <si>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</si>
  <si>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</si>
  <si>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</si>
  <si>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</si>
  <si>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</si>
  <si>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</si>
  <si>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</si>
  <si>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</si>
  <si>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</si>
  <si>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</si>
  <si>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</si>
  <si>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</si>
  <si>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</si>
  <si>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</si>
  <si>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</si>
  <si>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</si>
  <si>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</si>
  <si>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</si>
  <si>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</si>
  <si>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</si>
  <si>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</si>
  <si>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</si>
  <si>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</si>
  <si>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</si>
  <si>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</si>
  <si>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</si>
  <si>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</si>
  <si>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</si>
  <si>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</si>
  <si>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</si>
  <si>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</si>
  <si>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</si>
  <si>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</si>
  <si>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</si>
  <si>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</si>
  <si>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</si>
  <si>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</si>
  <si>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</si>
  <si>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</si>
  <si>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</si>
  <si>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</si>
  <si>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</si>
  <si>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</si>
  <si>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</si>
  <si>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</si>
  <si>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</si>
  <si>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</si>
  <si>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</si>
  <si>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</si>
  <si>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</si>
  <si>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</si>
  <si>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</si>
  <si>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</si>
  <si>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</si>
  <si>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</si>
  <si>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</si>
  <si>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</si>
  <si>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</si>
  <si>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</si>
  <si>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</si>
  <si>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</si>
  <si>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</si>
  <si>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</si>
  <si>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</si>
  <si>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</si>
  <si>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</si>
  <si>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</si>
  <si>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</si>
  <si>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</si>
  <si>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</si>
  <si>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</si>
  <si>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</si>
  <si>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</si>
  <si>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</si>
  <si>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</si>
  <si>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</si>
  <si>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</si>
  <si>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</si>
  <si>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</si>
  <si>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</si>
  <si>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</si>
  <si>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</si>
  <si>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</si>
  <si>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</si>
  <si>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</si>
  <si>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</si>
  <si>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</si>
  <si>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</si>
  <si>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</si>
  <si>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</si>
  <si>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</si>
  <si>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</si>
  <si>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</si>
  <si>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</si>
  <si>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</si>
  <si>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</si>
  <si>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</si>
  <si>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</si>
  <si>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</si>
  <si>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</si>
  <si>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</si>
  <si>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</si>
  <si>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</si>
  <si>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</si>
  <si>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</si>
  <si>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</si>
  <si>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</si>
  <si>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</si>
  <si>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</si>
  <si>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</si>
  <si>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</si>
  <si>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</si>
  <si>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</si>
  <si>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</si>
  <si>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</si>
  <si>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</si>
  <si>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</si>
  <si>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</si>
  <si>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</si>
  <si>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</si>
  <si>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</si>
  <si>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</si>
  <si>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</si>
  <si>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</si>
  <si>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</si>
  <si>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</si>
  <si>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</si>
  <si>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</si>
  <si>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</si>
  <si>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</si>
  <si>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</si>
  <si>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</si>
  <si>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</si>
  <si>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</si>
  <si>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</si>
  <si>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</si>
  <si>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</si>
  <si>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</si>
  <si>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</si>
  <si>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</si>
  <si>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</si>
  <si>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</si>
  <si>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</si>
  <si>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</si>
  <si>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</si>
  <si>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</si>
  <si>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</si>
  <si>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</si>
  <si>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</si>
  <si>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</si>
  <si>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</si>
  <si>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</si>
  <si>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</si>
  <si>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</si>
  <si>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</si>
  <si>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</si>
  <si>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</si>
  <si>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</si>
  <si>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</si>
  <si>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</si>
  <si>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</si>
  <si>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</si>
  <si>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</si>
  <si>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</si>
  <si>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</si>
  <si>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</si>
  <si>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</si>
  <si>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</si>
  <si>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</si>
  <si>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</si>
  <si>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</si>
  <si>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</si>
  <si>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</si>
  <si>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</si>
  <si>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</si>
  <si>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</si>
  <si>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</si>
  <si>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</si>
  <si>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</si>
  <si>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</si>
  <si>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</si>
  <si>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</si>
  <si>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</si>
  <si>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</si>
  <si>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</si>
  <si>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</si>
  <si>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</si>
  <si>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</si>
  <si>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</si>
  <si>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</si>
  <si>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</si>
  <si>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</si>
  <si>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</si>
  <si>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</si>
  <si>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</si>
  <si>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</si>
  <si>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</si>
  <si>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</si>
  <si>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</si>
  <si>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</si>
  <si>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</si>
  <si>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</si>
  <si>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</si>
  <si>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</si>
  <si>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</si>
  <si>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</si>
  <si>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</si>
  <si>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</si>
  <si>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</si>
  <si>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</si>
  <si>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</si>
  <si>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</si>
  <si>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</si>
  <si>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</si>
  <si>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</si>
  <si>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</si>
  <si>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</si>
  <si>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</si>
  <si>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</si>
  <si>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</si>
  <si>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</si>
  <si>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</si>
  <si>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</si>
  <si>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</si>
  <si>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</si>
  <si>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</si>
  <si>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</si>
  <si>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</si>
  <si>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</si>
  <si>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</si>
  <si>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</si>
  <si>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</si>
  <si>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</si>
  <si>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</si>
  <si>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</si>
  <si>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</si>
  <si>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</si>
  <si>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</si>
  <si>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</si>
  <si>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</si>
  <si>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</si>
  <si>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</si>
  <si>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</si>
  <si>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</si>
  <si>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</si>
  <si>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</si>
  <si>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</si>
  <si>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</si>
  <si>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</si>
  <si>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</si>
  <si>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</si>
  <si>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</si>
  <si>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</si>
  <si>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</si>
  <si>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</si>
  <si>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</si>
  <si>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</si>
  <si>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</si>
  <si>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</si>
  <si>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</si>
  <si>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</si>
  <si>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</si>
  <si>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</si>
  <si>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</si>
  <si>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</si>
  <si>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</si>
  <si>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</si>
  <si>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</si>
  <si>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</si>
  <si>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</si>
  <si>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</si>
  <si>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</si>
  <si>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</si>
  <si>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</si>
  <si>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</si>
  <si>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</si>
  <si>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</si>
  <si>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</si>
  <si>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</si>
  <si>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</si>
  <si>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</si>
  <si>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</si>
  <si>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</si>
  <si>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</si>
  <si>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</si>
  <si>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</si>
  <si>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</si>
  <si>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</si>
  <si>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</si>
  <si>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</si>
  <si>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</si>
  <si>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</si>
  <si>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</si>
  <si>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</si>
  <si>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</si>
  <si>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</si>
  <si>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</si>
  <si>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</si>
  <si>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</si>
  <si>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</si>
  <si>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</si>
  <si>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</si>
  <si>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</si>
  <si>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</si>
  <si>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</si>
  <si>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</si>
  <si>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</si>
  <si>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</si>
  <si>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</si>
  <si>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</si>
  <si>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</si>
  <si>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</si>
  <si>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</si>
  <si>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</si>
  <si>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</si>
  <si>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</si>
  <si>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</si>
  <si>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</si>
  <si>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</si>
  <si>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</si>
  <si>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</si>
  <si>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</si>
  <si>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</si>
  <si>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</si>
  <si>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</si>
  <si>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</si>
  <si>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</si>
  <si>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</si>
  <si>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</si>
  <si>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</si>
  <si>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</si>
  <si>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</si>
  <si>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</si>
  <si>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</si>
  <si>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</si>
  <si>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</si>
  <si>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</si>
  <si>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</si>
  <si>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</si>
  <si>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</si>
  <si>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</si>
  <si>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</si>
  <si>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</si>
  <si>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</si>
  <si>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</si>
  <si>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</si>
  <si>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</si>
  <si>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</si>
  <si>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</si>
  <si>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</si>
  <si>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</si>
  <si>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</si>
  <si>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</si>
  <si>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</si>
  <si>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</si>
  <si>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</si>
  <si>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</si>
  <si>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</si>
  <si>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</si>
  <si>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</si>
  <si>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</si>
  <si>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</si>
  <si>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</si>
  <si>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</si>
  <si>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</si>
  <si>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</si>
  <si>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</si>
  <si>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</si>
  <si>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</si>
  <si>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</si>
  <si>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</si>
  <si>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</si>
  <si>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</si>
  <si>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</si>
  <si>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</si>
  <si>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</si>
  <si>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</si>
  <si>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</si>
  <si>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</si>
  <si>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</si>
  <si>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</si>
  <si>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</si>
  <si>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</si>
  <si>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</si>
  <si>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</si>
  <si>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</si>
  <si>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</si>
  <si>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</si>
  <si>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</si>
  <si>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</si>
  <si>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</si>
  <si>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</si>
  <si>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</si>
  <si>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</si>
  <si>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</si>
  <si>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</si>
  <si>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</si>
  <si>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</si>
  <si>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</si>
  <si>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</si>
  <si>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</si>
  <si>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</si>
  <si>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</si>
  <si>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</si>
  <si>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</si>
  <si>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</si>
  <si>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</si>
  <si>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</si>
  <si>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</si>
  <si>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</si>
  <si>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</si>
  <si>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</si>
  <si>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</si>
  <si>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</si>
  <si>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</si>
  <si>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</si>
  <si>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</si>
  <si>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</si>
  <si>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</si>
  <si>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</si>
  <si>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</si>
  <si>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</si>
  <si>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</si>
  <si>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</si>
  <si>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</si>
  <si>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</si>
  <si>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</si>
  <si>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</si>
  <si>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</si>
  <si>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</si>
  <si>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</si>
  <si>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</si>
  <si>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</si>
  <si>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</si>
  <si>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</si>
  <si>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</si>
  <si>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</si>
  <si>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</si>
  <si>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</si>
  <si>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</si>
  <si>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</si>
  <si>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</si>
  <si>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</si>
  <si>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</si>
  <si>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</si>
  <si>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</si>
  <si>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</si>
  <si>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</si>
  <si>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</si>
  <si>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</si>
  <si>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</si>
  <si>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</si>
  <si>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</si>
  <si>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</si>
  <si>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</si>
  <si>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</si>
  <si>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</si>
  <si>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</si>
  <si>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</si>
  <si>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</si>
  <si>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</si>
  <si>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</si>
  <si>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</si>
  <si>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</si>
  <si>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</si>
  <si>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</si>
  <si>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</si>
  <si>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</si>
  <si>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</si>
  <si>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</si>
  <si>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</si>
  <si>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</si>
  <si>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</si>
  <si>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</si>
  <si>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</si>
  <si>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</si>
  <si>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</si>
  <si>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</si>
  <si>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</si>
  <si>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</si>
  <si>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</si>
  <si>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</si>
  <si>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</si>
  <si>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</si>
  <si>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</si>
  <si>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</si>
  <si>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</si>
  <si>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</si>
  <si>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</si>
  <si>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</si>
  <si>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</si>
  <si>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</si>
  <si>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</si>
  <si>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</si>
  <si>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</si>
  <si>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</si>
  <si>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</si>
  <si>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</si>
  <si>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</si>
  <si>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</si>
  <si>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</si>
  <si>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</si>
  <si>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</si>
  <si>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</si>
  <si>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</si>
  <si>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</si>
  <si>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</si>
  <si>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</si>
  <si>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</si>
  <si>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</si>
  <si>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</si>
  <si>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</si>
  <si>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</si>
  <si>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</si>
  <si>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</si>
  <si>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</si>
  <si>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</si>
  <si>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</si>
  <si>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</si>
  <si>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</si>
  <si>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</si>
  <si>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</si>
  <si>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</si>
  <si>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</si>
  <si>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</si>
  <si>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</si>
  <si>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</si>
  <si>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</si>
  <si>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</si>
  <si>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</si>
  <si>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</si>
  <si>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</si>
  <si>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</si>
  <si>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</si>
  <si>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</si>
  <si>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</si>
  <si>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</si>
  <si>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</si>
  <si>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</si>
  <si>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</si>
  <si>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</si>
  <si>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</si>
  <si>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</si>
  <si>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</si>
  <si>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</si>
  <si>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</si>
  <si>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</si>
  <si>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</si>
  <si>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</si>
  <si>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</si>
  <si>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</si>
  <si>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</si>
  <si>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</si>
  <si>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</si>
  <si>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</si>
  <si>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</si>
  <si>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</si>
  <si>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</si>
  <si>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</si>
  <si>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</si>
  <si>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</si>
  <si>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</si>
  <si>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</si>
  <si>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</si>
  <si>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</si>
  <si>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</si>
  <si>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</si>
  <si>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</si>
  <si>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</si>
  <si>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</si>
  <si>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</si>
  <si>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</si>
  <si>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</si>
  <si>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</si>
  <si>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</si>
  <si>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</si>
  <si>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</si>
  <si>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</si>
  <si>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</si>
  <si>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</si>
  <si>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</si>
  <si>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</si>
  <si>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</si>
  <si>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</si>
  <si>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</si>
  <si>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</si>
  <si>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</si>
  <si>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</si>
  <si>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</si>
  <si>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</si>
  <si>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</si>
  <si>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</si>
  <si>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</si>
  <si>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</si>
  <si>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</si>
  <si>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</si>
  <si>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</si>
  <si>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</si>
  <si>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</si>
  <si>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</si>
  <si>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</si>
  <si>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</si>
  <si>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</si>
  <si>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</si>
  <si>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</si>
  <si>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</si>
  <si>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</si>
  <si>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</si>
  <si>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</si>
  <si>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</si>
  <si>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</si>
  <si>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</si>
  <si>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</si>
  <si>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</si>
  <si>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</si>
  <si>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</si>
  <si>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</si>
  <si>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</si>
  <si>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</si>
  <si>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</si>
  <si>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</si>
  <si>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</si>
  <si>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</si>
  <si>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</si>
  <si>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</si>
  <si>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</si>
  <si>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</si>
  <si>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</si>
  <si>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</si>
  <si>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</si>
  <si>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</si>
  <si>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</si>
  <si>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</si>
  <si>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</si>
  <si>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</si>
  <si>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</si>
  <si>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</si>
  <si>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</si>
  <si>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</si>
  <si>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</si>
  <si>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</si>
  <si>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</si>
  <si>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</si>
  <si>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</si>
  <si>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</si>
  <si>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</si>
  <si>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</si>
  <si>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</si>
  <si>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</si>
  <si>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</si>
  <si>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</si>
  <si>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</si>
  <si>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</si>
  <si>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</si>
  <si>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</si>
  <si>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</si>
  <si>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</si>
  <si>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</si>
  <si>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</si>
  <si>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</si>
  <si>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</si>
  <si>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</si>
  <si>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</si>
  <si>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</si>
  <si>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</si>
  <si>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</si>
  <si>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</si>
  <si>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</si>
  <si>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</si>
  <si>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</si>
  <si>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</si>
  <si>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</si>
  <si>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</si>
  <si>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</si>
  <si>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</si>
  <si>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</si>
  <si>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</si>
  <si>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</si>
  <si>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</si>
  <si>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</si>
  <si>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</si>
  <si>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</si>
  <si>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</si>
  <si>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</si>
  <si>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</si>
  <si>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</si>
  <si>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</si>
  <si>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</si>
  <si>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</si>
  <si>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</si>
  <si>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</si>
  <si>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</si>
  <si>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</si>
  <si>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</si>
  <si>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</si>
  <si>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</si>
  <si>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</si>
  <si>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</si>
  <si>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</si>
  <si>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</si>
  <si>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</si>
  <si>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</si>
  <si>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</si>
  <si>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</si>
  <si>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</si>
  <si>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</si>
  <si>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</si>
  <si>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</si>
  <si>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</si>
  <si>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</si>
  <si>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</si>
  <si>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</si>
  <si>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</si>
  <si>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</si>
  <si>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</si>
  <si>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</si>
  <si>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</si>
  <si>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</si>
  <si>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</si>
  <si>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</si>
  <si>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</si>
  <si>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</si>
  <si>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</si>
  <si>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</si>
  <si>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</si>
  <si>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</si>
  <si>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</si>
  <si>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</si>
  <si>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</si>
  <si>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</si>
  <si>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</si>
  <si>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</si>
  <si>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</si>
  <si>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</si>
  <si>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</si>
  <si>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</si>
  <si>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</si>
  <si>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</si>
  <si>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</si>
  <si>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</si>
  <si>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</si>
  <si>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</si>
  <si>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</si>
  <si>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</si>
  <si>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</si>
  <si>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</si>
  <si>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</si>
  <si>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</si>
  <si>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</si>
  <si>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</si>
  <si>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</si>
  <si>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</si>
  <si>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</si>
  <si>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</si>
  <si>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</si>
  <si>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</si>
  <si>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</si>
  <si>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</si>
  <si>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</si>
  <si>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</si>
  <si>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</si>
  <si>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</si>
  <si>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</si>
  <si>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</si>
  <si>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</si>
  <si>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</si>
  <si>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</si>
  <si>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</si>
  <si>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</si>
  <si>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</si>
  <si>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</si>
  <si>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</si>
  <si>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</si>
  <si>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</si>
  <si>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</si>
  <si>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</si>
  <si>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</si>
  <si>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</si>
  <si>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</si>
  <si>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</si>
  <si>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</si>
  <si>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</si>
  <si>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</si>
  <si>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</si>
  <si>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</si>
  <si>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</si>
  <si>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</si>
  <si>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</si>
  <si>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</si>
  <si>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</si>
  <si>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</si>
  <si>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</si>
  <si>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</si>
  <si>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</si>
  <si>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</si>
  <si>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</si>
  <si>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</si>
  <si>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</si>
  <si>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</si>
  <si>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</si>
  <si>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</si>
  <si>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</si>
  <si>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</si>
  <si>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</si>
  <si>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</si>
  <si>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</si>
  <si>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</si>
  <si>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</si>
  <si>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</si>
  <si>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</si>
  <si>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</si>
  <si>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</si>
  <si>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</si>
  <si>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</si>
  <si>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</si>
  <si>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</si>
  <si>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</si>
  <si>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</si>
  <si>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</si>
  <si>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</si>
  <si>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</si>
  <si>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</si>
  <si>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</si>
  <si>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</si>
  <si>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</si>
  <si>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</si>
  <si>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</si>
  <si>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</si>
  <si>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</si>
  <si>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</si>
  <si>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</si>
  <si>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</si>
  <si>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</si>
  <si>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</si>
  <si>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</si>
  <si>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</si>
  <si>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</si>
  <si>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</si>
  <si>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</si>
  <si>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</si>
  <si>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</si>
  <si>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</si>
  <si>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</si>
  <si>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</si>
  <si>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</si>
  <si>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</si>
  <si>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</si>
  <si>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</si>
  <si>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</si>
  <si>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</si>
  <si>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</si>
  <si>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</si>
  <si>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</si>
  <si>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</si>
  <si>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</si>
  <si>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</si>
  <si>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</si>
  <si>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</si>
  <si>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</si>
  <si>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</si>
  <si>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</si>
  <si>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</si>
  <si>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</si>
  <si>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</si>
  <si>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</si>
  <si>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</si>
  <si>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</si>
  <si>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</si>
  <si>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</si>
  <si>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</si>
  <si>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</si>
  <si>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</si>
  <si>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</si>
  <si>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</si>
  <si>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</si>
  <si>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</si>
  <si>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</si>
  <si>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</si>
  <si>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</si>
  <si>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</si>
  <si>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</si>
  <si>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</si>
  <si>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</si>
  <si>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</si>
  <si>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</si>
  <si>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</si>
  <si>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</si>
  <si>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</si>
  <si>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</si>
  <si>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</si>
  <si>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</si>
  <si>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</si>
  <si>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</si>
  <si>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</si>
  <si>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</si>
  <si>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</si>
  <si>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</si>
  <si>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</si>
  <si>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</si>
  <si>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</si>
  <si>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</si>
  <si>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</si>
  <si>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</si>
  <si>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</si>
  <si>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</si>
  <si>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</si>
  <si>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</si>
  <si>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</si>
  <si>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</si>
  <si>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</si>
  <si>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</si>
  <si>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</si>
  <si>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</si>
  <si>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</si>
  <si>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</si>
  <si>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</si>
  <si>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</si>
  <si>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</si>
  <si>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</si>
  <si>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</si>
  <si>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</si>
  <si>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</si>
  <si>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</si>
  <si>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</si>
  <si>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</si>
  <si>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</si>
  <si>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</si>
  <si>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</si>
  <si>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</si>
  <si>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</si>
  <si>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</si>
  <si>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</si>
  <si>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</si>
  <si>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</si>
  <si>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</si>
  <si>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</si>
  <si>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</si>
  <si>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</si>
  <si>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</si>
  <si>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</si>
  <si>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</si>
  <si>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</si>
  <si>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</si>
  <si>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</si>
  <si>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</si>
  <si>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</si>
  <si>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</si>
  <si>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</si>
  <si>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</si>
  <si>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</si>
  <si>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</si>
  <si>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</si>
  <si>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</si>
  <si>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</si>
  <si>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</si>
  <si>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</si>
  <si>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</si>
  <si>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</si>
  <si>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</si>
  <si>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</si>
  <si>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</si>
  <si>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</si>
  <si>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</si>
  <si>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</si>
  <si>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</si>
  <si>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</si>
  <si>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</si>
  <si>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</si>
  <si>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</si>
  <si>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</si>
  <si>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</si>
  <si>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</si>
  <si>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</si>
  <si>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</si>
  <si>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</si>
  <si>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</si>
  <si>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</si>
  <si>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</si>
  <si>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</si>
  <si>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</si>
  <si>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</si>
  <si>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</si>
  <si>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</si>
  <si>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</si>
  <si>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</si>
  <si>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</si>
  <si>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</si>
  <si>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</si>
  <si>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</si>
  <si>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</si>
  <si>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</si>
  <si>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</si>
  <si>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</si>
  <si>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</si>
  <si>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</si>
  <si>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</si>
  <si>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</si>
  <si>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</si>
  <si>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</si>
  <si>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</si>
  <si>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</si>
  <si>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</si>
  <si>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</si>
  <si>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</si>
  <si>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</si>
  <si>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</si>
  <si>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</si>
  <si>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</si>
  <si>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</si>
  <si>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</si>
  <si>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</si>
  <si>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</si>
  <si>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</si>
  <si>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</si>
  <si>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</si>
  <si>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</si>
  <si>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</si>
  <si>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</si>
  <si>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</si>
  <si>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</si>
  <si>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</si>
  <si>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</si>
  <si>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</si>
  <si>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</si>
  <si>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</si>
  <si>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</si>
  <si>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</si>
  <si>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</si>
  <si>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</si>
  <si>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</si>
  <si>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</si>
  <si>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</si>
  <si>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</si>
  <si>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</si>
  <si>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</si>
  <si>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</si>
  <si>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</si>
  <si>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</si>
  <si>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</si>
  <si>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</si>
  <si>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</si>
  <si>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</si>
  <si>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</si>
  <si>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</si>
  <si>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</si>
  <si>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</si>
  <si>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</si>
  <si>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</si>
  <si>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</si>
  <si>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</si>
  <si>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</si>
  <si>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</si>
  <si>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</si>
  <si>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</si>
  <si>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</si>
  <si>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</si>
  <si>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</si>
  <si>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</si>
  <si>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</si>
  <si>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</si>
  <si>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</si>
  <si>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</si>
  <si>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</si>
  <si>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</si>
  <si>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</si>
  <si>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</si>
  <si>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</si>
  <si>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</si>
  <si>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</si>
  <si>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</si>
  <si>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</si>
  <si>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</si>
  <si>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</si>
  <si>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</si>
  <si>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</si>
  <si>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</si>
  <si>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</si>
  <si>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</si>
  <si>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</si>
  <si>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</si>
  <si>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</si>
  <si>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</si>
  <si>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</si>
  <si>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</si>
  <si>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</si>
  <si>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</si>
  <si>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</si>
  <si>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</si>
  <si>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</si>
  <si>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</si>
  <si>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</si>
  <si>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</si>
  <si>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</si>
  <si>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</si>
  <si>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</si>
  <si>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</si>
  <si>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</si>
  <si>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</si>
  <si>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</si>
  <si>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</si>
  <si>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</si>
  <si>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</si>
  <si>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</si>
  <si>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</si>
  <si>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</si>
  <si>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</si>
  <si>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</si>
  <si>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</si>
  <si>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</si>
  <si>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</si>
  <si>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</si>
  <si>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</si>
  <si>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</si>
  <si>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</si>
  <si>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</si>
  <si>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</si>
  <si>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</si>
  <si>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</si>
  <si>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</si>
  <si>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</si>
  <si>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</si>
  <si>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</si>
  <si>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</si>
  <si>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</si>
  <si>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</si>
  <si>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</si>
  <si>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</si>
  <si>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</si>
  <si>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</si>
  <si>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</si>
  <si>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</si>
  <si>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</si>
  <si>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</si>
  <si>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</si>
  <si>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</si>
  <si>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</si>
  <si>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</si>
  <si>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</si>
  <si>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</si>
  <si>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</si>
  <si>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</si>
  <si>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</si>
  <si>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</si>
  <si>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</si>
  <si>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</si>
  <si>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</si>
  <si>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</si>
  <si>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</si>
  <si>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</si>
  <si>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</si>
  <si>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</si>
  <si>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</si>
  <si>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</si>
  <si>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</si>
  <si>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</si>
  <si>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</si>
  <si>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</si>
  <si>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</si>
  <si>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</si>
  <si>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</si>
  <si>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</si>
  <si>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</si>
  <si>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</si>
  <si>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</si>
  <si>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</si>
  <si>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</si>
  <si>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</si>
  <si>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</si>
  <si>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</si>
  <si>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</si>
  <si>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</si>
  <si>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</si>
  <si>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</si>
  <si>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</si>
  <si>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</si>
  <si>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</si>
  <si>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</si>
  <si>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</si>
  <si>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</si>
  <si>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</si>
  <si>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</si>
  <si>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</si>
  <si>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</si>
  <si>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</si>
  <si>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</si>
  <si>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</si>
  <si>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</si>
  <si>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</si>
  <si>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</si>
  <si>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</si>
  <si>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</si>
  <si>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</si>
  <si>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</si>
  <si>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</si>
  <si>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</si>
  <si>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</si>
  <si>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</si>
  <si>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</si>
  <si>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</si>
  <si>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</si>
  <si>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</si>
  <si>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</si>
  <si>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</si>
  <si>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</si>
  <si>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</si>
  <si>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</si>
  <si>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</si>
  <si>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</si>
  <si>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</si>
  <si>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</si>
  <si>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</si>
  <si>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</si>
  <si>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</si>
  <si>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</si>
  <si>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</si>
  <si>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</si>
  <si>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</si>
  <si>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</si>
  <si>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</si>
  <si>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</si>
  <si>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</si>
  <si>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</si>
  <si>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</si>
  <si>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</si>
  <si>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</si>
  <si>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</si>
  <si>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</si>
  <si>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</si>
  <si>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</si>
  <si>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</si>
  <si>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</si>
  <si>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</si>
  <si>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</si>
  <si>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</si>
  <si>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</si>
  <si>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</si>
  <si>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</si>
  <si>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</si>
  <si>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</si>
  <si>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</si>
  <si>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</si>
  <si>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</si>
  <si>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</si>
  <si>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</si>
  <si>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</si>
  <si>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</si>
  <si>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</si>
  <si>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</si>
  <si>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</si>
  <si>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</si>
  <si>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</si>
  <si>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</si>
  <si>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</si>
  <si>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</si>
  <si>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</si>
  <si>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</si>
  <si>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</si>
  <si>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</si>
  <si>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</si>
  <si>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</si>
  <si>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</si>
  <si>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</si>
  <si>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</si>
  <si>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</si>
  <si>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</si>
  <si>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</si>
  <si>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</si>
  <si>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</si>
  <si>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</si>
  <si>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</si>
  <si>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</si>
  <si>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</si>
  <si>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</si>
  <si>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</si>
  <si>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</si>
  <si>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</si>
  <si>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</si>
  <si>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</si>
  <si>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</si>
  <si>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</si>
  <si>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</si>
  <si>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</si>
  <si>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</si>
  <si>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</si>
  <si>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</si>
  <si>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</si>
  <si>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</si>
  <si>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</si>
  <si>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</si>
  <si>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</si>
  <si>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</si>
  <si>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</si>
  <si>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</si>
  <si>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</si>
  <si>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</si>
  <si>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</si>
  <si>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</si>
  <si>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</si>
  <si>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</si>
  <si>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</si>
  <si>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</si>
  <si>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</si>
  <si>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</si>
  <si>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</si>
  <si>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</si>
  <si>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</si>
  <si>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</si>
  <si>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</si>
  <si>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</si>
  <si>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</si>
  <si>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</si>
  <si>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</si>
  <si>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</si>
  <si>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</si>
  <si>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</si>
  <si>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</si>
  <si>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</si>
  <si>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</si>
  <si>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</si>
  <si>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</si>
  <si>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</si>
  <si>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</si>
  <si>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</si>
  <si>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</si>
  <si>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</si>
  <si>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</si>
  <si>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</si>
  <si>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</si>
  <si>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</si>
  <si>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</si>
  <si>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</si>
  <si>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</si>
  <si>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</si>
  <si>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</si>
  <si>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</si>
  <si>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</si>
  <si>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</si>
  <si>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</si>
  <si>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</si>
  <si>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</si>
  <si>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</si>
  <si>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</si>
  <si>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</si>
  <si>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</si>
  <si>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</si>
  <si>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</si>
  <si>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</si>
  <si>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</si>
  <si>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</si>
  <si>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</si>
  <si>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</si>
  <si>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</si>
  <si>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</si>
  <si>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</si>
  <si>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</si>
  <si>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</si>
  <si>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</si>
  <si>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</si>
  <si>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</si>
  <si>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</si>
  <si>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</si>
  <si>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</si>
  <si>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</si>
  <si>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</si>
  <si>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</si>
  <si>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</si>
  <si>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</si>
  <si>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</si>
  <si>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</si>
  <si>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</si>
  <si>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</si>
  <si>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</si>
  <si>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</si>
  <si>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</si>
  <si>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</si>
  <si>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</si>
  <si>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</si>
  <si>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</si>
  <si>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</si>
  <si>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</si>
  <si>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</si>
  <si>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</si>
  <si>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</si>
  <si>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</si>
  <si>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</si>
  <si>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</si>
  <si>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</si>
  <si>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</si>
  <si>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</si>
  <si>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</si>
  <si>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</si>
  <si>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</si>
  <si>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</si>
  <si>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</si>
  <si>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</si>
  <si>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</si>
  <si>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</si>
  <si>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</si>
  <si>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</si>
  <si>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</si>
  <si>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</si>
  <si>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</si>
  <si>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</si>
  <si>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</si>
  <si>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</si>
  <si>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</si>
  <si>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</si>
  <si>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</si>
  <si>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</si>
  <si>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</si>
  <si>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</si>
  <si>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</si>
  <si>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</si>
  <si>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</si>
  <si>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</si>
  <si>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</si>
  <si>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</si>
  <si>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</si>
  <si>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</si>
  <si>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</si>
  <si>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</si>
  <si>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</si>
  <si>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</si>
  <si>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</si>
  <si>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</si>
  <si>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</si>
  <si>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</si>
  <si>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</si>
  <si>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</si>
  <si>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</si>
  <si>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</si>
  <si>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</si>
  <si>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</si>
  <si>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</si>
  <si>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</si>
  <si>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</si>
  <si>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</si>
  <si>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</si>
  <si>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</si>
  <si>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</si>
  <si>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</si>
  <si>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</si>
  <si>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</si>
  <si>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</si>
  <si>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</si>
  <si>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</si>
  <si>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</si>
  <si>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</si>
  <si>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</si>
  <si>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</si>
  <si>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</si>
  <si>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</si>
  <si>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</si>
  <si>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</si>
  <si>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</si>
  <si>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</si>
  <si>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</si>
  <si>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</si>
  <si>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</si>
  <si>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</si>
  <si>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</si>
  <si>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</si>
  <si>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</si>
  <si>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</si>
  <si>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</si>
  <si>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</si>
  <si>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</si>
  <si>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</si>
  <si>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</si>
  <si>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</si>
  <si>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</si>
  <si>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</si>
  <si>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</si>
  <si>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</si>
  <si>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</si>
  <si>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</si>
  <si>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</si>
  <si>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</si>
  <si>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</si>
  <si>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</si>
  <si>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</si>
  <si>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</si>
  <si>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</si>
  <si>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</si>
  <si>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</si>
  <si>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</si>
  <si>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</si>
  <si>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</si>
  <si>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</si>
  <si>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</si>
  <si>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</si>
  <si>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</si>
  <si>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</si>
  <si>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</si>
  <si>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</si>
  <si>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</si>
  <si>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</si>
  <si>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</si>
  <si>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</si>
  <si>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</si>
  <si>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</si>
  <si>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</si>
  <si>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</si>
  <si>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</si>
  <si>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</si>
  <si>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</si>
  <si>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</si>
  <si>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</si>
  <si>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</si>
  <si>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</si>
  <si>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</si>
  <si>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</si>
  <si>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</si>
  <si>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</si>
  <si>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</si>
  <si>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</si>
  <si>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</si>
  <si>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</si>
  <si>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</si>
  <si>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</si>
  <si>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</si>
  <si>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</si>
  <si>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</si>
  <si>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</si>
  <si>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</si>
  <si>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</si>
  <si>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</si>
  <si>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</si>
  <si>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</si>
  <si>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</si>
  <si>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</si>
  <si>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</si>
  <si>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</si>
  <si>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</si>
  <si>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</si>
  <si>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</si>
  <si>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</si>
  <si>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</si>
  <si>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</si>
  <si>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</si>
  <si>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</si>
  <si>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</si>
  <si>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</si>
  <si>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</si>
  <si>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</si>
  <si>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</si>
  <si>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</si>
  <si>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</si>
  <si>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</si>
  <si>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</si>
  <si>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</si>
  <si>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</si>
  <si>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</si>
  <si>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</si>
  <si>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</si>
  <si>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</si>
  <si>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</si>
  <si>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</si>
  <si>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</si>
  <si>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</si>
  <si>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</si>
  <si>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</si>
  <si>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</si>
  <si>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</si>
  <si>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</si>
  <si>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</si>
  <si>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</si>
  <si>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</si>
  <si>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</si>
  <si>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</si>
  <si>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</si>
  <si>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</si>
  <si>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</si>
  <si>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</si>
  <si>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</si>
  <si>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</si>
  <si>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</si>
  <si>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</si>
  <si>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</si>
  <si>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</si>
  <si>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</si>
  <si>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</si>
  <si>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</si>
  <si>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</si>
  <si>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</si>
  <si>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</si>
  <si>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</si>
  <si>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</si>
  <si>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</si>
  <si>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</si>
  <si>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</si>
  <si>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</si>
  <si>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</si>
  <si>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</si>
  <si>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</si>
  <si>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</si>
  <si>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</si>
  <si>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</si>
  <si>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</si>
  <si>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</si>
  <si>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</si>
  <si>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</si>
  <si>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</si>
  <si>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</si>
  <si>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</si>
  <si>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</si>
  <si>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</si>
  <si>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</si>
  <si>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</si>
  <si>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</si>
  <si>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</si>
  <si>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</si>
  <si>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</si>
  <si>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</si>
  <si>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</si>
  <si>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</si>
  <si>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</si>
  <si>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</si>
  <si>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</si>
  <si>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</si>
  <si>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</si>
  <si>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</si>
  <si>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</si>
  <si>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</si>
  <si>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</si>
  <si>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</si>
  <si>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</si>
  <si>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</si>
  <si>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</si>
  <si>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</si>
  <si>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</si>
  <si>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</si>
  <si>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</si>
  <si>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</si>
  <si>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</si>
  <si>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</si>
  <si>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</si>
  <si>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</si>
  <si>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</si>
  <si>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</si>
  <si>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</si>
  <si>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</si>
  <si>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</si>
  <si>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</si>
  <si>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</si>
  <si>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</si>
  <si>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</si>
  <si>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</si>
  <si>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</si>
  <si>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</si>
  <si>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</si>
  <si>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</si>
  <si>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</si>
  <si>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</si>
  <si>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</si>
  <si>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</si>
  <si>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</si>
  <si>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</si>
  <si>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</si>
  <si>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</si>
  <si>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</si>
  <si>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</si>
  <si>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</si>
  <si>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</si>
  <si>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</si>
  <si>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</si>
  <si>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</si>
  <si>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</si>
  <si>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</si>
  <si>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</si>
  <si>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</si>
  <si>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</si>
  <si>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</si>
  <si>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</si>
  <si>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</si>
  <si>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</si>
  <si>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</si>
  <si>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</si>
  <si>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</si>
  <si>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</si>
  <si>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</si>
  <si>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</si>
  <si>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</si>
  <si>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</si>
  <si>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</si>
  <si>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</si>
  <si>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</si>
  <si>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</si>
  <si>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</si>
  <si>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</si>
  <si>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</si>
  <si>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</si>
  <si>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</si>
  <si>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</si>
  <si>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</si>
  <si>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</si>
  <si>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</si>
  <si>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</si>
  <si>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</si>
  <si>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</si>
  <si>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</si>
  <si>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</si>
  <si>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</si>
  <si>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</si>
  <si>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</si>
  <si>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</si>
  <si>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</si>
  <si>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</si>
  <si>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</si>
  <si>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</si>
  <si>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</si>
  <si>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</si>
  <si>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</si>
  <si>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</si>
  <si>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</si>
  <si>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</si>
  <si>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</si>
  <si>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</si>
  <si>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</si>
  <si>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</si>
  <si>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</si>
  <si>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</si>
  <si>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</si>
  <si>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</si>
  <si>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</si>
  <si>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</si>
  <si>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</si>
  <si>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</si>
  <si>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</si>
  <si>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</si>
  <si>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</si>
  <si>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</si>
  <si>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</si>
  <si>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</si>
  <si>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</si>
  <si>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</si>
  <si>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</si>
  <si>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</si>
  <si>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</si>
  <si>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</si>
  <si>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</si>
  <si>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</si>
  <si>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</si>
  <si>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</si>
  <si>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</si>
  <si>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</si>
  <si>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</si>
  <si>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</si>
  <si>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</si>
  <si>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</si>
  <si>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</si>
  <si>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</si>
  <si>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</si>
  <si>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</si>
  <si>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</si>
  <si>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</si>
  <si>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</si>
  <si>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</si>
  <si>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</si>
  <si>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</si>
  <si>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</si>
  <si>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</si>
  <si>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</si>
  <si>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</si>
  <si>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</si>
  <si>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</si>
  <si>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</si>
  <si>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</si>
  <si>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</si>
  <si>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</si>
  <si>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</si>
  <si>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</si>
  <si>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</si>
  <si>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</si>
  <si>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</si>
  <si>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</si>
  <si>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</si>
  <si>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</si>
  <si>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</si>
  <si>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</si>
  <si>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</si>
  <si>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</si>
  <si>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</si>
  <si>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</si>
  <si>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</si>
  <si>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</si>
  <si>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</si>
  <si>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</si>
  <si>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</si>
  <si>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</si>
  <si>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</si>
  <si>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</si>
  <si>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</si>
  <si>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</si>
  <si>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</si>
  <si>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</si>
  <si>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</si>
  <si>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</si>
  <si>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</si>
  <si>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</si>
  <si>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</si>
  <si>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</si>
  <si>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</si>
  <si>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</si>
  <si>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</si>
  <si>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</si>
  <si>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</si>
  <si>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</si>
  <si>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</si>
  <si>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</si>
  <si>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</si>
  <si>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</si>
  <si>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</si>
  <si>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</si>
  <si>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</si>
  <si>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</si>
  <si>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</si>
  <si>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</si>
  <si>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</si>
  <si>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</si>
  <si>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</si>
  <si>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</si>
  <si>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</si>
  <si>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</si>
  <si>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</si>
  <si>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</si>
  <si>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</si>
  <si>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</si>
  <si>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</si>
  <si>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</si>
  <si>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</si>
  <si>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</si>
  <si>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</si>
  <si>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</si>
  <si>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</si>
  <si>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</si>
  <si>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</si>
  <si>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</si>
  <si>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</si>
  <si>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</si>
  <si>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</si>
  <si>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</si>
  <si>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</si>
  <si>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</si>
  <si>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</si>
  <si>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</si>
  <si>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</si>
  <si>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</si>
  <si>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</si>
  <si>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</si>
  <si>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</si>
  <si>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</si>
  <si>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</si>
  <si>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</si>
  <si>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</si>
  <si>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</si>
  <si>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</si>
  <si>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</si>
  <si>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</si>
  <si>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</si>
  <si>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</si>
  <si>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</si>
  <si>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</si>
  <si>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</si>
  <si>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</si>
  <si>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</si>
  <si>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</si>
  <si>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</si>
  <si>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</si>
  <si>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</si>
  <si>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</si>
  <si>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</si>
  <si>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</si>
  <si>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</si>
  <si>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</si>
  <si>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</si>
  <si>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</si>
  <si>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</si>
  <si>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</si>
  <si>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</si>
  <si>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</si>
  <si>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</si>
  <si>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</si>
  <si>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</si>
  <si>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</si>
  <si>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</si>
  <si>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</si>
  <si>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</si>
  <si>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</si>
  <si>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</si>
  <si>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</si>
  <si>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</si>
  <si>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</si>
  <si>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</si>
  <si>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</si>
  <si>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</si>
  <si>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</si>
  <si>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</si>
  <si>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</si>
  <si>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</si>
  <si>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</si>
  <si>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</si>
  <si>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</si>
  <si>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</si>
  <si>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</si>
  <si>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</si>
  <si>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</si>
  <si>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</si>
  <si>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</si>
  <si>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</si>
  <si>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</si>
  <si>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</si>
  <si>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</si>
  <si>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</si>
  <si>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</si>
  <si>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</si>
  <si>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</si>
  <si>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</si>
  <si>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</si>
  <si>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</si>
  <si>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</si>
  <si>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</si>
  <si>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</si>
  <si>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</si>
  <si>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</si>
  <si>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</si>
  <si>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</si>
  <si>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</si>
  <si>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</si>
  <si>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</si>
  <si>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</si>
  <si>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</si>
  <si>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</si>
  <si>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</si>
  <si>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</si>
  <si>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</si>
  <si>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</si>
  <si>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</si>
  <si>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</si>
  <si>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</si>
  <si>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</si>
  <si>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</si>
  <si>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</si>
  <si>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</si>
  <si>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</si>
  <si>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</si>
  <si>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</si>
  <si>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</si>
  <si>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</si>
  <si>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</si>
  <si>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</si>
  <si>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</si>
  <si>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</si>
  <si>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</si>
  <si>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</si>
  <si>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</si>
  <si>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</si>
  <si>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</si>
  <si>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</si>
  <si>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</si>
  <si>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</si>
  <si>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</si>
  <si>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</si>
  <si>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</si>
  <si>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</si>
  <si>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</si>
  <si>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</si>
  <si>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</si>
  <si>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</si>
  <si>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</si>
  <si>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</si>
  <si>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</si>
  <si>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</si>
  <si>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</si>
  <si>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</si>
  <si>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</si>
  <si>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</si>
  <si>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</si>
  <si>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</si>
  <si>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</si>
  <si>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</si>
  <si>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</si>
  <si>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</si>
  <si>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</si>
  <si>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</si>
  <si>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</si>
  <si>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</si>
  <si>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</si>
  <si>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</si>
  <si>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</si>
  <si>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</si>
  <si>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</si>
  <si>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</si>
  <si>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</si>
  <si>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</si>
  <si>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</si>
  <si>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</si>
  <si>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</si>
  <si>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</si>
  <si>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</si>
  <si>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</si>
  <si>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</si>
  <si>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</si>
  <si>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</si>
  <si>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</si>
  <si>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</si>
  <si>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</si>
  <si>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</si>
  <si>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</si>
  <si>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</si>
  <si>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</si>
  <si>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</si>
  <si>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</si>
  <si>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</si>
  <si>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</si>
  <si>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</si>
  <si>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</si>
  <si>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</si>
  <si>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</si>
  <si>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</si>
  <si>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</si>
  <si>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</si>
  <si>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</si>
  <si>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</si>
  <si>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</si>
  <si>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</si>
  <si>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</si>
  <si>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</si>
  <si>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</si>
  <si>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</si>
  <si>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</si>
  <si>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</si>
  <si>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</si>
  <si>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</si>
  <si>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</si>
  <si>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</si>
  <si>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</si>
  <si>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</si>
  <si>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</si>
  <si>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</si>
  <si>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</si>
  <si>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</si>
  <si>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</si>
  <si>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</si>
  <si>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</si>
  <si>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</si>
  <si>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</si>
  <si>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</si>
  <si>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</si>
  <si>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</si>
  <si>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</si>
  <si>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</si>
  <si>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</si>
  <si>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</si>
  <si>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</si>
  <si>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</si>
  <si>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</si>
  <si>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</si>
  <si>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</si>
  <si>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</si>
  <si>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</si>
  <si>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</si>
  <si>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</si>
  <si>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</si>
  <si>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</si>
  <si>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</si>
  <si>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</si>
  <si>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</si>
  <si>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</si>
  <si>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</si>
  <si>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</si>
  <si>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</si>
  <si>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</si>
  <si>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</si>
  <si>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</si>
  <si>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</si>
  <si>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</si>
  <si>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</si>
  <si>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</si>
  <si>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</si>
  <si>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</si>
  <si>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</si>
  <si>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</si>
  <si>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</si>
  <si>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</si>
  <si>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</si>
  <si>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</si>
  <si>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</si>
  <si>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</si>
  <si>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</si>
  <si>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</si>
  <si>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</si>
  <si>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</si>
  <si>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</si>
  <si>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</si>
  <si>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</si>
  <si>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</si>
  <si>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</si>
  <si>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</si>
  <si>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</si>
  <si>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</si>
  <si>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</si>
  <si>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</si>
  <si>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</si>
  <si>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</si>
  <si>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</si>
  <si>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</si>
  <si>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</si>
  <si>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</si>
  <si>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</si>
  <si>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</si>
  <si>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</si>
  <si>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</si>
  <si>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</si>
  <si>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</si>
  <si>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</si>
  <si>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</si>
  <si>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</si>
  <si>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</si>
  <si>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</si>
  <si>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</si>
  <si>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</si>
  <si>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</si>
  <si>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</si>
  <si>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</si>
  <si>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</si>
  <si>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</si>
  <si>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</si>
  <si>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</si>
  <si>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</si>
  <si>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</si>
  <si>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</si>
  <si>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</si>
  <si>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</si>
  <si>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</si>
  <si>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</si>
  <si>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</si>
  <si>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</si>
  <si>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</si>
  <si>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</si>
  <si>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</si>
  <si>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</si>
  <si>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</si>
  <si>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</si>
  <si>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</si>
  <si>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</si>
  <si>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</si>
  <si>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</si>
  <si>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</si>
  <si>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</si>
  <si>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</si>
  <si>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</si>
  <si>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</si>
  <si>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</si>
  <si>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</si>
  <si>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</si>
  <si>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</si>
  <si>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</si>
  <si>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</si>
  <si>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</si>
  <si>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</si>
  <si>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</si>
  <si>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</si>
  <si>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</si>
  <si>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</si>
  <si>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</si>
  <si>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</si>
  <si>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</si>
  <si>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</si>
  <si>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</si>
  <si>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</si>
  <si>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</si>
  <si>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</si>
  <si>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</si>
  <si>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</si>
  <si>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</si>
  <si>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</si>
  <si>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</si>
  <si>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</si>
  <si>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</si>
  <si>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</si>
  <si>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</si>
  <si>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</si>
  <si>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</si>
  <si>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</si>
  <si>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</si>
  <si>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</si>
  <si>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</si>
  <si>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</si>
  <si>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</si>
  <si>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</si>
  <si>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</si>
  <si>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</si>
  <si>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</si>
  <si>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</si>
  <si>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</si>
  <si>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</si>
  <si>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</si>
  <si>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</si>
  <si>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</si>
  <si>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</si>
  <si>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</si>
  <si>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</si>
  <si>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</si>
  <si>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</si>
  <si>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</si>
  <si>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</si>
  <si>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</si>
  <si>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</si>
  <si>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</si>
  <si>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</si>
  <si>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</si>
  <si>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</si>
  <si>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</si>
  <si>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</si>
  <si>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</si>
  <si>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</si>
  <si>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</si>
  <si>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</si>
  <si>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</si>
  <si>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</si>
  <si>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</si>
  <si>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</si>
  <si>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</si>
  <si>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</si>
  <si>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</si>
  <si>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</si>
  <si>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</si>
  <si>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</si>
  <si>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</si>
  <si>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</si>
  <si>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</si>
  <si>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</si>
  <si>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</si>
  <si>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</si>
  <si>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</si>
  <si>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</si>
  <si>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</si>
  <si>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</si>
  <si>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</si>
  <si>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</si>
  <si>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</si>
  <si>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</si>
  <si>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</si>
  <si>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</si>
  <si>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</si>
  <si>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</si>
  <si>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</si>
  <si>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</si>
  <si>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</si>
  <si>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</si>
  <si>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</si>
  <si>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</si>
  <si>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</si>
  <si>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</si>
  <si>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</si>
  <si>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</si>
  <si>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</si>
  <si>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</si>
  <si>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</si>
  <si>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</si>
  <si>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</si>
  <si>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</si>
  <si>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</si>
  <si>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</si>
  <si>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</si>
  <si>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</si>
  <si>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</si>
  <si>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</si>
  <si>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</si>
  <si>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</si>
  <si>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</si>
  <si>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</si>
  <si>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</si>
  <si>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</si>
  <si>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</si>
  <si>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</si>
  <si>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</si>
  <si>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</si>
  <si>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</si>
  <si>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</si>
  <si>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</si>
  <si>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</si>
  <si>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</si>
  <si>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</si>
  <si>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</si>
  <si>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</si>
  <si>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</si>
  <si>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</si>
  <si>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</si>
  <si>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</si>
  <si>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</si>
  <si>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</si>
  <si>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</si>
  <si>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</si>
  <si>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</si>
  <si>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</si>
  <si>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</si>
  <si>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</si>
  <si>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</si>
  <si>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</si>
  <si>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</si>
  <si>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</si>
  <si>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</si>
  <si>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</si>
  <si>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</si>
  <si>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</si>
  <si>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</si>
  <si>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</si>
  <si>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</si>
  <si>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</si>
  <si>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</si>
  <si>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</si>
  <si>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</si>
  <si>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</si>
  <si>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</si>
  <si>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</si>
  <si>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</si>
  <si>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</si>
  <si>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</si>
  <si>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</si>
  <si>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</si>
  <si>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</si>
  <si>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</si>
  <si>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</si>
  <si>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</si>
  <si>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</si>
  <si>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</si>
  <si>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</si>
  <si>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</si>
  <si>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</si>
  <si>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</si>
  <si>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</si>
  <si>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</si>
  <si>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</si>
  <si>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</si>
  <si>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</si>
  <si>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</si>
  <si>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</si>
  <si>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</si>
  <si>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</si>
  <si>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</si>
  <si>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</si>
  <si>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</si>
  <si>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</si>
  <si>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</si>
  <si>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</si>
  <si>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</si>
  <si>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</si>
  <si>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</si>
  <si>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</si>
  <si>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</si>
  <si>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</si>
  <si>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</si>
  <si>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</si>
  <si>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</si>
  <si>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</si>
  <si>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</si>
  <si>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</si>
  <si>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</si>
  <si>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</si>
  <si>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</si>
  <si>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</si>
  <si>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</si>
  <si>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</si>
  <si>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</si>
  <si>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</si>
  <si>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</si>
  <si>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</si>
  <si>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</si>
  <si>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</si>
  <si>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</si>
  <si>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</si>
  <si>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</si>
  <si>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</si>
  <si>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</si>
  <si>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</si>
  <si>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</si>
  <si>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</si>
  <si>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</si>
  <si>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</si>
  <si>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</si>
  <si>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</si>
  <si>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</si>
  <si>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</si>
  <si>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</si>
  <si>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</si>
  <si>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</si>
  <si>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</si>
  <si>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</si>
  <si>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</si>
  <si>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</si>
  <si>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</si>
  <si>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</si>
  <si>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</si>
  <si>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</si>
  <si>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</si>
  <si>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</si>
  <si>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</si>
  <si>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</si>
  <si>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</si>
  <si>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</si>
  <si>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</si>
  <si>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</si>
  <si>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</si>
  <si>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</si>
  <si>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</si>
  <si>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</si>
  <si>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</si>
  <si>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</si>
  <si>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</si>
  <si>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</si>
  <si>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</si>
  <si>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</si>
  <si>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</si>
  <si>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</si>
  <si>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</si>
  <si>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</si>
  <si>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</si>
  <si>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</si>
  <si>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</si>
  <si>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</si>
  <si>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</si>
  <si>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</si>
  <si>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</si>
  <si>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</si>
  <si>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</si>
  <si>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</si>
  <si>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</si>
  <si>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</si>
  <si>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</si>
  <si>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</si>
  <si>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</si>
  <si>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</si>
  <si>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</si>
  <si>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</si>
  <si>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</si>
  <si>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</si>
  <si>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</si>
  <si>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</si>
  <si>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</si>
  <si>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</si>
  <si>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</si>
  <si>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</si>
  <si>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</si>
  <si>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</si>
  <si>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</si>
  <si>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</si>
  <si>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</si>
  <si>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</si>
  <si>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</si>
  <si>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</si>
  <si>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</si>
  <si>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</si>
  <si>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</si>
  <si>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</si>
  <si>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</si>
  <si>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</si>
  <si>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</si>
  <si>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</si>
  <si>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</si>
  <si>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</si>
  <si>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</si>
  <si>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</si>
  <si>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</si>
  <si>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</si>
  <si>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</si>
  <si>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</si>
  <si>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</si>
  <si>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</si>
  <si>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</si>
  <si>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</si>
  <si>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</si>
  <si>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</si>
  <si>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</si>
  <si>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</si>
  <si>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</si>
  <si>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</si>
  <si>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</si>
  <si>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</si>
  <si>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</si>
  <si>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</si>
  <si>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</si>
  <si>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</si>
  <si>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</si>
  <si>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</si>
  <si>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</si>
  <si>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</si>
  <si>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</si>
  <si>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</si>
  <si>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</si>
  <si>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</si>
  <si>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</si>
  <si>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</si>
  <si>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</si>
  <si>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</si>
  <si>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</si>
  <si>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</si>
  <si>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</si>
  <si>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</si>
  <si>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</si>
  <si>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</si>
  <si>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</si>
  <si>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</si>
  <si>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</si>
  <si>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</si>
  <si>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</si>
  <si>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</si>
  <si>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</si>
  <si>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</si>
  <si>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</si>
  <si>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</si>
  <si>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</si>
  <si>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</si>
  <si>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</si>
  <si>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</si>
  <si>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</si>
  <si>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</si>
  <si>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</si>
  <si>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</si>
  <si>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</si>
  <si>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</si>
  <si>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</si>
  <si>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</si>
  <si>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</si>
  <si>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</si>
  <si>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</si>
  <si>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</si>
  <si>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</si>
  <si>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</si>
  <si>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</si>
  <si>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</si>
  <si>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</si>
  <si>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</si>
  <si>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</si>
  <si>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</si>
  <si>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</si>
  <si>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</si>
  <si>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</si>
  <si>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</si>
  <si>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</si>
  <si>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</si>
  <si>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</si>
  <si>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</si>
  <si>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</si>
  <si>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</si>
  <si>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</si>
  <si>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</si>
  <si>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</si>
  <si>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</si>
  <si>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</si>
  <si>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</si>
  <si>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</si>
  <si>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</si>
  <si>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</si>
  <si>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</si>
  <si>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</si>
  <si>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</si>
  <si>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</si>
  <si>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</si>
  <si>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</si>
  <si>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</si>
  <si>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</si>
  <si>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</si>
  <si>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</si>
  <si>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</si>
  <si>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</si>
  <si>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</si>
  <si>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</si>
  <si>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</si>
  <si>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</si>
  <si>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</si>
  <si>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</si>
  <si>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</si>
  <si>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</si>
  <si>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</si>
  <si>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</si>
  <si>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</si>
  <si>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</si>
  <si>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</si>
  <si>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</si>
  <si>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</si>
  <si>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</si>
  <si>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</si>
  <si>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</si>
  <si>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</si>
  <si>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</si>
  <si>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</si>
  <si>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</si>
  <si>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</si>
  <si>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</si>
  <si>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</si>
  <si>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</si>
  <si>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</si>
  <si>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</si>
  <si>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</si>
  <si>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</si>
  <si>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</si>
  <si>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</si>
  <si>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</si>
  <si>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</si>
  <si>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</si>
  <si>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</si>
  <si>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</si>
  <si>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</si>
  <si>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</si>
  <si>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</si>
  <si>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</si>
  <si>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</si>
  <si>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</si>
  <si>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</si>
  <si>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</si>
  <si>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</si>
  <si>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</si>
  <si>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</si>
  <si>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</si>
  <si>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</si>
  <si>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</si>
  <si>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</si>
  <si>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</si>
  <si>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</si>
  <si>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</si>
  <si>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</si>
  <si>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</si>
  <si>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</si>
  <si>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</si>
  <si>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</si>
  <si>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</si>
  <si>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</si>
  <si>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</si>
  <si>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</si>
  <si>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</si>
  <si>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</si>
  <si>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</si>
  <si>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</si>
  <si>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</si>
  <si>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</si>
  <si>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</si>
  <si>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</si>
  <si>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</si>
  <si>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</si>
  <si>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</si>
  <si>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</si>
  <si>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</si>
  <si>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</si>
  <si>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</si>
  <si>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</si>
  <si>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</si>
  <si>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</si>
  <si>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</si>
  <si>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</si>
  <si>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</si>
  <si>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</si>
  <si>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</si>
  <si>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</si>
  <si>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</si>
  <si>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</si>
  <si>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</si>
  <si>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</si>
  <si>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</si>
  <si>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</si>
  <si>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</si>
  <si>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</si>
  <si>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</si>
  <si>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</si>
  <si>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</si>
  <si>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</si>
  <si>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</si>
  <si>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</si>
  <si>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</si>
  <si>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</si>
  <si>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</si>
  <si>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</si>
  <si>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</si>
  <si>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</si>
  <si>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</si>
  <si>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</si>
  <si>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</si>
  <si>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</si>
  <si>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</si>
  <si>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</si>
  <si>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</si>
  <si>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</si>
  <si>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</si>
  <si>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</si>
  <si>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</si>
  <si>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</si>
  <si>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</si>
  <si>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</si>
  <si>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</si>
  <si>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</si>
  <si>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</si>
  <si>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</si>
  <si>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</si>
  <si>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</si>
  <si>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</si>
  <si>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</si>
  <si>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</si>
  <si>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</si>
  <si>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</si>
  <si>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</si>
  <si>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</si>
  <si>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</si>
  <si>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</si>
  <si>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</si>
  <si>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</si>
  <si>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</si>
  <si>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</si>
  <si>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</si>
  <si>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</si>
  <si>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</si>
  <si>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</si>
  <si>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</si>
  <si>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</si>
  <si>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</si>
  <si>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</si>
  <si>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</si>
  <si>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</si>
  <si>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</si>
  <si>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</si>
  <si>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</si>
  <si>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</si>
  <si>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</si>
  <si>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</si>
  <si>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</si>
  <si>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</si>
  <si>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</si>
  <si>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</si>
  <si>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</si>
  <si>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</si>
  <si>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</si>
  <si>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</si>
  <si>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</si>
  <si>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</si>
  <si>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</si>
  <si>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</si>
  <si>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</si>
  <si>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</si>
  <si>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</si>
  <si>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</si>
  <si>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</si>
  <si>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</si>
  <si>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</si>
  <si>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</si>
  <si>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</si>
  <si>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</si>
  <si>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</si>
  <si>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</si>
  <si>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</si>
  <si>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</si>
  <si>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</si>
  <si>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</si>
  <si>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</si>
  <si>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</si>
  <si>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</si>
  <si>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</si>
  <si>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</si>
  <si>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</si>
  <si>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</si>
  <si>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</si>
  <si>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</si>
  <si>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</si>
  <si>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</si>
  <si>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</si>
  <si>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</si>
  <si>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</si>
  <si>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</si>
  <si>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</si>
  <si>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</si>
  <si>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</si>
  <si>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</si>
  <si>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</si>
  <si>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</si>
  <si>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</si>
  <si>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</si>
  <si>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</si>
  <si>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</si>
  <si>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</si>
  <si>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</si>
  <si>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</si>
  <si>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</si>
  <si>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</si>
  <si>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</si>
  <si>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</si>
  <si>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</si>
  <si>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</si>
  <si>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</si>
  <si>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</si>
  <si>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</si>
  <si>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</si>
  <si>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</si>
  <si>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</si>
  <si>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</si>
  <si>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</si>
  <si>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</si>
  <si>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</si>
  <si>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</si>
  <si>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</si>
  <si>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</si>
  <si>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</si>
  <si>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</si>
  <si>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</si>
  <si>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</si>
  <si>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</si>
  <si>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</si>
  <si>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</si>
  <si>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</si>
  <si>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</si>
  <si>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</si>
  <si>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</si>
  <si>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</si>
  <si>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</si>
  <si>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</si>
  <si>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</si>
  <si>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</si>
  <si>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</si>
  <si>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</si>
  <si>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</si>
  <si>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</si>
  <si>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</si>
  <si>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</si>
  <si>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</si>
  <si>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</si>
  <si>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</si>
  <si>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</si>
  <si>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</si>
  <si>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</si>
  <si>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</si>
  <si>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</si>
  <si>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</si>
  <si>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</si>
  <si>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</si>
  <si>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</si>
  <si>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</si>
  <si>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</si>
  <si>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</si>
  <si>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</si>
  <si>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</si>
  <si>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</si>
  <si>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</si>
  <si>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</si>
  <si>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</si>
  <si>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</si>
  <si>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</si>
  <si>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</si>
  <si>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</si>
  <si>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</si>
  <si>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</si>
  <si>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</si>
  <si>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</si>
  <si>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</si>
  <si>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</si>
  <si>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</si>
  <si>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</si>
  <si>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</si>
  <si>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</si>
  <si>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</si>
  <si>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</si>
  <si>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</si>
  <si>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</si>
  <si>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</si>
  <si>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</si>
  <si>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</si>
  <si>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</si>
  <si>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</si>
  <si>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</si>
  <si>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</si>
  <si>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</si>
  <si>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</si>
  <si>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</si>
  <si>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</si>
  <si>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</si>
  <si>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</si>
  <si>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</si>
  <si>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</si>
  <si>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</si>
  <si>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</si>
  <si>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</si>
  <si>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</si>
  <si>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</si>
  <si>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</si>
  <si>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</si>
  <si>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</si>
  <si>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</si>
  <si>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</si>
  <si>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</si>
  <si>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</si>
  <si>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</si>
  <si>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</si>
  <si>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</si>
  <si>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</si>
  <si>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</si>
  <si>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</si>
  <si>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</si>
  <si>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</si>
  <si>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</si>
  <si>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</si>
  <si>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</si>
  <si>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</si>
  <si>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</si>
  <si>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</si>
  <si>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</si>
  <si>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</si>
  <si>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</si>
  <si>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</si>
  <si>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</si>
  <si>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</si>
  <si>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</si>
  <si>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</si>
  <si>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</si>
  <si>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</si>
  <si>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</si>
  <si>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</si>
  <si>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</si>
  <si>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</si>
  <si>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</si>
  <si>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</si>
  <si>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</si>
  <si>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</si>
  <si>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</si>
  <si>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</si>
  <si>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</si>
  <si>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</si>
  <si>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</si>
  <si>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</si>
  <si>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</si>
  <si>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</si>
  <si>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</si>
  <si>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</si>
  <si>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</si>
  <si>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</si>
  <si>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</si>
  <si>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</si>
  <si>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</si>
  <si>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</si>
  <si>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</si>
  <si>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</si>
  <si>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</si>
  <si>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</si>
  <si>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</si>
  <si>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</si>
  <si>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</si>
  <si>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</si>
  <si>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</si>
  <si>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</si>
  <si>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</si>
  <si>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</si>
  <si>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</si>
  <si>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</si>
  <si>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</si>
  <si>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</si>
  <si>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</si>
  <si>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</si>
  <si>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</si>
  <si>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</si>
  <si>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</si>
  <si>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</si>
  <si>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</si>
  <si>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</si>
  <si>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</si>
  <si>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</si>
  <si>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</si>
  <si>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</si>
  <si>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</si>
  <si>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</si>
  <si>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</si>
  <si>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</si>
  <si>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</si>
  <si>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</si>
  <si>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</si>
  <si>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</si>
  <si>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</si>
  <si>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</si>
  <si>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</si>
  <si>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</si>
  <si>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</si>
  <si>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</si>
  <si>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</si>
  <si>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</si>
  <si>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</si>
  <si>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</si>
  <si>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</si>
  <si>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</si>
  <si>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</si>
  <si>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</si>
  <si>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</si>
  <si>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</si>
  <si>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</si>
  <si>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</si>
  <si>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</si>
  <si>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</si>
  <si>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</si>
  <si>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</si>
  <si>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</si>
  <si>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</si>
  <si>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</si>
  <si>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</si>
  <si>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</si>
  <si>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</si>
  <si>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</si>
  <si>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</si>
  <si>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</si>
  <si>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</si>
  <si>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</si>
  <si>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</si>
  <si>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</si>
  <si>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</si>
  <si>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</si>
  <si>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</si>
  <si>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</si>
  <si>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</si>
  <si>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</si>
  <si>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</si>
  <si>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</si>
  <si>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</si>
  <si>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</si>
  <si>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</si>
  <si>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</si>
  <si>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</si>
  <si>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</si>
  <si>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</si>
  <si>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</si>
  <si>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</si>
  <si>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</si>
  <si>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</si>
  <si>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</si>
  <si>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</si>
  <si>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</si>
  <si>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</si>
  <si>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</si>
  <si>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</si>
  <si>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</si>
  <si>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</si>
  <si>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</si>
  <si>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</si>
  <si>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</si>
  <si>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</si>
  <si>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</si>
  <si>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</si>
  <si>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</si>
  <si>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</si>
  <si>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</si>
  <si>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</si>
  <si>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</si>
  <si>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</si>
  <si>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</si>
  <si>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</si>
  <si>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</si>
  <si>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</si>
  <si>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</si>
  <si>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</si>
  <si>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</si>
  <si>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</si>
  <si>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</si>
  <si>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</si>
  <si>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</si>
  <si>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</si>
  <si>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</si>
  <si>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</si>
  <si>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</si>
  <si>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</si>
  <si>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</si>
  <si>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</si>
  <si>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</si>
  <si>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</si>
  <si>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</si>
  <si>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</si>
  <si>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</si>
  <si>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</si>
  <si>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</si>
  <si>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</si>
  <si>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</si>
  <si>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</si>
  <si>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</si>
  <si>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</si>
  <si>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</si>
  <si>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</si>
  <si>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</si>
  <si>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</si>
  <si>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</si>
  <si>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</si>
  <si>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</si>
  <si>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</si>
  <si>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</si>
  <si>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</si>
  <si>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</si>
  <si>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</si>
  <si>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</si>
  <si>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</si>
  <si>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</si>
  <si>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</si>
  <si>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</si>
  <si>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</si>
  <si>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</si>
  <si>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</si>
  <si>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</si>
  <si>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</si>
  <si>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</si>
  <si>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</si>
  <si>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</si>
  <si>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</si>
  <si>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</si>
  <si>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</si>
  <si>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</si>
  <si>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</si>
  <si>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</si>
  <si>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</si>
  <si>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</si>
  <si>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</si>
  <si>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</si>
  <si>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</si>
  <si>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</si>
  <si>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</si>
  <si>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</si>
  <si>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</si>
  <si>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</si>
  <si>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</si>
  <si>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</si>
  <si>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</si>
  <si>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</si>
  <si>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</si>
  <si>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</si>
  <si>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</si>
  <si>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</si>
  <si>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</si>
  <si>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</si>
  <si>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</si>
  <si>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</si>
  <si>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</si>
  <si>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</si>
  <si>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</si>
  <si>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</si>
  <si>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</si>
  <si>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</si>
  <si>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</si>
  <si>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</si>
  <si>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</si>
  <si>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</si>
  <si>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</si>
  <si>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</si>
  <si>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</si>
  <si>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</si>
  <si>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</si>
  <si>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</si>
  <si>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</si>
  <si>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</si>
  <si>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</si>
  <si>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</si>
  <si>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</si>
  <si>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</si>
  <si>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</si>
  <si>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</si>
  <si>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</si>
  <si>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</si>
  <si>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</si>
  <si>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</si>
  <si>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</si>
  <si>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</si>
  <si>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</si>
  <si>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</si>
  <si>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</si>
  <si>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</si>
  <si>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</si>
  <si>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</si>
  <si>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</si>
  <si>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</si>
  <si>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</si>
  <si>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</si>
  <si>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</si>
  <si>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</si>
  <si>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</si>
  <si>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</si>
  <si>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</si>
  <si>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</si>
  <si>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</si>
  <si>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</si>
  <si>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</si>
  <si>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</si>
  <si>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</si>
  <si>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</si>
  <si>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</si>
  <si>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</si>
  <si>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</si>
  <si>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</si>
  <si>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</si>
  <si>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</si>
  <si>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</si>
  <si>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</si>
  <si>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</si>
  <si>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</si>
  <si>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</si>
  <si>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</si>
  <si>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</si>
  <si>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</si>
  <si>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</si>
  <si>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</si>
  <si>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</si>
  <si>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</si>
  <si>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</si>
  <si>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</si>
  <si>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</si>
  <si>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</si>
  <si>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</si>
  <si>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</si>
  <si>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</si>
  <si>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</si>
  <si>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</si>
  <si>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</si>
  <si>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</si>
  <si>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</si>
  <si>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</si>
  <si>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</si>
  <si>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</si>
  <si>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</si>
  <si>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</si>
  <si>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</si>
  <si>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</si>
  <si>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</si>
  <si>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</si>
  <si>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</si>
  <si>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</si>
  <si>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</si>
  <si>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</si>
  <si>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</si>
  <si>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</si>
  <si>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</si>
  <si>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</si>
  <si>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</si>
  <si>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</si>
  <si>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</si>
  <si>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</si>
  <si>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</si>
  <si>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</si>
  <si>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</si>
  <si>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</si>
  <si>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</si>
  <si>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</si>
  <si>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</si>
  <si>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</si>
  <si>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</si>
  <si>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</si>
  <si>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</si>
  <si>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</si>
  <si>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</si>
  <si>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</si>
  <si>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</si>
  <si>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</si>
  <si>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</si>
  <si>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</si>
  <si>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</si>
  <si>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</si>
  <si>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</si>
  <si>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</si>
  <si>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</si>
  <si>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</si>
  <si>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</si>
  <si>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</si>
  <si>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</si>
  <si>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</si>
  <si>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</si>
  <si>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</si>
  <si>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</si>
  <si>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</si>
  <si>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</si>
  <si>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</si>
  <si>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</si>
  <si>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</si>
  <si>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</si>
  <si>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</si>
  <si>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</si>
  <si>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</si>
  <si>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</si>
  <si>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</si>
  <si>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</si>
  <si>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</si>
  <si>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</si>
  <si>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</si>
  <si>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</si>
  <si>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</si>
  <si>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</si>
  <si>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</si>
  <si>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</si>
  <si>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</si>
  <si>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</si>
  <si>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</si>
  <si>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</si>
  <si>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</si>
  <si>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</si>
  <si>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</si>
  <si>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</si>
  <si>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</si>
  <si>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</si>
  <si>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</si>
  <si>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</si>
  <si>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</si>
  <si>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</si>
  <si>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</si>
  <si>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</si>
  <si>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</si>
  <si>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</si>
  <si>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</si>
  <si>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</si>
  <si>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</si>
  <si>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</si>
  <si>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</si>
  <si>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</si>
  <si>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</si>
  <si>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</si>
  <si>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</si>
  <si>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</si>
  <si>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</si>
  <si>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</si>
  <si>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</si>
  <si>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</si>
  <si>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</si>
  <si>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</si>
  <si>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</si>
  <si>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</si>
  <si>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</si>
  <si>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</si>
  <si>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</si>
  <si>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</si>
  <si>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</si>
  <si>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</si>
  <si>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</si>
  <si>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</si>
  <si>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</si>
  <si>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</si>
  <si>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</si>
  <si>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</si>
  <si>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</si>
  <si>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</si>
  <si>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</si>
  <si>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</si>
  <si>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</si>
  <si>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</si>
  <si>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</si>
  <si>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</si>
  <si>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</si>
  <si>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</si>
  <si>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</si>
  <si>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</si>
  <si>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</si>
  <si>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</si>
  <si>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</si>
  <si>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</si>
  <si>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</si>
  <si>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</si>
  <si>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</si>
  <si>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</si>
  <si>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</si>
  <si>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</si>
  <si>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</si>
  <si>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</si>
  <si>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</si>
  <si>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</si>
  <si>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</si>
  <si>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</si>
  <si>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</si>
  <si>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</si>
  <si>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</si>
  <si>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</si>
  <si>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</si>
  <si>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</si>
  <si>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</si>
  <si>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</si>
  <si>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</si>
  <si>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</si>
  <si>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</si>
  <si>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</si>
  <si>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</si>
  <si>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</si>
  <si>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</si>
  <si>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</si>
  <si>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</si>
  <si>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</si>
  <si>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</si>
  <si>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</si>
  <si>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</si>
  <si>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</si>
  <si>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</si>
  <si>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</si>
  <si>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</si>
  <si>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</si>
  <si>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</si>
  <si>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</si>
  <si>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</si>
  <si>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</si>
  <si>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</si>
  <si>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</si>
  <si>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</si>
  <si>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</si>
  <si>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</si>
  <si>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</si>
  <si>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</si>
  <si>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</si>
  <si>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</si>
  <si>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</si>
  <si>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</si>
  <si>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</si>
  <si>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</si>
  <si>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</si>
  <si>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</si>
  <si>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</si>
  <si>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</si>
  <si>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</si>
  <si>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</si>
  <si>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</si>
  <si>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</si>
  <si>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</si>
  <si>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</si>
  <si>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</si>
  <si>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</si>
  <si>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</si>
  <si>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</si>
  <si>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</si>
  <si>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</si>
  <si>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</si>
  <si>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</si>
  <si>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</si>
  <si>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</si>
  <si>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</si>
  <si>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</si>
  <si>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</si>
  <si>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</si>
  <si>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</si>
  <si>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</si>
  <si>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</si>
  <si>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</si>
  <si>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</si>
  <si>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</si>
  <si>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</si>
  <si>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</si>
  <si>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</si>
  <si>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</si>
  <si>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</si>
  <si>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</si>
  <si>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</si>
  <si>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</si>
  <si>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</si>
  <si>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</si>
  <si>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</si>
  <si>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</si>
  <si>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</si>
  <si>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</si>
  <si>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</si>
  <si>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</si>
  <si>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</si>
  <si>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</si>
  <si>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</si>
  <si>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</si>
  <si>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</si>
  <si>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</si>
  <si>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</si>
  <si>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</si>
  <si>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</si>
  <si>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</si>
  <si>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</si>
  <si>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</si>
  <si>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</si>
  <si>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</si>
  <si>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</si>
  <si>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</si>
  <si>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</si>
  <si>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</si>
  <si>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</si>
  <si>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</si>
  <si>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</si>
  <si>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</si>
  <si>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</si>
  <si>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</si>
  <si>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</si>
  <si>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</si>
  <si>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</si>
  <si>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</si>
  <si>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</si>
  <si>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</si>
  <si>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</si>
  <si>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</si>
  <si>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</si>
  <si>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</si>
  <si>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</si>
  <si>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</si>
  <si>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</si>
  <si>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</si>
  <si>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</si>
  <si>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</si>
  <si>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</si>
  <si>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</si>
  <si>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</si>
  <si>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</si>
  <si>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</si>
  <si>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</si>
  <si>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</si>
  <si>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</si>
  <si>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</si>
  <si>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</si>
  <si>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</si>
  <si>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</si>
  <si>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</si>
  <si>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</si>
  <si>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</si>
  <si>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</si>
  <si>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</si>
  <si>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</si>
  <si>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</si>
  <si>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</si>
  <si>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</si>
  <si>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</si>
  <si>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</si>
  <si>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</si>
  <si>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</si>
  <si>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</si>
  <si>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</si>
  <si>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</si>
  <si>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</si>
  <si>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</si>
  <si>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</si>
  <si>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</si>
  <si>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</si>
  <si>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</si>
  <si>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</si>
  <si>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</si>
  <si>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</si>
  <si>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</si>
  <si>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</si>
  <si>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</si>
  <si>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</si>
  <si>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</si>
  <si>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</si>
  <si>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</si>
  <si>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</si>
  <si>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</si>
  <si>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</si>
  <si>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</si>
  <si>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</si>
  <si>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</si>
  <si>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</si>
  <si>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</si>
  <si>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</si>
  <si>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</si>
  <si>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</si>
  <si>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</si>
  <si>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</si>
  <si>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</si>
  <si>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</si>
  <si>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</si>
  <si>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</si>
  <si>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</si>
  <si>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</si>
  <si>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</si>
  <si>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</si>
  <si>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</si>
  <si>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</si>
  <si>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</si>
  <si>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</si>
  <si>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</si>
  <si>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</si>
  <si>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</si>
  <si>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</si>
  <si>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</si>
  <si>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</si>
  <si>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</si>
  <si>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</si>
  <si>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</si>
  <si>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</si>
  <si>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</si>
  <si>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</si>
  <si>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</si>
  <si>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</si>
  <si>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</si>
  <si>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</si>
  <si>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</si>
  <si>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</si>
  <si>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</si>
  <si>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</si>
  <si>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</si>
  <si>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</si>
  <si>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</si>
  <si>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</si>
  <si>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</si>
  <si>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</si>
  <si>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</si>
  <si>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</si>
  <si>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</si>
  <si>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</si>
  <si>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</si>
  <si>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</si>
  <si>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</si>
  <si>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</si>
  <si>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</si>
  <si>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</si>
  <si>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</si>
  <si>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</si>
  <si>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</si>
  <si>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</si>
  <si>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</si>
  <si>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</si>
  <si>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</si>
  <si>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</si>
  <si>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</si>
  <si>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</si>
  <si>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</si>
  <si>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</si>
  <si>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</si>
  <si>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</si>
  <si>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</si>
  <si>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</si>
  <si>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</si>
  <si>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</si>
  <si>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</si>
  <si>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</si>
  <si>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</si>
  <si>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</si>
  <si>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</si>
  <si>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</si>
  <si>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</si>
  <si>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</si>
  <si>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</si>
  <si>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</si>
  <si>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</si>
  <si>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</si>
  <si>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</si>
  <si>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</si>
  <si>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</si>
  <si>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</si>
  <si>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</si>
  <si>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</si>
  <si>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</si>
  <si>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</si>
  <si>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</si>
  <si>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</si>
  <si>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</si>
  <si>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</si>
  <si>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</si>
  <si>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</si>
  <si>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</si>
  <si>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</si>
  <si>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</si>
  <si>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</si>
  <si>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</si>
  <si>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</si>
  <si>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</si>
  <si>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</si>
  <si>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</si>
  <si>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</si>
  <si>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</si>
  <si>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</si>
  <si>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</si>
  <si>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</si>
  <si>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</si>
  <si>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</si>
  <si>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</si>
  <si>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</si>
  <si>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</si>
  <si>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</si>
  <si>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</si>
  <si>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</si>
  <si>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</si>
  <si>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</si>
  <si>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</si>
  <si>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</si>
  <si>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</si>
  <si>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</si>
  <si>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</si>
  <si>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</si>
  <si>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</si>
  <si>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</si>
  <si>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</si>
  <si>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</si>
  <si>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</si>
  <si>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</si>
  <si>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</si>
  <si>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</si>
  <si>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</si>
  <si>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</si>
  <si>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</si>
  <si>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</si>
  <si>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</si>
  <si>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</si>
  <si>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</si>
  <si>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</si>
  <si>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</si>
  <si>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</si>
  <si>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</si>
  <si>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</si>
  <si>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</si>
  <si>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</si>
  <si>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</si>
  <si>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</si>
  <si>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</si>
  <si>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</si>
  <si>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</si>
  <si>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</si>
  <si>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</si>
  <si>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</si>
  <si>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</si>
  <si>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</si>
  <si>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</si>
  <si>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</si>
  <si>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</si>
  <si>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</si>
  <si>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</si>
  <si>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</si>
  <si>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</si>
  <si>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</si>
  <si>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</si>
  <si>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</si>
  <si>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</si>
  <si>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</si>
  <si>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</si>
  <si>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</si>
  <si>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</si>
  <si>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</si>
  <si>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</si>
  <si>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</si>
  <si>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</si>
  <si>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</si>
  <si>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</si>
  <si>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</si>
  <si>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</si>
  <si>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</si>
  <si>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</si>
  <si>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</si>
  <si>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</si>
  <si>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</si>
  <si>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</si>
  <si>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</si>
  <si>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</si>
  <si>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</si>
  <si>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</si>
  <si>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</si>
  <si>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</si>
  <si>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</si>
  <si>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</si>
  <si>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</si>
  <si>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</si>
  <si>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</si>
  <si>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</si>
  <si>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</si>
  <si>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</si>
  <si>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</si>
  <si>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</si>
  <si>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</si>
  <si>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</si>
  <si>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</si>
  <si>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</si>
  <si>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</si>
  <si>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</si>
  <si>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</si>
  <si>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</si>
  <si>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</si>
  <si>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</si>
  <si>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</si>
  <si>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</si>
  <si>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</si>
  <si>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</si>
  <si>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</si>
  <si>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</si>
  <si>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</si>
  <si>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</si>
  <si>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</si>
  <si>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</si>
  <si>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</si>
  <si>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</si>
  <si>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</si>
  <si>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</si>
  <si>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</si>
  <si>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</si>
  <si>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</si>
  <si>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</si>
  <si>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</si>
  <si>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</si>
  <si>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</si>
  <si>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</si>
  <si>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</si>
  <si>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</si>
  <si>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</si>
  <si>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</si>
  <si>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</si>
  <si>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</si>
  <si>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</si>
  <si>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</si>
  <si>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</si>
  <si>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</si>
  <si>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</si>
  <si>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</si>
  <si>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</si>
  <si>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</si>
  <si>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</si>
  <si>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</si>
  <si>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</si>
  <si>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</si>
  <si>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</si>
  <si>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</si>
  <si>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</si>
  <si>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</si>
  <si>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</si>
  <si>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</si>
  <si>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</si>
  <si>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</si>
  <si>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</si>
  <si>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</si>
  <si>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</si>
  <si>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</si>
  <si>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</si>
  <si>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</si>
  <si>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</si>
  <si>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</si>
  <si>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</si>
  <si>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</si>
  <si>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</si>
  <si>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</si>
  <si>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</si>
  <si>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</si>
  <si>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</si>
  <si>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</si>
  <si>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</si>
  <si>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</si>
  <si>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</si>
  <si>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</si>
  <si>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</si>
  <si>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</si>
  <si>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</si>
  <si>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</si>
  <si>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</si>
  <si>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</si>
  <si>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</si>
  <si>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</si>
  <si>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</si>
  <si>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</si>
  <si>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</si>
  <si>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</si>
  <si>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</si>
  <si>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</si>
  <si>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</si>
  <si>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</si>
  <si>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</si>
  <si>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</si>
  <si>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</si>
  <si>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</si>
  <si>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</si>
  <si>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</si>
  <si>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</si>
  <si>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</si>
  <si>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</si>
  <si>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</si>
  <si>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</si>
  <si>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</si>
  <si>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</si>
  <si>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</si>
  <si>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</si>
  <si>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</si>
  <si>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</si>
  <si>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</si>
  <si>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</si>
  <si>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</si>
  <si>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</si>
  <si>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</si>
  <si>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</si>
  <si>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</si>
  <si>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</si>
  <si>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</si>
  <si>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</si>
  <si>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</si>
  <si>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</si>
  <si>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</si>
  <si>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</si>
  <si>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</si>
  <si>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</si>
  <si>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</si>
  <si>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</si>
  <si>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</si>
  <si>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</si>
  <si>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</si>
  <si>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</si>
  <si>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</si>
  <si>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</si>
  <si>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</si>
  <si>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</si>
  <si>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</si>
  <si>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</si>
  <si>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</si>
  <si>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</si>
  <si>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</si>
  <si>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</si>
  <si>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</si>
  <si>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</si>
  <si>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</si>
  <si>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</si>
  <si>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</si>
  <si>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</si>
  <si>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</si>
  <si>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</si>
  <si>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</si>
  <si>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</si>
  <si>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</si>
  <si>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</si>
  <si>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</si>
  <si>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</si>
  <si>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</si>
  <si>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</si>
  <si>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</si>
  <si>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</si>
  <si>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</si>
  <si>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</si>
  <si>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</si>
  <si>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</si>
  <si>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</si>
  <si>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</si>
  <si>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</si>
  <si>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</si>
  <si>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</si>
  <si>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</si>
  <si>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</si>
  <si>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</si>
  <si>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</si>
  <si>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</si>
  <si>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</si>
  <si>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</si>
  <si>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</si>
  <si>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</si>
  <si>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</si>
  <si>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</si>
  <si>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</si>
  <si>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</si>
  <si>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</si>
  <si>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</si>
  <si>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</si>
  <si>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</si>
  <si>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</si>
  <si>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</si>
  <si>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</si>
  <si>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</si>
  <si>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</si>
  <si>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</si>
  <si>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</si>
  <si>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</si>
  <si>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</si>
  <si>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</si>
  <si>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</si>
  <si>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</si>
  <si>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</si>
  <si>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</si>
  <si>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</si>
  <si>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</si>
  <si>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</si>
  <si>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</si>
  <si>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</si>
  <si>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</si>
  <si>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</si>
  <si>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</si>
  <si>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</si>
  <si>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</si>
  <si>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</si>
  <si>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</si>
  <si>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</si>
  <si>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</si>
  <si>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</si>
  <si>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</si>
  <si>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</si>
  <si>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</si>
  <si>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</si>
  <si>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</si>
  <si>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</si>
  <si>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</si>
  <si>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</si>
  <si>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</si>
  <si>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</si>
  <si>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</si>
  <si>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</si>
  <si>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</si>
  <si>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</si>
  <si>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</si>
  <si>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</si>
  <si>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</si>
  <si>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</si>
  <si>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</si>
  <si>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</si>
  <si>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</si>
  <si>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</si>
  <si>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</si>
  <si>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</si>
  <si>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</si>
  <si>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</si>
  <si>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</si>
  <si>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</si>
  <si>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</si>
  <si>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</si>
  <si>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</si>
  <si>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</si>
  <si>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</si>
  <si>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</si>
  <si>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</si>
  <si>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</si>
  <si>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</si>
  <si>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</si>
  <si>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</si>
  <si>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</si>
  <si>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</si>
  <si>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</si>
  <si>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</si>
  <si>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</si>
  <si>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</si>
  <si>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</si>
  <si>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</si>
  <si>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</si>
  <si>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</si>
  <si>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</si>
  <si>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</si>
  <si>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</si>
  <si>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</si>
  <si>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</si>
  <si>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</si>
  <si>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</si>
  <si>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</si>
  <si>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</si>
  <si>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</si>
  <si>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</si>
  <si>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</si>
  <si>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</si>
  <si>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</si>
  <si>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</si>
  <si>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</si>
  <si>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</si>
  <si>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</si>
  <si>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</si>
  <si>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</si>
  <si>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</si>
  <si>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</si>
  <si>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</si>
  <si>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</si>
  <si>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</si>
  <si>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</si>
  <si>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</si>
  <si>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</si>
  <si>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</si>
  <si>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</si>
  <si>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</si>
  <si>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</si>
  <si>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</si>
  <si>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</si>
  <si>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</si>
  <si>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</si>
  <si>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</si>
  <si>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</si>
  <si>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</si>
  <si>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</si>
  <si>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</si>
  <si>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</si>
  <si>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</si>
  <si>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</si>
  <si>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</si>
  <si>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</si>
  <si>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</si>
  <si>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</si>
  <si>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</si>
  <si>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</si>
  <si>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</si>
  <si>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</si>
  <si>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</si>
  <si>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</si>
  <si>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</si>
  <si>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</si>
  <si>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</si>
  <si>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</si>
  <si>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</si>
  <si>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</si>
  <si>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</si>
  <si>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</si>
  <si>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</si>
  <si>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</si>
  <si>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</si>
  <si>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</si>
  <si>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</si>
  <si>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</si>
  <si>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</si>
  <si>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</si>
  <si>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</si>
  <si>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</si>
  <si>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</si>
  <si>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</si>
  <si>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</si>
  <si>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</si>
  <si>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</si>
  <si>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</si>
  <si>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</si>
  <si>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</si>
  <si>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</si>
  <si>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</si>
  <si>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</si>
  <si>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</si>
  <si>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</si>
  <si>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</si>
  <si>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</si>
  <si>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</si>
  <si>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</si>
  <si>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</si>
  <si>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</si>
  <si>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</si>
  <si>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</si>
  <si>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</si>
  <si>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</si>
  <si>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</si>
  <si>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</si>
  <si>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</si>
  <si>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</si>
  <si>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</si>
  <si>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</si>
  <si>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</si>
  <si>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</si>
  <si>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</si>
  <si>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</si>
  <si>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</si>
  <si>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</si>
  <si>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</si>
  <si>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</si>
  <si>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</si>
  <si>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</si>
  <si>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</si>
  <si>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</si>
  <si>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</si>
  <si>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</si>
  <si>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</si>
  <si>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</si>
  <si>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</si>
  <si>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</si>
  <si>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</si>
  <si>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</si>
  <si>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</si>
  <si>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</si>
  <si>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</si>
  <si>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</si>
  <si>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</si>
  <si>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</si>
  <si>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</si>
  <si>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</si>
  <si>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</si>
  <si>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</si>
  <si>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</si>
  <si>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</si>
  <si>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</si>
  <si>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</si>
  <si>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</si>
  <si>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</si>
  <si>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</si>
  <si>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</si>
  <si>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</si>
  <si>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</si>
  <si>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</si>
  <si>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</si>
  <si>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</si>
  <si>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</si>
  <si>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</si>
  <si>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</si>
  <si>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</si>
  <si>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</si>
  <si>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</si>
  <si>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</si>
  <si>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</si>
  <si>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</si>
  <si>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</si>
  <si>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</si>
  <si>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</si>
  <si>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</si>
  <si>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</si>
  <si>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</si>
  <si>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</si>
  <si>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</si>
  <si>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</si>
  <si>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</si>
  <si>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</si>
  <si>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</si>
  <si>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</si>
  <si>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</si>
  <si>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</si>
  <si>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</si>
  <si>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</si>
  <si>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</si>
  <si>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</si>
  <si>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</si>
  <si>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</si>
  <si>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</si>
  <si>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</si>
  <si>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</si>
  <si>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</si>
  <si>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</si>
  <si>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</si>
  <si>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</si>
  <si>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</si>
  <si>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</si>
  <si>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</si>
  <si>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</si>
  <si>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</si>
  <si>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</si>
  <si>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</si>
  <si>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</si>
  <si>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</si>
  <si>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</si>
  <si>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</si>
  <si>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</si>
  <si>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</si>
  <si>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</si>
  <si>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</si>
  <si>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</si>
  <si>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</si>
  <si>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</si>
  <si>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</si>
  <si>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</si>
  <si>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</si>
  <si>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</si>
  <si>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</si>
  <si>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</si>
  <si>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</si>
  <si>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</si>
  <si>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</si>
  <si>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</si>
  <si>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</si>
  <si>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</si>
  <si>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</si>
  <si>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</si>
  <si>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</si>
  <si>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</si>
  <si>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</si>
  <si>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</si>
  <si>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</si>
  <si>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</si>
  <si>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</si>
  <si>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</si>
  <si>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</si>
  <si>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</si>
  <si>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</si>
  <si>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</si>
  <si>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</si>
  <si>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</si>
  <si>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</si>
  <si>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</si>
  <si>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</si>
  <si>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</si>
  <si>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</si>
  <si>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</si>
  <si>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</si>
  <si>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</si>
  <si>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</si>
  <si>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</si>
  <si>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</si>
  <si>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</si>
  <si>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</si>
  <si>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</si>
  <si>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</si>
  <si>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</si>
  <si>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</si>
  <si>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</si>
  <si>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</si>
  <si>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</si>
  <si>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</si>
  <si>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</si>
  <si>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</si>
  <si>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</si>
  <si>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</si>
  <si>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</si>
  <si>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</si>
  <si>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</si>
  <si>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</si>
  <si>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</si>
  <si>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</si>
  <si>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</si>
  <si>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</si>
  <si>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</si>
  <si>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</si>
  <si>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</si>
  <si>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</si>
  <si>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</si>
  <si>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</si>
  <si>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</si>
  <si>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</si>
  <si>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</si>
  <si>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</si>
  <si>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</si>
  <si>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</si>
  <si>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</si>
  <si>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</si>
  <si>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</si>
  <si>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</si>
  <si>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</si>
  <si>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</si>
  <si>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</si>
  <si>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</si>
  <si>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</si>
  <si>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</si>
  <si>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</si>
  <si>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</si>
  <si>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</si>
  <si>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</si>
  <si>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</si>
  <si>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</si>
  <si>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</si>
  <si>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</si>
  <si>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</si>
  <si>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</si>
  <si>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</si>
  <si>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</si>
  <si>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</si>
  <si>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</si>
  <si>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</si>
  <si>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</si>
  <si>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</si>
  <si>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</si>
  <si>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</si>
  <si>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</si>
  <si>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</si>
  <si>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</si>
  <si>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</si>
  <si>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</si>
  <si>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</si>
  <si>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</si>
  <si>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</si>
  <si>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</si>
  <si>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</si>
  <si>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</si>
  <si>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</si>
  <si>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</si>
  <si>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</si>
  <si>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</si>
  <si>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</si>
  <si>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</si>
  <si>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</si>
  <si>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</si>
  <si>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</si>
  <si>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</si>
  <si>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</si>
  <si>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</si>
  <si>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</si>
  <si>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</si>
  <si>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</si>
  <si>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</si>
  <si>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</si>
  <si>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</si>
  <si>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</si>
  <si>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</si>
  <si>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</si>
  <si>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</si>
  <si>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</si>
  <si>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</si>
  <si>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</si>
  <si>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</si>
  <si>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</si>
  <si>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</si>
  <si>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</si>
  <si>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</si>
  <si>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</si>
  <si>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</si>
  <si>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</si>
  <si>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</si>
  <si>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</si>
  <si>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</si>
  <si>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</si>
  <si>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</si>
  <si>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</si>
  <si>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</si>
  <si>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</si>
  <si>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</si>
  <si>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</si>
  <si>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</si>
  <si>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</si>
  <si>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</si>
  <si>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</si>
  <si>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</si>
  <si>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</si>
  <si>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</si>
  <si>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</si>
  <si>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</si>
  <si>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</si>
  <si>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</si>
  <si>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</si>
  <si>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</si>
  <si>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</si>
  <si>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</si>
  <si>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</si>
  <si>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</si>
  <si>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</si>
  <si>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</si>
  <si>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</si>
  <si>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</si>
  <si>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</si>
  <si>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</si>
  <si>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</si>
  <si>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</si>
  <si>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</si>
  <si>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</si>
  <si>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</si>
  <si>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</si>
  <si>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</si>
  <si>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</si>
  <si>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</si>
  <si>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</si>
  <si>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</si>
  <si>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</si>
  <si>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</si>
  <si>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</si>
  <si>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</si>
  <si>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</si>
  <si>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</si>
  <si>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</si>
  <si>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</si>
  <si>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</si>
  <si>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</si>
  <si>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</si>
  <si>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</si>
  <si>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</si>
  <si>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</si>
  <si>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</si>
  <si>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</si>
  <si>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</si>
  <si>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</si>
  <si>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</si>
  <si>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</si>
  <si>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</si>
  <si>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</si>
  <si>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</si>
  <si>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</si>
  <si>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</si>
  <si>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</si>
  <si>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</si>
  <si>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</si>
  <si>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</si>
  <si>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</si>
  <si>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</si>
  <si>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</si>
  <si>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</si>
  <si>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</si>
  <si>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</si>
  <si>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</si>
  <si>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</si>
  <si>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</si>
  <si>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</si>
  <si>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</si>
  <si>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</si>
  <si>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</si>
  <si>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</si>
  <si>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</si>
  <si>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</si>
  <si>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</si>
  <si>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</si>
  <si>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</si>
  <si>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</si>
  <si>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</si>
  <si>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</si>
  <si>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</si>
  <si>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</si>
  <si>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</si>
  <si>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</si>
  <si>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</si>
  <si>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</si>
  <si>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</si>
  <si>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</si>
  <si>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</si>
  <si>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</si>
  <si>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</si>
  <si>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</si>
  <si>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</si>
  <si>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</si>
  <si>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</si>
  <si>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</si>
  <si>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</si>
  <si>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</si>
  <si>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</si>
  <si>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</si>
  <si>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</si>
  <si>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</si>
  <si>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</si>
  <si>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</si>
  <si>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</si>
  <si>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</si>
  <si>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</si>
  <si>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</si>
  <si>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</si>
  <si>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</si>
  <si>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</si>
  <si>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</si>
  <si>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</si>
  <si>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</si>
  <si>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</si>
  <si>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</si>
  <si>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</si>
  <si>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</si>
  <si>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</si>
  <si>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</si>
  <si>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</si>
  <si>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</si>
  <si>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</si>
  <si>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</si>
  <si>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</si>
  <si>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</si>
  <si>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</si>
  <si>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</si>
  <si>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</si>
  <si>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</si>
  <si>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</si>
  <si>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</si>
  <si>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</si>
  <si>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</si>
  <si>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</si>
  <si>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</si>
  <si>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</si>
  <si>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</si>
  <si>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</si>
  <si>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</si>
  <si>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</si>
  <si>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</si>
  <si>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</si>
  <si>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</si>
  <si>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</si>
  <si>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</si>
  <si>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</si>
  <si>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</si>
  <si>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</si>
  <si>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</si>
  <si>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</si>
  <si>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</si>
  <si>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</si>
  <si>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</si>
  <si>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</si>
  <si>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</si>
  <si>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</si>
  <si>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</si>
  <si>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</si>
  <si>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</si>
  <si>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</si>
  <si>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</si>
  <si>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</si>
  <si>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</si>
  <si>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</si>
  <si>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</si>
  <si>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</si>
  <si>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</si>
  <si>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</si>
  <si>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</si>
  <si>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</si>
  <si>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</si>
  <si>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</si>
  <si>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</si>
  <si>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</si>
  <si>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</si>
  <si>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</si>
  <si>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</si>
  <si>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</si>
  <si>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</si>
  <si>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</si>
  <si>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</si>
  <si>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</si>
  <si>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</si>
  <si>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</si>
  <si>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</si>
  <si>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</si>
  <si>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</si>
  <si>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</si>
  <si>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</si>
  <si>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</si>
  <si>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</si>
  <si>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</si>
  <si>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</si>
  <si>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</si>
  <si>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</si>
  <si>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</si>
  <si>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</si>
  <si>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</si>
  <si>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</si>
  <si>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</si>
  <si>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</si>
  <si>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</si>
  <si>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</si>
  <si>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</si>
  <si>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</si>
  <si>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</si>
  <si>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</si>
  <si>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</si>
  <si>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</si>
  <si>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</si>
  <si>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</si>
  <si>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</si>
  <si>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</si>
  <si>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</si>
  <si>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</si>
  <si>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</si>
  <si>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</si>
  <si>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</si>
  <si>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</si>
  <si>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</si>
  <si>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</si>
  <si>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</si>
  <si>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</si>
  <si>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</si>
  <si>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</si>
  <si>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</si>
  <si>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</si>
  <si>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</si>
  <si>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</si>
  <si>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</si>
  <si>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</si>
  <si>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</si>
  <si>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</si>
  <si>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</si>
  <si>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</si>
  <si>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</si>
  <si>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</si>
  <si>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</si>
  <si>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</si>
  <si>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</si>
  <si>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</si>
  <si>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</si>
  <si>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</si>
  <si>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</si>
  <si>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</si>
  <si>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</si>
  <si>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</si>
  <si>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</si>
  <si>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</si>
  <si>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</si>
  <si>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</si>
  <si>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</si>
  <si>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</si>
  <si>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</si>
  <si>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</si>
  <si>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</si>
  <si>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</si>
  <si>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</si>
  <si>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</si>
  <si>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</si>
  <si>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</si>
  <si>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</si>
  <si>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</si>
  <si>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</si>
  <si>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</si>
  <si>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</si>
  <si>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</si>
  <si>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</si>
  <si>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</si>
  <si>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</si>
  <si>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</si>
  <si>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</si>
  <si>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</si>
  <si>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</si>
  <si>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</si>
  <si>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</si>
  <si>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</si>
  <si>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</si>
  <si>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</si>
  <si>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</si>
  <si>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</si>
  <si>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</si>
  <si>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</si>
  <si>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</si>
  <si>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</si>
  <si>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</si>
  <si>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</si>
  <si>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</si>
  <si>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</si>
  <si>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</si>
  <si>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</si>
  <si>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</si>
  <si>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</si>
  <si>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</si>
  <si>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</si>
  <si>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</si>
  <si>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</si>
  <si>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</si>
  <si>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</si>
  <si>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</si>
  <si>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</si>
  <si>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</si>
  <si>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</si>
  <si>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</si>
  <si>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</si>
  <si>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</si>
  <si>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</si>
  <si>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</si>
  <si>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</si>
  <si>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</si>
  <si>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</si>
  <si>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</si>
  <si>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</si>
  <si>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</si>
  <si>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</si>
  <si>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</si>
  <si>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</si>
  <si>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</si>
  <si>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</si>
  <si>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</si>
  <si>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</si>
  <si>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</si>
  <si>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</si>
  <si>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</si>
  <si>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</si>
  <si>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</si>
  <si>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</si>
  <si>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</si>
  <si>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</si>
  <si>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</si>
  <si>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</si>
  <si>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</si>
  <si>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</si>
  <si>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</si>
  <si>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</si>
  <si>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</si>
  <si>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</si>
  <si>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</si>
  <si>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</si>
  <si>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</si>
  <si>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</si>
  <si>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</si>
  <si>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</si>
  <si>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</si>
  <si>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</si>
  <si>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</si>
  <si>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</si>
  <si>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</si>
  <si>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</si>
  <si>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</si>
  <si>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</si>
  <si>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</si>
  <si>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</si>
  <si>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</si>
  <si>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</si>
  <si>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</si>
  <si>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</si>
  <si>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</si>
  <si>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</si>
  <si>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</si>
  <si>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</si>
  <si>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</si>
  <si>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</si>
  <si>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</si>
  <si>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</si>
  <si>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</si>
  <si>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</si>
  <si>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</si>
  <si>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</si>
  <si>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</si>
  <si>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</si>
  <si>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</si>
  <si>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</si>
  <si>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</si>
  <si>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</si>
  <si>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</si>
  <si>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</si>
  <si>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</si>
  <si>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</si>
  <si>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</si>
  <si>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</si>
  <si>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</si>
  <si>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</si>
  <si>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Westchester Ventures, LLC</t>
  </si>
  <si>
    <t>Philip Searles</t>
  </si>
  <si>
    <t>Westchester Village</t>
  </si>
  <si>
    <t>Jonesboro Housing Authority</t>
  </si>
  <si>
    <t>Low-Rise Elevator</t>
  </si>
  <si>
    <t>Electric Heat Pump</t>
  </si>
  <si>
    <t>Senior Credit - GA Power</t>
  </si>
  <si>
    <t>Novogradac &amp; Company, LLP</t>
  </si>
  <si>
    <t>40% of Units at 60% of AMI</t>
  </si>
  <si>
    <t>N/a</t>
  </si>
  <si>
    <t>Metro Atlanta Rapid Transit Authority</t>
  </si>
  <si>
    <t>www.itsmarta.com</t>
  </si>
  <si>
    <t>custserv@itsmarta.com</t>
  </si>
  <si>
    <t>Swint Elementary School 5060</t>
  </si>
  <si>
    <t>Jonesboro Middle School 0106</t>
  </si>
  <si>
    <t>Jonesboro High School 1056</t>
  </si>
  <si>
    <t>Not Applicable</t>
  </si>
  <si>
    <t>TBD (only if Option A)</t>
  </si>
  <si>
    <t>Purchase Contract</t>
  </si>
  <si>
    <t>WV Jonesboro Senior, LP</t>
  </si>
  <si>
    <t>Georgia Power</t>
  </si>
  <si>
    <t>Clayton County Water Authority</t>
  </si>
  <si>
    <t>Room</t>
  </si>
  <si>
    <t>Covered Porch</t>
  </si>
  <si>
    <t>On-site laundry</t>
  </si>
  <si>
    <t>Agree</t>
  </si>
  <si>
    <t>Yes - see Comment</t>
  </si>
  <si>
    <t>Unincorporated County</t>
  </si>
  <si>
    <t>philipsearles@gmail.com</t>
  </si>
  <si>
    <t>Sterling Bank</t>
  </si>
  <si>
    <t>Amortizing</t>
  </si>
  <si>
    <t>Cable TV &amp; Internet</t>
  </si>
  <si>
    <t>Community Improvement Fund</t>
  </si>
  <si>
    <t>DDA/QCT</t>
  </si>
  <si>
    <t>Applicant certifies that all the standards and requirements of the 2023 QAP, XVIII. Architectural Design &amp; Quality Standards section and the 2023 Architectural Manual.</t>
  </si>
  <si>
    <t>Applicant certifies that they will meet all requirements of the 2023 QAP, XVII accessibility Standards section and the 2023 Accessibility Manual.</t>
  </si>
  <si>
    <t>MARTA Transit stop #: 212513 is less than 1 mile walking distance from the secondary pedestrian site entrance and serves bus routes 191, 192 and 193. Bus stop 212513 meets the criteria of a transit HUB, therefore the Applicant is eligible for 4 points.</t>
  </si>
  <si>
    <t>The proposed location falls within the school district boundary of Swint Elementary School within the Clayton County School System. Swint Elementary  received beating the odds designation in 2018 and 2019. The school serves grades PK - 05. Swint Elementary is also eligible for points based on DCA's Option C - scoring. support documentation is in Tab 28.</t>
  </si>
  <si>
    <t>Terracon Consultants, Inc.</t>
  </si>
  <si>
    <t>Evidence of site control in the form of a purchase contract is in Tab 08 of the Application and provides site control through November 30, 2023.</t>
  </si>
  <si>
    <t>Not Applicable, proposed projest is new construction on vacant land.</t>
  </si>
  <si>
    <t>Resolution NO. 2020 - 205</t>
  </si>
  <si>
    <t>Applicant agrees to engage QB's in the development or operation of the proposed property in amounts equal to approximately 5% of total construction hard costs as certified by the Independent Auditor Report in the Final Allocation Application. Applicant will submit a report with Final Allocation Application describing these efforts and detailing sucesses, obstacles, and other notes pertaining to the Applicant's attempts to follow through on the commitment.</t>
  </si>
  <si>
    <t>The Applicant has controlling interest in the General Partnership and has agreed to contract with DCA PBRA under a prior QAP. The property is only eligible for 2 points as Applicant has selected senior tenancy.</t>
  </si>
  <si>
    <t>Applicant is eligible for 5 points as there are no DCA awarded projects located in the jurisdiction of Clayton County. All previous projects awarded in Clayton County are currently located within the political jurisdictions of the City of Jonesboro, the City of Lovejoy or the City of Riverdale. The tax records for online reflect this.</t>
  </si>
  <si>
    <t>The Tara Blvd Design Plan clearly designates a targeted are within the local government boundary that includes the proposed site. The plan discusses housing as a goal, an assessment of the existing properties within the targeted area and designates implementation measures. The plan was originally adopted in 2012 and re-approved per resolution NO. 2020 - 205 in 2020. Third party off-site improvements consist of road improvements at the intersection of Hwy 138 and Tara Blvd totalling $3,761,360.29. the improvements are within a half mile and were completed in September 2022.</t>
  </si>
  <si>
    <t>Applicant has agreed to partner with Helping Hands Ending Hunger INC. to create notable change in the community through the creation of a Community Transformation Plan. Applicant agrees to meet all requirements listed under subsections C. Community-Based Team Responsibilities and D. Planning for Community Transformation of this QAP section.</t>
  </si>
  <si>
    <t>2023PA-023</t>
  </si>
  <si>
    <t>Other Type of FEDERAL Funding * - describe type/program here</t>
  </si>
  <si>
    <t>Partner Equity</t>
  </si>
  <si>
    <t>Affordable Equity Partners</t>
  </si>
  <si>
    <t>Terracon identified and delineated two wetland areas, totaling 0.08 acres. Based on the proposed development plan, there are no impacts anticipated to the wetlands on the subject property.</t>
  </si>
  <si>
    <t>The Site Construction costs were determined by a third-party civil engineer’s site visit and opinion of probable costs and then re-evaluated by the general contractor. 
The Residential Structures cost estimate was fully vetted with the general contractor and was based on their experience with the proposed development design and current market conditions.
Please see Tab 2 in this application for a breakout of the Local Government Fees</t>
  </si>
  <si>
    <t xml:space="preserve">Applicant has used the Jonesboro Housing Authority UA's. The UA's that took effect April 1, 2022 were is effect on January 1, 2023. </t>
  </si>
  <si>
    <t>www.huduser.gov</t>
  </si>
  <si>
    <t>Documentation for Real Estate Taxes and Insurance budgets can be found in Tab 2 of the application.</t>
  </si>
  <si>
    <t>The Applicant believes the proposed application is consistent with DCA's requirements regarding Project Feasibility, Viability and Conformance with the Plan as detailed in the 2023 QAP.  Westchester Village complies with the 2023 QAP and the Applicant has not requested any waivers or deviations from these standards.</t>
  </si>
  <si>
    <t>The Applicant has selected a "Housing for Older Persons" designation and will serve that tenancy.</t>
  </si>
  <si>
    <t>Applicant agrees to provide the required services in the 2023 QAP.</t>
  </si>
  <si>
    <t>The full market study can be found in Tab 5 of this application. As low as the capture rates in the market study indicated, there is a strong demand for affordable housing in Clayton County. Additionally, the average absorption rate of the comprable properties in the area were 42 units per month with the Market Study estimating an absorption pace of 20 units per month for the proposed development.</t>
  </si>
  <si>
    <t>Please see Tab 7 of this application for the Environmental Report</t>
  </si>
  <si>
    <t>The site has vehicular and pedestrian site access from legally accessible paved roads. Site Access documentation has been provided in Tab 9 of this application.</t>
  </si>
  <si>
    <t xml:space="preserve">The site is zoned Multi-Family Residential (RM). Please see Tab 10 of this application for Site Zoning documentation. </t>
  </si>
  <si>
    <t>See Tab 11 of this application confirming that Georgia Power has adequate electrical service availability for the proposed development.</t>
  </si>
  <si>
    <t>See Tab 12 of this application confirming water and sanitary sewer availability from Clayton County Water Authority for the proposed development.</t>
  </si>
  <si>
    <t>Applicant certifies that they meet the requirements of the 2023 QAP, XIII. Required Amenities section and the 2023 Architectural Manual regarding Standard Site Amenities and Additional Site Amenities. The proposed Senior development will be elevator serviced with interior gathering areas will be provided as the proposed development is a single building with three stories.</t>
  </si>
  <si>
    <t>Not Applicable. Proposed development is 100% new construction.</t>
  </si>
  <si>
    <t>The Applicant has provided the required site information and conceptual site development plan documentation in Tab 15 of this application that is consistent with DCA's requirements.</t>
  </si>
  <si>
    <t>Applicant certifies that, at a minimum, all dwelling units will comply with the requirements of the 2023 QAP, XVII Building Sustainability and the 2023 Architectural Manual. The EarthCraft Multifamily worksheet has been provided in Tab 16 of this application.</t>
  </si>
  <si>
    <t>The Certifying Entity met the Experience requirements in 2022 and has received the 2023 Pre-Application Project Team Qualification Determination letter from DCA and was deemed Qualifed under Probationary Participation. This is the only property and application for the certifying entity. Qualification Determination is included in Tab 19 of the application.</t>
  </si>
  <si>
    <t>The Applicant agrees to prepare and submit an AFFH marketing plan that includes items A-F noted in this section if the applicant is selected for funding.</t>
  </si>
  <si>
    <t>The Applicant believe the proposed development represents an optimal utilization of resources. Per the Market Study, the capture rates are very low for the proposed property and the existing affordable comparables are performing very well with low vacancy rates and waiting lists indicating a strong demand for affordable housing in Clayton County.</t>
  </si>
  <si>
    <t>The proposed development is within a 0.50 mile from a Child Care Service, Department Store, Federally Insured Banking Institutions, Grocery Store, Restaurant, Pharmacy, Elementary School and Place of Worship; within 1.00 mile of Public Park and 1.10 mile of Fire Station and Post Office. The proposed site is within range of 24 total available Desirable points and the Applicant is eligible for the maximum 20 Desirable points. Please see Tab 26 of this application for the Desirable certification. There are no undesirables. The property does fall within a food desert; however, there are three (3) grocery stores within a 0.5 mile walking distance from the proposed site, which also illustrated in Tab 26 of this application.</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</si>
  <si>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</si>
  <si>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IV. Deeper Targeting / Rent / Income Restrictions: Applicant has selected 40% at 60% Minimum Set-aside and overall property median income, calculated based on the imputed income and rent limitations for each affordable unit is equal to 58%
XI. Mixed Income Developments: Applicant has made the 40% at 60% AMI minimu set-aside election and will include 10% unrestricted market rate units.
XV. Extended Affordability Commitment: Owner is willing to forgo the Qualified Contract "cancellation option" and agrees to the Waiver of Qualified Contract Right and Right of First Refusal.
XXIII. Compliance Performance: The Applicant is in full compliance and should recieve the full 10 points in this section.</t>
  </si>
  <si>
    <t>Applicant has commited $50,000 towards a Community Improvement Fund as part of the transformation plan. The 2023 QAP maximum Developer Fee has been reduced by this $50,000 and established this Community Improvement Fund line item as a designated financial account to support the services of the community transformational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</si>
</sst>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Westchester Village</v>
      </c>
    </row>
    <row r="3" spans="1:6" ht="15" customHeight="1">
      <c r="A3" s="666" t="str">
        <f>CONCATENATE('Part I-Project Identification'!F26,", ", 'Part I-Project Identification'!J26," County")</f>
        <v>Jonesboro, Clayton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1" zoomScaleNormal="100" workbookViewId="0">
      <selection activeCell="K265" sqref="K26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Westchester Village, Jonesboro, Clayton County</v>
      </c>
      <c r="B2" s="3555"/>
      <c r="C2" s="3555"/>
      <c r="D2" s="3555"/>
      <c r="E2" s="3555"/>
      <c r="F2" s="3555"/>
      <c r="G2" s="3555"/>
      <c r="H2" s="3555"/>
      <c r="I2" s="3555"/>
      <c r="J2" s="3555"/>
      <c r="K2" s="3555"/>
      <c r="L2" s="3555"/>
      <c r="M2" s="3555"/>
      <c r="N2" s="3555"/>
      <c r="O2" s="3555"/>
      <c r="P2" s="3555"/>
      <c r="Q2" s="3556"/>
      <c r="T2" s="1427" t="str">
        <f>A2</f>
        <v>PART FOUR - PROJECTED REVENUES &amp; EXPENSES  -  2023-0 Westchester Village, Jonesboro, Clayton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2" t="str">
        <f>'Part I-Project Identification'!$O$28</f>
        <v>Atlanta-Sandy Springs-Marietta</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3204</v>
      </c>
      <c r="R5" s="830"/>
      <c r="S5" s="337"/>
      <c r="T5" s="337"/>
      <c r="U5" s="337"/>
      <c r="W5" s="338"/>
      <c r="X5" s="3628" t="s">
        <v>3682</v>
      </c>
      <c r="Y5" s="3628" t="s">
        <v>3683</v>
      </c>
      <c r="Z5" s="3628" t="s">
        <v>3684</v>
      </c>
      <c r="AA5" s="3628" t="s">
        <v>3685</v>
      </c>
      <c r="AB5" s="3628" t="s">
        <v>3686</v>
      </c>
      <c r="AC5" s="3628" t="s">
        <v>3687</v>
      </c>
      <c r="AD5" s="3628" t="s">
        <v>3688</v>
      </c>
      <c r="AE5" s="3628" t="s">
        <v>3689</v>
      </c>
      <c r="AF5" s="3628" t="s">
        <v>3690</v>
      </c>
      <c r="AG5" s="3628" t="s">
        <v>3691</v>
      </c>
      <c r="AH5" s="3628" t="s">
        <v>861</v>
      </c>
      <c r="AI5" s="3628" t="s">
        <v>705</v>
      </c>
      <c r="AJ5" s="3628" t="s">
        <v>706</v>
      </c>
      <c r="AK5" s="3628" t="s">
        <v>707</v>
      </c>
      <c r="AL5" s="3628" t="s">
        <v>708</v>
      </c>
      <c r="AM5" s="3628" t="s">
        <v>862</v>
      </c>
      <c r="AN5" s="3628" t="s">
        <v>2131</v>
      </c>
      <c r="AO5" s="3628" t="s">
        <v>2132</v>
      </c>
      <c r="AP5" s="3628" t="s">
        <v>2133</v>
      </c>
      <c r="AQ5" s="3628" t="s">
        <v>2134</v>
      </c>
      <c r="AR5" s="3628" t="s">
        <v>3693</v>
      </c>
      <c r="AS5" s="3628" t="s">
        <v>3694</v>
      </c>
      <c r="AT5" s="3628" t="s">
        <v>3695</v>
      </c>
      <c r="AU5" s="3628" t="s">
        <v>3696</v>
      </c>
      <c r="AV5" s="3628" t="s">
        <v>3692</v>
      </c>
      <c r="AW5" s="3628" t="s">
        <v>863</v>
      </c>
      <c r="AX5" s="3628" t="s">
        <v>2135</v>
      </c>
      <c r="AY5" s="3628" t="s">
        <v>2136</v>
      </c>
      <c r="AZ5" s="3628" t="s">
        <v>2137</v>
      </c>
      <c r="BA5" s="3628" t="s">
        <v>2138</v>
      </c>
      <c r="BB5" s="3628" t="s">
        <v>3697</v>
      </c>
      <c r="BC5" s="3628" t="s">
        <v>3698</v>
      </c>
      <c r="BD5" s="3628" t="s">
        <v>3699</v>
      </c>
      <c r="BE5" s="3628" t="s">
        <v>3700</v>
      </c>
      <c r="BF5" s="3628" t="s">
        <v>3701</v>
      </c>
      <c r="BG5" s="3628" t="s">
        <v>123</v>
      </c>
      <c r="BH5" s="3628" t="s">
        <v>2139</v>
      </c>
      <c r="BI5" s="3628" t="s">
        <v>2140</v>
      </c>
      <c r="BJ5" s="3628" t="s">
        <v>2141</v>
      </c>
      <c r="BK5" s="3628" t="s">
        <v>1080</v>
      </c>
      <c r="BL5" s="3628" t="s">
        <v>3702</v>
      </c>
      <c r="BM5" s="3628" t="s">
        <v>3703</v>
      </c>
      <c r="BN5" s="3628" t="s">
        <v>3704</v>
      </c>
      <c r="BO5" s="3628" t="s">
        <v>3705</v>
      </c>
      <c r="BP5" s="3628" t="s">
        <v>3706</v>
      </c>
      <c r="BQ5" s="3628" t="s">
        <v>517</v>
      </c>
      <c r="BR5" s="3628" t="s">
        <v>518</v>
      </c>
      <c r="BS5" s="3628" t="s">
        <v>535</v>
      </c>
      <c r="BT5" s="3628" t="s">
        <v>536</v>
      </c>
      <c r="BU5" s="3628" t="s">
        <v>537</v>
      </c>
      <c r="BV5" s="3628" t="s">
        <v>3707</v>
      </c>
      <c r="BW5" s="3628" t="s">
        <v>3708</v>
      </c>
      <c r="BX5" s="3628" t="s">
        <v>3709</v>
      </c>
      <c r="BY5" s="3628" t="s">
        <v>3710</v>
      </c>
      <c r="BZ5" s="3628" t="s">
        <v>3711</v>
      </c>
      <c r="CA5" s="3628" t="s">
        <v>538</v>
      </c>
      <c r="CB5" s="3628" t="s">
        <v>539</v>
      </c>
      <c r="CC5" s="3628" t="s">
        <v>540</v>
      </c>
      <c r="CD5" s="3628" t="s">
        <v>541</v>
      </c>
      <c r="CE5" s="3628" t="s">
        <v>542</v>
      </c>
      <c r="CF5" s="3628" t="s">
        <v>543</v>
      </c>
      <c r="CG5" s="3628" t="s">
        <v>544</v>
      </c>
      <c r="CH5" s="3628" t="s">
        <v>872</v>
      </c>
      <c r="CI5" s="3628" t="s">
        <v>873</v>
      </c>
      <c r="CJ5" s="3628" t="s">
        <v>874</v>
      </c>
      <c r="CK5" s="3628" t="s">
        <v>3717</v>
      </c>
      <c r="CL5" s="3628" t="s">
        <v>3718</v>
      </c>
      <c r="CM5" s="3628" t="s">
        <v>3719</v>
      </c>
      <c r="CN5" s="3628" t="s">
        <v>3720</v>
      </c>
      <c r="CO5" s="3628" t="s">
        <v>3721</v>
      </c>
      <c r="CP5" s="3628" t="s">
        <v>3712</v>
      </c>
      <c r="CQ5" s="3628" t="s">
        <v>3713</v>
      </c>
      <c r="CR5" s="3628" t="s">
        <v>3714</v>
      </c>
      <c r="CS5" s="3628" t="s">
        <v>3715</v>
      </c>
      <c r="CT5" s="3628" t="s">
        <v>3716</v>
      </c>
      <c r="CU5" s="3628" t="s">
        <v>3722</v>
      </c>
      <c r="CV5" s="3628" t="s">
        <v>3723</v>
      </c>
      <c r="CW5" s="3628" t="s">
        <v>3724</v>
      </c>
      <c r="CX5" s="3628" t="s">
        <v>3725</v>
      </c>
      <c r="CY5" s="3628" t="s">
        <v>3726</v>
      </c>
      <c r="CZ5" s="3628" t="s">
        <v>466</v>
      </c>
      <c r="DA5" s="3628" t="s">
        <v>467</v>
      </c>
      <c r="DB5" s="3628" t="s">
        <v>468</v>
      </c>
      <c r="DC5" s="3628" t="s">
        <v>469</v>
      </c>
      <c r="DD5" s="3628" t="s">
        <v>470</v>
      </c>
      <c r="DE5" s="3628" t="s">
        <v>3727</v>
      </c>
      <c r="DF5" s="3628" t="s">
        <v>3728</v>
      </c>
      <c r="DG5" s="3628" t="s">
        <v>3729</v>
      </c>
      <c r="DH5" s="3628" t="s">
        <v>3730</v>
      </c>
      <c r="DI5" s="3628" t="s">
        <v>3731</v>
      </c>
      <c r="DJ5" s="3628" t="s">
        <v>822</v>
      </c>
      <c r="DK5" s="3628" t="s">
        <v>823</v>
      </c>
      <c r="DL5" s="3628" t="s">
        <v>824</v>
      </c>
      <c r="DM5" s="3628" t="s">
        <v>825</v>
      </c>
      <c r="DN5" s="3628" t="s">
        <v>826</v>
      </c>
      <c r="DO5" s="3628" t="s">
        <v>827</v>
      </c>
      <c r="DP5" s="3628" t="s">
        <v>828</v>
      </c>
      <c r="DQ5" s="3628" t="s">
        <v>829</v>
      </c>
      <c r="DR5" s="3628" t="s">
        <v>830</v>
      </c>
      <c r="DS5" s="3628" t="s">
        <v>831</v>
      </c>
      <c r="DT5" s="3628" t="s">
        <v>3732</v>
      </c>
      <c r="DU5" s="3628" t="s">
        <v>3733</v>
      </c>
      <c r="DV5" s="3628" t="s">
        <v>3734</v>
      </c>
      <c r="DW5" s="3628" t="s">
        <v>3735</v>
      </c>
      <c r="DX5" s="3628" t="s">
        <v>3736</v>
      </c>
      <c r="DY5" s="3628" t="s">
        <v>3737</v>
      </c>
      <c r="DZ5" s="3628" t="s">
        <v>3738</v>
      </c>
      <c r="EA5" s="3628" t="s">
        <v>3739</v>
      </c>
      <c r="EB5" s="3628" t="s">
        <v>3740</v>
      </c>
      <c r="EC5" s="3628" t="s">
        <v>3741</v>
      </c>
      <c r="ED5" s="3628" t="s">
        <v>2235</v>
      </c>
      <c r="EE5" s="3628" t="s">
        <v>2236</v>
      </c>
      <c r="EF5" s="3628" t="s">
        <v>2237</v>
      </c>
      <c r="EG5" s="3628" t="s">
        <v>2238</v>
      </c>
      <c r="EH5" s="3628" t="s">
        <v>2239</v>
      </c>
      <c r="EI5" s="3628" t="s">
        <v>3742</v>
      </c>
      <c r="EJ5" s="3628" t="s">
        <v>3743</v>
      </c>
      <c r="EK5" s="3628" t="s">
        <v>3744</v>
      </c>
      <c r="EL5" s="3628" t="s">
        <v>3745</v>
      </c>
      <c r="EM5" s="3628" t="s">
        <v>3746</v>
      </c>
      <c r="EN5" s="3628" t="s">
        <v>3747</v>
      </c>
      <c r="EO5" s="3628" t="s">
        <v>3748</v>
      </c>
      <c r="EP5" s="3628" t="s">
        <v>3749</v>
      </c>
      <c r="EQ5" s="3628" t="s">
        <v>3750</v>
      </c>
      <c r="ER5" s="3628" t="s">
        <v>3751</v>
      </c>
      <c r="ES5" s="3628" t="s">
        <v>111</v>
      </c>
      <c r="ET5" s="3628" t="s">
        <v>1083</v>
      </c>
      <c r="EU5" s="3628" t="s">
        <v>1084</v>
      </c>
      <c r="EV5" s="3628" t="s">
        <v>1139</v>
      </c>
      <c r="EW5" s="3628" t="s">
        <v>1140</v>
      </c>
      <c r="EX5" s="3628" t="s">
        <v>126</v>
      </c>
      <c r="EY5" s="3628" t="s">
        <v>1141</v>
      </c>
      <c r="EZ5" s="3628" t="s">
        <v>1142</v>
      </c>
      <c r="FA5" s="3628" t="s">
        <v>1143</v>
      </c>
      <c r="FB5" s="3628" t="s">
        <v>1144</v>
      </c>
      <c r="FC5" s="3628" t="s">
        <v>3752</v>
      </c>
      <c r="FD5" s="3628" t="s">
        <v>3753</v>
      </c>
      <c r="FE5" s="3628" t="s">
        <v>3754</v>
      </c>
      <c r="FF5" s="3628" t="s">
        <v>3755</v>
      </c>
      <c r="FG5" s="3628" t="s">
        <v>3756</v>
      </c>
      <c r="FH5" s="3628" t="s">
        <v>125</v>
      </c>
      <c r="FI5" s="3628" t="s">
        <v>853</v>
      </c>
      <c r="FJ5" s="3628" t="s">
        <v>854</v>
      </c>
      <c r="FK5" s="3628" t="s">
        <v>855</v>
      </c>
      <c r="FL5" s="3628" t="s">
        <v>856</v>
      </c>
      <c r="FM5" s="3628" t="s">
        <v>3757</v>
      </c>
      <c r="FN5" s="3628" t="s">
        <v>3758</v>
      </c>
      <c r="FO5" s="3628" t="s">
        <v>3759</v>
      </c>
      <c r="FP5" s="3628" t="s">
        <v>3760</v>
      </c>
      <c r="FQ5" s="3628" t="s">
        <v>3761</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6095</v>
      </c>
      <c r="D6" s="1515"/>
      <c r="E6" s="1515"/>
      <c r="F6" s="1515"/>
      <c r="G6" s="1211" t="s">
        <v>194</v>
      </c>
      <c r="H6" s="3557" t="s">
        <v>6097</v>
      </c>
      <c r="I6" s="3558"/>
      <c r="J6" s="3558"/>
      <c r="K6" s="686" t="s">
        <v>3136</v>
      </c>
      <c r="L6" s="3666" t="str">
        <f>'Part I-Project Identification'!$A$6</f>
        <v>April 2023</v>
      </c>
      <c r="M6" s="3666"/>
      <c r="N6" s="3666"/>
      <c r="O6" s="1717" t="s">
        <v>6077</v>
      </c>
      <c r="P6" s="1505">
        <v>96400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6281</v>
      </c>
      <c r="MQ6" s="3628" t="s">
        <v>6282</v>
      </c>
      <c r="MR6" s="3628" t="s">
        <v>6283</v>
      </c>
      <c r="MS6" s="3628" t="s">
        <v>6284</v>
      </c>
      <c r="MT6" s="3628"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6096</v>
      </c>
      <c r="E7" s="4"/>
      <c r="G7" s="1246" t="s">
        <v>2652</v>
      </c>
      <c r="I7" s="3646" t="s">
        <v>4071</v>
      </c>
      <c r="J7" s="686" t="s">
        <v>742</v>
      </c>
      <c r="K7" s="686" t="s">
        <v>3183</v>
      </c>
      <c r="L7" s="3666"/>
      <c r="M7" s="3666"/>
      <c r="N7" s="3666"/>
      <c r="O7" s="1718" t="s">
        <v>6076</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3764</v>
      </c>
      <c r="C8" s="1"/>
      <c r="E8" s="1"/>
      <c r="F8" s="1"/>
      <c r="I8" s="3646"/>
      <c r="J8" s="686" t="s">
        <v>743</v>
      </c>
      <c r="K8" s="686" t="s">
        <v>3184</v>
      </c>
      <c r="L8" s="667"/>
      <c r="M8" s="667"/>
      <c r="N8" s="1716" t="s">
        <v>6480</v>
      </c>
      <c r="O8" s="3648" t="s">
        <v>7091</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3765</v>
      </c>
      <c r="C9" s="686" t="s">
        <v>165</v>
      </c>
      <c r="D9" s="686" t="s">
        <v>510</v>
      </c>
      <c r="E9" s="686" t="s">
        <v>1382</v>
      </c>
      <c r="F9" s="686" t="s">
        <v>1382</v>
      </c>
      <c r="G9" s="3646" t="s">
        <v>6092</v>
      </c>
      <c r="H9" s="830" t="s">
        <v>3302</v>
      </c>
      <c r="I9" s="3646"/>
      <c r="J9" s="3642" t="s">
        <v>6086</v>
      </c>
      <c r="K9" s="686" t="s">
        <v>2217</v>
      </c>
      <c r="L9" s="3638" t="s">
        <v>139</v>
      </c>
      <c r="M9" s="3639"/>
      <c r="N9" s="686" t="s">
        <v>2184</v>
      </c>
      <c r="O9" s="686" t="s">
        <v>6483</v>
      </c>
      <c r="P9" s="3644" t="s">
        <v>6245</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6286</v>
      </c>
      <c r="IZ9" s="3628" t="s">
        <v>6286</v>
      </c>
      <c r="JA9" s="3628" t="s">
        <v>6286</v>
      </c>
      <c r="JB9" s="3628" t="s">
        <v>6286</v>
      </c>
      <c r="JC9" s="3628" t="s">
        <v>6286</v>
      </c>
      <c r="JD9" s="3628" t="s">
        <v>6287</v>
      </c>
      <c r="JE9" s="3628" t="s">
        <v>6287</v>
      </c>
      <c r="JF9" s="3628" t="s">
        <v>6287</v>
      </c>
      <c r="JG9" s="3628" t="s">
        <v>6287</v>
      </c>
      <c r="JH9" s="3628" t="s">
        <v>6287</v>
      </c>
      <c r="JI9" s="3628" t="s">
        <v>6289</v>
      </c>
      <c r="JJ9" s="3628" t="s">
        <v>6289</v>
      </c>
      <c r="JK9" s="3628" t="s">
        <v>6289</v>
      </c>
      <c r="JL9" s="3628" t="s">
        <v>6289</v>
      </c>
      <c r="JM9" s="3628" t="s">
        <v>6289</v>
      </c>
      <c r="JN9" s="3628" t="s">
        <v>6290</v>
      </c>
      <c r="JO9" s="3628" t="s">
        <v>6290</v>
      </c>
      <c r="JP9" s="3628" t="s">
        <v>6290</v>
      </c>
      <c r="JQ9" s="3628" t="s">
        <v>6290</v>
      </c>
      <c r="JR9" s="3628" t="s">
        <v>6290</v>
      </c>
      <c r="JS9" s="3628" t="s">
        <v>6291</v>
      </c>
      <c r="JT9" s="3628" t="s">
        <v>6291</v>
      </c>
      <c r="JU9" s="3628" t="s">
        <v>6291</v>
      </c>
      <c r="JV9" s="3628" t="s">
        <v>6291</v>
      </c>
      <c r="JW9" s="3628" t="s">
        <v>6291</v>
      </c>
      <c r="JX9" s="3628" t="s">
        <v>6484</v>
      </c>
      <c r="JY9" s="3628" t="s">
        <v>6484</v>
      </c>
      <c r="JZ9" s="3628" t="s">
        <v>6484</v>
      </c>
      <c r="KA9" s="3628" t="s">
        <v>6484</v>
      </c>
      <c r="KB9" s="3628" t="s">
        <v>6484</v>
      </c>
      <c r="KC9" s="3628" t="s">
        <v>6649</v>
      </c>
      <c r="KD9" s="3628" t="s">
        <v>6649</v>
      </c>
      <c r="KE9" s="3628" t="s">
        <v>6649</v>
      </c>
      <c r="KF9" s="3628" t="s">
        <v>6649</v>
      </c>
      <c r="KG9" s="3628" t="s">
        <v>6649</v>
      </c>
      <c r="KH9" s="3628" t="s">
        <v>6650</v>
      </c>
      <c r="KI9" s="3628" t="s">
        <v>6650</v>
      </c>
      <c r="KJ9" s="3628" t="s">
        <v>6650</v>
      </c>
      <c r="KK9" s="3628" t="s">
        <v>6650</v>
      </c>
      <c r="KL9" s="3628" t="s">
        <v>6650</v>
      </c>
      <c r="KM9" s="3628" t="s">
        <v>6293</v>
      </c>
      <c r="KN9" s="3628" t="s">
        <v>6293</v>
      </c>
      <c r="KO9" s="3628" t="s">
        <v>6293</v>
      </c>
      <c r="KP9" s="3628" t="s">
        <v>6293</v>
      </c>
      <c r="KQ9" s="3628" t="s">
        <v>6293</v>
      </c>
      <c r="KR9" s="3628" t="s">
        <v>6485</v>
      </c>
      <c r="KS9" s="3628" t="s">
        <v>6485</v>
      </c>
      <c r="KT9" s="3628" t="s">
        <v>6485</v>
      </c>
      <c r="KU9" s="3628" t="s">
        <v>6485</v>
      </c>
      <c r="KV9" s="3628" t="s">
        <v>6485</v>
      </c>
      <c r="KW9" s="3628" t="s">
        <v>6651</v>
      </c>
      <c r="KX9" s="3628" t="s">
        <v>6651</v>
      </c>
      <c r="KY9" s="3628" t="s">
        <v>6651</v>
      </c>
      <c r="KZ9" s="3628" t="s">
        <v>6651</v>
      </c>
      <c r="LA9" s="3628" t="s">
        <v>6651</v>
      </c>
      <c r="LB9" s="3628" t="s">
        <v>6652</v>
      </c>
      <c r="LC9" s="3628" t="s">
        <v>6652</v>
      </c>
      <c r="LD9" s="3628" t="s">
        <v>6652</v>
      </c>
      <c r="LE9" s="3628" t="s">
        <v>6652</v>
      </c>
      <c r="LF9" s="3628" t="s">
        <v>6652</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3932</v>
      </c>
      <c r="C10" s="686" t="s">
        <v>164</v>
      </c>
      <c r="D10" s="686" t="s">
        <v>166</v>
      </c>
      <c r="E10" s="686" t="s">
        <v>1383</v>
      </c>
      <c r="F10" s="686" t="s">
        <v>1203</v>
      </c>
      <c r="G10" s="3647"/>
      <c r="H10" s="686" t="s">
        <v>6093</v>
      </c>
      <c r="I10" s="3647"/>
      <c r="J10" s="3643"/>
      <c r="K10" s="358" t="s">
        <v>334</v>
      </c>
      <c r="L10" s="686" t="s">
        <v>1432</v>
      </c>
      <c r="M10" s="686" t="s">
        <v>504</v>
      </c>
      <c r="N10" s="686" t="s">
        <v>1382</v>
      </c>
      <c r="O10" s="686" t="s">
        <v>6497</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v>1</v>
      </c>
      <c r="D16" s="1751">
        <v>1</v>
      </c>
      <c r="E16" s="133">
        <v>2</v>
      </c>
      <c r="F16" s="133">
        <v>750</v>
      </c>
      <c r="G16" s="133">
        <v>950</v>
      </c>
      <c r="H16" s="133">
        <v>950</v>
      </c>
      <c r="I16" s="133">
        <v>0</v>
      </c>
      <c r="J16" s="1430">
        <v>0</v>
      </c>
      <c r="K16" s="644"/>
      <c r="L16" s="461">
        <f t="shared" si="1"/>
        <v>950</v>
      </c>
      <c r="M16" s="461">
        <f t="shared" si="2"/>
        <v>1900</v>
      </c>
      <c r="N16" s="695" t="s">
        <v>2652</v>
      </c>
      <c r="O16" s="1683" t="s">
        <v>7041</v>
      </c>
      <c r="P16" s="695" t="s">
        <v>2120</v>
      </c>
      <c r="Q16" s="134" t="s">
        <v>2652</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f t="shared" si="39"/>
        <v>2</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f t="shared" si="154"/>
        <v>1500</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f t="shared" si="174"/>
        <v>2</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f t="shared" si="214"/>
        <v>2</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f t="shared" si="264"/>
        <v>2</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2</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v>2</v>
      </c>
      <c r="D17" s="1752">
        <v>1</v>
      </c>
      <c r="E17" s="1086">
        <v>3</v>
      </c>
      <c r="F17" s="1086">
        <v>1000</v>
      </c>
      <c r="G17" s="1086">
        <v>1075</v>
      </c>
      <c r="H17" s="1086">
        <v>1075</v>
      </c>
      <c r="I17" s="1086">
        <v>0</v>
      </c>
      <c r="J17" s="1431">
        <v>0</v>
      </c>
      <c r="K17" s="1105"/>
      <c r="L17" s="1106">
        <f t="shared" si="1"/>
        <v>1075</v>
      </c>
      <c r="M17" s="1106">
        <f t="shared" si="2"/>
        <v>3225</v>
      </c>
      <c r="N17" s="1107" t="s">
        <v>2652</v>
      </c>
      <c r="O17" s="1684" t="s">
        <v>7041</v>
      </c>
      <c r="P17" s="1107" t="s">
        <v>2120</v>
      </c>
      <c r="Q17" s="1108" t="s">
        <v>2652</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f t="shared" si="40"/>
        <v>3</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f t="shared" si="155"/>
        <v>3000</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f t="shared" si="175"/>
        <v>3</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f t="shared" si="215"/>
        <v>3</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f t="shared" si="265"/>
        <v>3</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3</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50</v>
      </c>
      <c r="C18" s="1083">
        <v>1</v>
      </c>
      <c r="D18" s="1753">
        <v>1</v>
      </c>
      <c r="E18" s="1084">
        <v>4</v>
      </c>
      <c r="F18" s="1084">
        <v>750</v>
      </c>
      <c r="G18" s="1084">
        <v>904</v>
      </c>
      <c r="H18" s="1084">
        <v>838</v>
      </c>
      <c r="I18" s="1084">
        <v>0</v>
      </c>
      <c r="J18" s="1100">
        <f>IF(C18="",0,HLOOKUP(C18,'Part IV-Utility Allowances'!$I$11:$M$22,12))</f>
        <v>138</v>
      </c>
      <c r="K18" s="1101"/>
      <c r="L18" s="1102">
        <f t="shared" si="1"/>
        <v>700</v>
      </c>
      <c r="M18" s="1102">
        <f t="shared" si="2"/>
        <v>2800</v>
      </c>
      <c r="N18" s="1103" t="s">
        <v>2652</v>
      </c>
      <c r="O18" s="1685" t="s">
        <v>7041</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3000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4</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50</v>
      </c>
      <c r="C19" s="132">
        <v>2</v>
      </c>
      <c r="D19" s="1751">
        <v>1</v>
      </c>
      <c r="E19" s="133">
        <v>5</v>
      </c>
      <c r="F19" s="133">
        <v>1000</v>
      </c>
      <c r="G19" s="133">
        <v>1085</v>
      </c>
      <c r="H19" s="133">
        <v>975</v>
      </c>
      <c r="I19" s="133">
        <v>0</v>
      </c>
      <c r="J19" s="756">
        <f>IF(C19="",0,HLOOKUP(C19,'Part IV-Utility Allowances'!$I$11:$M$22,12))</f>
        <v>175</v>
      </c>
      <c r="K19" s="644"/>
      <c r="L19" s="461">
        <f t="shared" si="1"/>
        <v>800</v>
      </c>
      <c r="M19" s="461">
        <f t="shared" si="2"/>
        <v>4000</v>
      </c>
      <c r="N19" s="695" t="s">
        <v>2652</v>
      </c>
      <c r="O19" s="1683" t="s">
        <v>7041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5</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5000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5</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5</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f t="shared" si="265"/>
        <v>5</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5</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1</v>
      </c>
      <c r="D20" s="1751">
        <v>1</v>
      </c>
      <c r="E20" s="133">
        <v>18</v>
      </c>
      <c r="F20" s="133">
        <v>750</v>
      </c>
      <c r="G20" s="133">
        <v>1085</v>
      </c>
      <c r="H20" s="133">
        <v>923</v>
      </c>
      <c r="I20" s="133">
        <v>0</v>
      </c>
      <c r="J20" s="756">
        <f>IF(C20="",0,HLOOKUP(C20,'Part IV-Utility Allowances'!$I$11:$M$22,12))</f>
        <v>138</v>
      </c>
      <c r="K20" s="644"/>
      <c r="L20" s="461">
        <f t="shared" si="1"/>
        <v>785</v>
      </c>
      <c r="M20" s="461">
        <f t="shared" si="2"/>
        <v>14130</v>
      </c>
      <c r="N20" s="695" t="s">
        <v>2652</v>
      </c>
      <c r="O20" s="1683" t="s">
        <v>7041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18</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13500</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18</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18</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18</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18</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2</v>
      </c>
      <c r="D21" s="1751">
        <v>1</v>
      </c>
      <c r="E21" s="133">
        <v>18</v>
      </c>
      <c r="F21" s="133">
        <v>1000</v>
      </c>
      <c r="G21" s="133">
        <v>1302</v>
      </c>
      <c r="H21" s="133">
        <v>1060</v>
      </c>
      <c r="I21" s="133">
        <v>0</v>
      </c>
      <c r="J21" s="756">
        <f>IF(C21="",0,HLOOKUP(C21,'Part IV-Utility Allowances'!$I$11:$M$22,12))</f>
        <v>175</v>
      </c>
      <c r="K21" s="644"/>
      <c r="L21" s="461">
        <f t="shared" si="1"/>
        <v>885</v>
      </c>
      <c r="M21" s="461">
        <f t="shared" si="2"/>
        <v>15930</v>
      </c>
      <c r="N21" s="695" t="s">
        <v>2652</v>
      </c>
      <c r="O21" s="1683" t="s">
        <v>7041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18</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18000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18</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18</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18</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18</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32" t="s">
        <v>3769</v>
      </c>
      <c r="C49" s="3633"/>
      <c r="D49" s="107" t="s">
        <v>954</v>
      </c>
      <c r="E49" s="1113">
        <f>SUM(E11:E48)</f>
        <v>50</v>
      </c>
      <c r="F49" s="1111">
        <f>(E11*F11+E12*F12+E13*F13+E14*F14+E15*F15+E16*F16+E17*F17+E18*F18+E19*F19+E20*F20+E21*F21+E22*F22+E23*F23+E24*F24+E25*F25+E26*F26+E27*F27+E28*F28+E29*F29+E30*F30+E31*F31+E32*F32+E33*F33+E34*F34+E35*F35+E36*F36+E37*F37+E38*F38+E39*F39+E40*F40+E41*F41+E42*F42+E43*F43+E44*F44+E45*F45+E46*F46+E47*F47+E48*F48)</f>
        <v>44000</v>
      </c>
      <c r="H49" s="3658" t="s">
        <v>3766</v>
      </c>
      <c r="I49" s="1114" t="s">
        <v>3767</v>
      </c>
      <c r="J49" s="1115" t="str">
        <f>IF(P67=0,"",IF(SUM(P58:P62)/P67&gt;=0.4,"Pass","Fail"))</f>
        <v>Pass</v>
      </c>
      <c r="K49" s="448"/>
      <c r="L49" s="699" t="s">
        <v>1225</v>
      </c>
      <c r="M49" s="94">
        <f>SUM(M11:M48)</f>
        <v>41985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18</v>
      </c>
      <c r="AJ49" s="1749">
        <f t="shared" si="339"/>
        <v>18</v>
      </c>
      <c r="AK49" s="1749">
        <f t="shared" si="339"/>
        <v>0</v>
      </c>
      <c r="AL49" s="1749">
        <f t="shared" si="339"/>
        <v>0</v>
      </c>
      <c r="AM49" s="1749">
        <f>SUM(AM11:AM48)</f>
        <v>0</v>
      </c>
      <c r="AN49" s="1749">
        <f>SUM(AN11:AN48)</f>
        <v>4</v>
      </c>
      <c r="AO49" s="1749">
        <f>SUM(AO11:AO48)</f>
        <v>5</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2</v>
      </c>
      <c r="BI49" s="1749">
        <f t="shared" si="338"/>
        <v>3</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13500</v>
      </c>
      <c r="EU49" s="1749">
        <f t="shared" si="342"/>
        <v>18000</v>
      </c>
      <c r="EV49" s="1749">
        <f t="shared" si="342"/>
        <v>0</v>
      </c>
      <c r="EW49" s="1749">
        <f t="shared" si="342"/>
        <v>0</v>
      </c>
      <c r="EX49" s="1749">
        <f t="shared" si="338"/>
        <v>0</v>
      </c>
      <c r="EY49" s="1749">
        <f t="shared" si="338"/>
        <v>3000</v>
      </c>
      <c r="EZ49" s="1749">
        <f t="shared" si="338"/>
        <v>5000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1500</v>
      </c>
      <c r="FT49" s="1749">
        <f t="shared" si="343"/>
        <v>3000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22</v>
      </c>
      <c r="GI49" s="1749">
        <f t="shared" si="343"/>
        <v>23</v>
      </c>
      <c r="GJ49" s="1749">
        <f t="shared" si="343"/>
        <v>0</v>
      </c>
      <c r="GK49" s="1749">
        <f t="shared" si="343"/>
        <v>0</v>
      </c>
      <c r="GL49" s="1749">
        <f t="shared" si="343"/>
        <v>0</v>
      </c>
      <c r="GM49" s="1749">
        <f t="shared" si="343"/>
        <v>2</v>
      </c>
      <c r="GN49" s="1749">
        <f t="shared" si="343"/>
        <v>3</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24</v>
      </c>
      <c r="IB49" s="1749">
        <f t="shared" si="344"/>
        <v>26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24</v>
      </c>
      <c r="JZ49" s="1749">
        <f>SUM(JZ11:JZ48)</f>
        <v>26</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24</v>
      </c>
      <c r="MM49" s="1749">
        <f t="shared" si="346"/>
        <v>26</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56">
        <f>IF(SUM(E18:E48)=0,"",(B18*E18+B19*E19+B20*E20+B21*E21+B22*E22+B23*E23+B24*E24+B25*E25+B26*E26+B27*E27+B28*E28+B29*E29+B30*E30+B31*E31+B32*E32+B33*E33+B34*E34+B35*E35+B36*E36+B37*E37+B38*E38+B39*E39+B40*E40+B41*E41+B42*E42+B43*E43+B44*E44+B45*E45+B46*E46+B47*E47+B48*E48)/SUM(E18:E48))</f>
        <v>58</v>
      </c>
      <c r="C50" s="3657"/>
      <c r="D50" s="119" t="s">
        <v>3676</v>
      </c>
      <c r="E50" s="1110">
        <f>SUM(E18:E48)</f>
        <v>45</v>
      </c>
      <c r="F50" s="1112">
        <f>(E18*F18+E19*F19+E20*F20+E21*F21+E22*F22+E23*F23+E24*F24+E25*F25+E26*F26+E27*F27+E28*F28+E29*F29+E30*F30+E31*F31+E32*F32+E33*F33+E34*F34+E35*F35+E36*F36+E37*F37+E38*F38+E39*F39+E40*F40+E41*F41+E42*F42+E43*F43+E44*F44+E45*F45+E46*F46+E47*F47+E48*F48)</f>
        <v>39500</v>
      </c>
      <c r="H50" s="3659"/>
      <c r="I50" s="1116" t="s">
        <v>3768</v>
      </c>
      <c r="J50" s="1117" t="str">
        <f>IF(P67=0,"",IF(SUM(P59:P62)/P67&gt;=0.2,"Pass","Fail"))</f>
        <v>Fail</v>
      </c>
      <c r="K50" s="448"/>
      <c r="L50" s="107" t="s">
        <v>757</v>
      </c>
      <c r="M50" s="94">
        <f>M49*12</f>
        <v>503820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62" t="s">
        <v>7045</v>
      </c>
      <c r="P53" s="3663"/>
      <c r="S53" s="3634" t="str">
        <f>B53</f>
        <v>UNIT SUMMARY</v>
      </c>
      <c r="T53" s="3634"/>
      <c r="U53" s="3634"/>
      <c r="V53" s="3634"/>
      <c r="AY53" s="359"/>
      <c r="BD53" s="359"/>
      <c r="LO53" s="361"/>
      <c r="MD53" s="357"/>
    </row>
    <row r="54" spans="1:381" ht="14.25" customHeight="1">
      <c r="A54" s="10"/>
      <c r="B54" s="10"/>
      <c r="K54" s="144" t="s">
        <v>6644</v>
      </c>
      <c r="O54" s="3660" t="s">
        <v>7046</v>
      </c>
      <c r="P54" s="3661"/>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4076</v>
      </c>
      <c r="B56" s="3553"/>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3" t="s">
        <v>3185</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3678</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18</v>
      </c>
      <c r="M58" s="1128">
        <f>AJ49</f>
        <v>18</v>
      </c>
      <c r="N58" s="1128">
        <f>AK49</f>
        <v>0</v>
      </c>
      <c r="O58" s="1129">
        <f>AL49</f>
        <v>0</v>
      </c>
      <c r="P58" s="745">
        <f t="shared" si="347"/>
        <v>36</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4</v>
      </c>
      <c r="M59" s="1149">
        <f>AO49</f>
        <v>5</v>
      </c>
      <c r="N59" s="1149">
        <f>AP49</f>
        <v>0</v>
      </c>
      <c r="O59" s="1150">
        <f>AQ49</f>
        <v>0</v>
      </c>
      <c r="P59" s="466">
        <f t="shared" si="347"/>
        <v>9</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3679</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3680</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3681</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3763</v>
      </c>
      <c r="D63" s="1"/>
      <c r="E63" s="1"/>
      <c r="F63" s="1"/>
      <c r="G63" s="62"/>
      <c r="H63" s="68"/>
      <c r="I63" s="44"/>
      <c r="J63" s="62"/>
      <c r="K63" s="1092">
        <f>SUM(K56:K62)</f>
        <v>0</v>
      </c>
      <c r="L63" s="1092">
        <f>SUM(L56:L62)</f>
        <v>22</v>
      </c>
      <c r="M63" s="1092">
        <f>SUM(M56:M62)</f>
        <v>23</v>
      </c>
      <c r="N63" s="1092">
        <f>SUM(N56:N62)</f>
        <v>0</v>
      </c>
      <c r="O63" s="1092">
        <f>SUM(O56:O62)</f>
        <v>0</v>
      </c>
      <c r="P63" s="1092">
        <f t="shared" si="347"/>
        <v>45</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2</v>
      </c>
      <c r="M64" s="746">
        <f>BI49</f>
        <v>3</v>
      </c>
      <c r="N64" s="746">
        <f>BJ49</f>
        <v>0</v>
      </c>
      <c r="O64" s="746">
        <f>BK49</f>
        <v>0</v>
      </c>
      <c r="P64" s="746">
        <f t="shared" si="347"/>
        <v>5</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24</v>
      </c>
      <c r="M65" s="1099">
        <f>SUM(M63:M64)</f>
        <v>26</v>
      </c>
      <c r="N65" s="1099">
        <f>SUM(N63:N64)</f>
        <v>0</v>
      </c>
      <c r="O65" s="1099">
        <f>SUM(O63:O64)</f>
        <v>0</v>
      </c>
      <c r="P65" s="1099">
        <f t="shared" si="347"/>
        <v>50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24</v>
      </c>
      <c r="M67" s="1091">
        <f>SUM(M65:M66)</f>
        <v>26</v>
      </c>
      <c r="N67" s="1091">
        <f>SUM(N65:N66)</f>
        <v>0</v>
      </c>
      <c r="O67" s="1091">
        <f>SUM(O65:O66)</f>
        <v>0</v>
      </c>
      <c r="P67" s="1091">
        <f t="shared" si="347"/>
        <v>50</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3772</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3"/>
      <c r="B70" s="3553"/>
      <c r="C70" s="3631"/>
      <c r="D70" s="3631"/>
      <c r="E70" s="3631"/>
      <c r="F70" s="3631"/>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4069</v>
      </c>
      <c r="E73" s="3665"/>
      <c r="F73" s="366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5"/>
      <c r="E76" s="3665"/>
      <c r="F76" s="3665"/>
      <c r="G76" s="6"/>
      <c r="H76" s="81" t="s">
        <v>1081</v>
      </c>
      <c r="I76" s="29"/>
      <c r="J76" s="1"/>
      <c r="K76" s="1436" t="str">
        <f t="shared" ref="K76:P76" si="352">IF(OR(K58=0,K67=0),"",K58/K67)</f>
        <v/>
      </c>
      <c r="L76" s="1437">
        <f t="shared" si="352"/>
        <v>0.75</v>
      </c>
      <c r="M76" s="1437">
        <f t="shared" si="352"/>
        <v>0.69230769230769229</v>
      </c>
      <c r="N76" s="1437" t="str">
        <f t="shared" si="352"/>
        <v/>
      </c>
      <c r="O76" s="1437" t="str">
        <f t="shared" si="352"/>
        <v/>
      </c>
      <c r="P76" s="1438">
        <f t="shared" si="352"/>
        <v>0.72</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6487</v>
      </c>
      <c r="I77" s="29"/>
      <c r="J77" s="1"/>
      <c r="K77" s="1509" t="str">
        <f>IF(OR(K58=0,P76="",K67=0),"",P76*K67)</f>
        <v/>
      </c>
      <c r="L77" s="1509">
        <f>IF(OR(L58=0,P76="",L67=0),"",P76*L67)</f>
        <v>17.28</v>
      </c>
      <c r="M77" s="1509">
        <f>IF(OR(M58=0,P76="",M67=0),"",P76*M67)</f>
        <v>18.72</v>
      </c>
      <c r="N77" s="1509" t="str">
        <f>IF(OR(N58=0,P76="",N67=0),"",P76*N67)</f>
        <v/>
      </c>
      <c r="O77" s="1509" t="str">
        <f>IF(OR(O58=0,P76="",O67=0),"",P76*O67)</f>
        <v/>
      </c>
      <c r="P77" s="1510">
        <f>IF(OR(P76="",P67=0),"",P76*P67)</f>
        <v>36</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6488</v>
      </c>
      <c r="I78" s="1409"/>
      <c r="J78" s="1"/>
      <c r="K78" s="1511" t="str">
        <f t="shared" ref="K78:P78" si="353">IF(OR(K77="",K58=0),"", K58-K77)</f>
        <v/>
      </c>
      <c r="L78" s="1511">
        <f t="shared" si="353"/>
        <v>0.71999999999999886</v>
      </c>
      <c r="M78" s="1511">
        <f t="shared" si="353"/>
        <v>-0.71999999999999886</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0.16666666666666666</v>
      </c>
      <c r="M79" s="1437">
        <f t="shared" si="354"/>
        <v>0.19230769230769232</v>
      </c>
      <c r="N79" s="1437" t="str">
        <f t="shared" si="354"/>
        <v/>
      </c>
      <c r="O79" s="1437" t="str">
        <f t="shared" si="354"/>
        <v/>
      </c>
      <c r="P79" s="1438">
        <f t="shared" si="354"/>
        <v>0.18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4.32</v>
      </c>
      <c r="M80" s="1509">
        <f>IF(OR(M59=0,P79="",M67=0),"",P79*M67)</f>
        <v>4.68</v>
      </c>
      <c r="N80" s="1509" t="str">
        <f>IF(OR(N59=0,P79="",N67=0),"",P79*N67)</f>
        <v/>
      </c>
      <c r="O80" s="1509" t="str">
        <f>IF(OR(O59=0,P79="",O67=0),"",P79*O67)</f>
        <v/>
      </c>
      <c r="P80" s="1510">
        <f>IF(OR(P79="",P67=0),"",P79*P67)</f>
        <v>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-0.32000000000000028</v>
      </c>
      <c r="M81" s="1511">
        <f t="shared" si="355"/>
        <v>0.32000000000000028</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22</v>
      </c>
      <c r="M113" s="1125">
        <f>GI49</f>
        <v>23</v>
      </c>
      <c r="N113" s="1125">
        <f>GJ49</f>
        <v>0</v>
      </c>
      <c r="O113" s="1126">
        <f>GK49</f>
        <v>0</v>
      </c>
      <c r="P113" s="749">
        <f t="shared" ref="P113:P123" si="364">SUM(K113:O113)</f>
        <v>45</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2</v>
      </c>
      <c r="M114" s="1131">
        <f>GN49</f>
        <v>3</v>
      </c>
      <c r="N114" s="1131">
        <f>GO49</f>
        <v>0</v>
      </c>
      <c r="O114" s="1132">
        <f>GP49</f>
        <v>0</v>
      </c>
      <c r="P114" s="746">
        <f t="shared" si="364"/>
        <v>5</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24</v>
      </c>
      <c r="M115" s="1093">
        <f>SUM(M113:M114)+GS49</f>
        <v>26</v>
      </c>
      <c r="N115" s="1093">
        <f>SUM(N113:N114)+GT49</f>
        <v>0</v>
      </c>
      <c r="O115" s="1093">
        <f>SUM(O113:O114)+GU49</f>
        <v>0</v>
      </c>
      <c r="P115" s="1093">
        <f t="shared" si="364"/>
        <v>50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6492</v>
      </c>
      <c r="D127" s="3636"/>
      <c r="E127" s="908" t="s">
        <v>36</v>
      </c>
      <c r="F127" s="767"/>
      <c r="G127" s="909"/>
      <c r="H127" s="1442"/>
      <c r="I127" s="910"/>
      <c r="J127" s="911"/>
      <c r="K127" s="1145">
        <f t="shared" ref="K127:P127" si="365">SUM(K128:K135)</f>
        <v>0</v>
      </c>
      <c r="L127" s="1146">
        <f t="shared" si="365"/>
        <v>24</v>
      </c>
      <c r="M127" s="1146">
        <f t="shared" si="365"/>
        <v>26</v>
      </c>
      <c r="N127" s="1146">
        <f t="shared" si="365"/>
        <v>0</v>
      </c>
      <c r="O127" s="1147">
        <f t="shared" si="365"/>
        <v>0</v>
      </c>
      <c r="P127" s="1096">
        <f t="shared" si="365"/>
        <v>50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6479</v>
      </c>
      <c r="I130" s="33"/>
      <c r="J130" s="912"/>
      <c r="K130" s="1127">
        <f>JX49</f>
        <v>0</v>
      </c>
      <c r="L130" s="1128">
        <f>JY49</f>
        <v>24</v>
      </c>
      <c r="M130" s="1128">
        <f>JZ49</f>
        <v>26</v>
      </c>
      <c r="N130" s="1128">
        <f>KA49</f>
        <v>0</v>
      </c>
      <c r="O130" s="1129">
        <f>KB49</f>
        <v>0</v>
      </c>
      <c r="P130" s="745">
        <f t="shared" ref="P130:P135" si="367">SUM(K130:O130)</f>
        <v>50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6493</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24</v>
      </c>
      <c r="M153" s="1161">
        <f t="shared" si="371"/>
        <v>26</v>
      </c>
      <c r="N153" s="1161">
        <f t="shared" si="371"/>
        <v>0</v>
      </c>
      <c r="O153" s="1162">
        <f t="shared" si="371"/>
        <v>0</v>
      </c>
      <c r="P153" s="1688">
        <f t="shared" si="369"/>
        <v>50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3891</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13500</v>
      </c>
      <c r="M159" s="1164">
        <f>EU49</f>
        <v>18000</v>
      </c>
      <c r="N159" s="1164">
        <f>EV49</f>
        <v>0</v>
      </c>
      <c r="O159" s="1165">
        <f>EW49</f>
        <v>0</v>
      </c>
      <c r="P159" s="1088">
        <f t="shared" si="372"/>
        <v>31500</v>
      </c>
      <c r="Q159" s="1291">
        <f t="shared" si="373"/>
        <v>875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3000</v>
      </c>
      <c r="M160" s="1224">
        <f>EZ49</f>
        <v>5000</v>
      </c>
      <c r="N160" s="1224">
        <f>FA49</f>
        <v>0</v>
      </c>
      <c r="O160" s="1225">
        <f>FB49</f>
        <v>0</v>
      </c>
      <c r="P160" s="1226">
        <f t="shared" si="372"/>
        <v>8000</v>
      </c>
      <c r="Q160" s="1291">
        <f t="shared" si="373"/>
        <v>888.88888888888891</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16500</v>
      </c>
      <c r="M164" s="1690">
        <f>SUM(M157:M163)</f>
        <v>23000</v>
      </c>
      <c r="N164" s="1690">
        <f>SUM(N157:N163)</f>
        <v>0</v>
      </c>
      <c r="O164" s="1690">
        <f>SUM(O157:O163)</f>
        <v>0</v>
      </c>
      <c r="P164" s="1690">
        <f>SUM(K164:O164)</f>
        <v>39500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1500</v>
      </c>
      <c r="M165" s="1167">
        <f>FT49</f>
        <v>3000</v>
      </c>
      <c r="N165" s="1167">
        <f>FU49</f>
        <v>0</v>
      </c>
      <c r="O165" s="1168">
        <f>FV49</f>
        <v>0</v>
      </c>
      <c r="P165" s="1095">
        <f>SUM(K165:O165)</f>
        <v>4500</v>
      </c>
      <c r="Q165" s="1234">
        <f>IF(OR(P64=0,P64=""),"",P165/P64)</f>
        <v>900</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18000</v>
      </c>
      <c r="M166" s="1689">
        <f>SUM(M164:M165)</f>
        <v>26000</v>
      </c>
      <c r="N166" s="1689">
        <f>SUM(N164:N165)</f>
        <v>0</v>
      </c>
      <c r="O166" s="1689">
        <f>SUM(O164:O165)</f>
        <v>0</v>
      </c>
      <c r="P166" s="1689">
        <f>SUM(K166:O166)</f>
        <v>44000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18000</v>
      </c>
      <c r="M168" s="1094">
        <f>SUM(M166:M167)</f>
        <v>26000</v>
      </c>
      <c r="N168" s="1094">
        <f>SUM(N166:N167)</f>
        <v>0</v>
      </c>
      <c r="O168" s="1094">
        <f>SUM(O166:O167)</f>
        <v>0</v>
      </c>
      <c r="P168" s="1094">
        <f>SUM(K168:O168)</f>
        <v>44000</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750</v>
      </c>
      <c r="M171" s="1290">
        <f>IF(OR(M67="",M67=0),"",M168/M67)</f>
        <v>1000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3">
        <v>12000</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56000</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10076.4</v>
      </c>
      <c r="I179" s="36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27000</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50500</v>
      </c>
      <c r="G221" s="3590"/>
      <c r="H221" s="1"/>
      <c r="I221" s="1" t="s">
        <v>1300</v>
      </c>
      <c r="K221" s="1"/>
      <c r="L221" s="3589"/>
      <c r="M221" s="3590"/>
      <c r="N221" s="1"/>
      <c r="O221" s="319">
        <f>+Q220/(P67*0.93)</f>
        <v>580.64516129032256</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30900</v>
      </c>
      <c r="G222" s="3614"/>
      <c r="H222" s="1"/>
      <c r="I222" s="1" t="s">
        <v>1301</v>
      </c>
      <c r="K222" s="1"/>
      <c r="L222" s="3584">
        <v>600</v>
      </c>
      <c r="M222" s="3585"/>
      <c r="N222" s="1"/>
      <c r="O222" s="319">
        <f>+Q220/(P67*0.93)/12</f>
        <v>48.387096774193544</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600</v>
      </c>
      <c r="M223" s="3604"/>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81400</v>
      </c>
      <c r="G227" s="3604"/>
      <c r="H227" s="1"/>
      <c r="I227" s="1" t="s">
        <v>1497</v>
      </c>
      <c r="K227" s="1"/>
      <c r="L227" s="3607">
        <v>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7000</v>
      </c>
      <c r="M228" s="3612"/>
      <c r="N228" s="3598" t="str">
        <f>IF(Q230="","",IF(Q228&lt;Q230, "WARNING! OE below required minimum.",""))</f>
        <v/>
      </c>
      <c r="O228" s="4" t="s">
        <v>2029</v>
      </c>
      <c r="P228" s="1"/>
      <c r="Q228" s="326">
        <f>F227+F236+F247+L223+L231+L241+L247+Q220</f>
        <v>267878</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500</v>
      </c>
      <c r="M229" s="3612"/>
      <c r="N229" s="3598"/>
      <c r="O229" s="42" t="s">
        <v>2486</v>
      </c>
      <c r="P229" s="319">
        <f>+Q228/P67</f>
        <v>5357.56</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1750</v>
      </c>
      <c r="G230" s="3590"/>
      <c r="H230" s="1"/>
      <c r="I230" s="3621" t="s">
        <v>46</v>
      </c>
      <c r="J230" s="3622"/>
      <c r="K230" s="3623"/>
      <c r="L230" s="3615"/>
      <c r="M230" s="3616"/>
      <c r="N230" s="359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225000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6000</v>
      </c>
      <c r="G231" s="3614"/>
      <c r="H231" s="1"/>
      <c r="I231" s="4"/>
      <c r="K231" s="8" t="s">
        <v>184</v>
      </c>
      <c r="L231" s="3594">
        <f>SUM(L227:L230)</f>
        <v>8000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6200</v>
      </c>
      <c r="G234" s="3614"/>
      <c r="H234" s="1"/>
      <c r="I234" s="4" t="s">
        <v>1297</v>
      </c>
      <c r="K234" s="248" t="s">
        <v>3884</v>
      </c>
      <c r="O234" s="1312" t="s">
        <v>3085</v>
      </c>
      <c r="P234" s="4"/>
      <c r="Q234" s="917">
        <f>Q243</f>
        <v>12500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22</v>
      </c>
      <c r="L235" s="3607">
        <v>13200</v>
      </c>
      <c r="M235" s="3608"/>
      <c r="N235" s="3598" t="str">
        <f>IF(Q234&lt;Q243, "WARNING! RR proposed is below the DCA required minimum.","")</f>
        <v/>
      </c>
      <c r="O235" s="772" t="s">
        <v>3883</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13950</v>
      </c>
      <c r="G236" s="3604"/>
      <c r="H236" s="1"/>
      <c r="I236" s="1" t="s">
        <v>1291</v>
      </c>
      <c r="K236" s="365">
        <f>L236/12/P67</f>
        <v>0</v>
      </c>
      <c r="L236" s="3611"/>
      <c r="M236" s="3612"/>
      <c r="N236" s="3599"/>
      <c r="O236" s="3600" t="s">
        <v>3230</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5.8333333333333339</v>
      </c>
      <c r="L237" s="3611">
        <v>3500</v>
      </c>
      <c r="M237" s="3612"/>
      <c r="N237" s="3599"/>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7.5</v>
      </c>
      <c r="L238" s="3611">
        <v>4500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2500</v>
      </c>
      <c r="G239" s="3606"/>
      <c r="H239" s="1"/>
      <c r="I239" s="72" t="s">
        <v>6681</v>
      </c>
      <c r="K239" s="365">
        <f>L239/12/P67</f>
        <v>0</v>
      </c>
      <c r="L239" s="3611"/>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6000</v>
      </c>
      <c r="G240" s="3610"/>
      <c r="H240" s="1"/>
      <c r="I240" s="3626" t="s">
        <v>7068</v>
      </c>
      <c r="J240" s="3627"/>
      <c r="K240" s="365">
        <f>L240/12/P67</f>
        <v>3.333333333333333</v>
      </c>
      <c r="L240" s="3615">
        <v>2000</v>
      </c>
      <c r="M240" s="3616"/>
      <c r="N240" s="3599"/>
      <c r="O240" s="387" t="s">
        <v>3051</v>
      </c>
      <c r="P240" s="673" t="str">
        <f>CONCATENATE(SUM(MK49:MO49)," units x $",'DCA Underwriting Assumptions'!$Q$29," =")</f>
        <v>50 units x $250 =</v>
      </c>
      <c r="Q240" s="501">
        <f>SUM(MK49:MO49)*'DCA Underwriting Assumptions'!$Q$29</f>
        <v>12500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16000</v>
      </c>
      <c r="G241" s="3610"/>
      <c r="H241" s="1"/>
      <c r="K241" s="8" t="s">
        <v>184</v>
      </c>
      <c r="L241" s="3594">
        <f>SUM(L235:L240)</f>
        <v>23200</v>
      </c>
      <c r="M241" s="3620"/>
      <c r="N241" s="3599"/>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5500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1200</v>
      </c>
      <c r="G243" s="3614"/>
      <c r="H243" s="1"/>
      <c r="I243" s="4" t="s">
        <v>1298</v>
      </c>
      <c r="O243" s="769" t="s">
        <v>2467</v>
      </c>
      <c r="P243" s="770">
        <f>SUM(MF49:MJ49)+SUM(MK49:MO49)+SUM(MP49:MT49)+P125</f>
        <v>50</v>
      </c>
      <c r="Q243" s="771">
        <f>SUM(Q239:Q242)</f>
        <v>12500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3500</v>
      </c>
      <c r="G244" s="3614"/>
      <c r="H244" s="1"/>
      <c r="I244" s="72" t="s">
        <v>3930</v>
      </c>
      <c r="K244" s="1"/>
      <c r="L244" s="3607">
        <v>49893</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500</v>
      </c>
      <c r="G245" s="3614"/>
      <c r="H245" s="1"/>
      <c r="I245" s="1" t="s">
        <v>140</v>
      </c>
      <c r="K245" s="1"/>
      <c r="L245" s="3611">
        <v>28635</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35200</v>
      </c>
      <c r="G247" s="3597"/>
      <c r="H247" s="1"/>
      <c r="K247" s="8" t="s">
        <v>184</v>
      </c>
      <c r="L247" s="3594">
        <f>SUM(L243:L246)</f>
        <v>78528</v>
      </c>
      <c r="M247" s="3595"/>
      <c r="N247" s="1"/>
      <c r="O247" s="4" t="s">
        <v>2030</v>
      </c>
      <c r="P247" s="1"/>
      <c r="Q247" s="326">
        <f>Q228+Q234</f>
        <v>280378</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0"/>
      <c r="L251" s="3651"/>
      <c r="M251" s="1284" t="s">
        <v>3901</v>
      </c>
      <c r="N251" s="1222"/>
      <c r="O251" s="4" t="s">
        <v>3876</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2" t="s">
        <v>7092</v>
      </c>
      <c r="B256" s="3592"/>
      <c r="C256" s="3592"/>
      <c r="D256" s="3592"/>
      <c r="E256" s="3592"/>
      <c r="F256" s="3592"/>
      <c r="G256" s="3592"/>
      <c r="H256" s="3592"/>
      <c r="I256" s="3592"/>
      <c r="J256" s="3592"/>
      <c r="K256" s="3592"/>
      <c r="L256" s="3592"/>
      <c r="M256" s="3592"/>
      <c r="N256" s="3591"/>
      <c r="O256" s="3591"/>
      <c r="P256" s="3591"/>
      <c r="Q256" s="3591"/>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29" sqref="D29"/>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Westchester Village, Jonesboro, Clayton County</v>
      </c>
      <c r="B2" s="3677"/>
      <c r="C2" s="3677"/>
      <c r="D2" s="3677"/>
      <c r="E2" s="3677"/>
      <c r="F2" s="3677"/>
      <c r="G2" s="3677"/>
      <c r="H2" s="3677"/>
      <c r="I2" s="3677"/>
      <c r="J2" s="3677"/>
      <c r="K2" s="3678"/>
      <c r="L2" s="4"/>
      <c r="M2" s="4"/>
      <c r="N2" s="3679" t="str">
        <f>A2</f>
        <v>PART SIX - OPERATING PRO FORMA  -  2023-0 Westchester Village, Jonesboro, Clayton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3403</v>
      </c>
      <c r="N4" s="10" t="str">
        <f>A4</f>
        <v>I.  OPERATING ASSUMPTIONS</v>
      </c>
      <c r="O4" s="10"/>
      <c r="AA4" s="1721">
        <v>4</v>
      </c>
    </row>
    <row r="5" spans="1:27" ht="2.7" customHeight="1">
      <c r="C5" s="3680"/>
      <c r="AA5" s="1721">
        <v>5</v>
      </c>
    </row>
    <row r="6" spans="1:27" ht="13.5" customHeight="1">
      <c r="A6" s="6" t="s">
        <v>2031</v>
      </c>
      <c r="B6" s="58">
        <f>'DCA Underwriting Assumptions'!$Q$99</f>
        <v>0.02</v>
      </c>
      <c r="C6" s="3680"/>
      <c r="D6" s="3564" t="s">
        <v>3404</v>
      </c>
      <c r="E6" s="3564"/>
      <c r="F6" s="3564"/>
      <c r="G6" s="59">
        <v>7500</v>
      </c>
      <c r="H6" s="75" t="s">
        <v>1768</v>
      </c>
      <c r="K6" s="80">
        <f>IF(($B$15+$B$16+$B$17+$B$18)=0,"",B31/($B$15+$B$16+$B$17+$B$18))</f>
        <v>-1.5692883096733619E-2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5.6494379148241028E-2</v>
      </c>
      <c r="N8" s="3559"/>
      <c r="O8" s="3561"/>
      <c r="AA8" s="1721">
        <v>8</v>
      </c>
    </row>
    <row r="9" spans="1:27" ht="13.35" customHeight="1">
      <c r="A9" s="6" t="s">
        <v>2033</v>
      </c>
      <c r="B9" s="186">
        <v>7.0000000000000007E-2</v>
      </c>
      <c r="C9" s="1213" t="str">
        <f>IF(B9&lt;0.07, "Must be &gt;= 7%!","")</f>
        <v/>
      </c>
      <c r="D9" s="1" t="s">
        <v>2307</v>
      </c>
      <c r="G9" s="1228" t="s">
        <v>2649</v>
      </c>
      <c r="H9" s="140" t="s">
        <v>1355</v>
      </c>
      <c r="K9" s="1230">
        <v>27000</v>
      </c>
      <c r="N9" s="3559"/>
      <c r="O9" s="3561"/>
      <c r="AA9" s="1721">
        <v>9</v>
      </c>
    </row>
    <row r="10" spans="1:27">
      <c r="A10" s="6" t="s">
        <v>1336</v>
      </c>
      <c r="B10" s="58">
        <v>0.02</v>
      </c>
      <c r="D10" s="1" t="s">
        <v>1597</v>
      </c>
      <c r="G10" s="1229"/>
      <c r="H10" s="140" t="s">
        <v>2174</v>
      </c>
      <c r="K10" s="1231"/>
      <c r="N10" s="3565"/>
      <c r="O10" s="3567"/>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503820</v>
      </c>
      <c r="C15" s="15">
        <f t="shared" ref="C15:K15" si="1">$B$15*(1+$B$6)^(C14-1)</f>
        <v>513896.4</v>
      </c>
      <c r="D15" s="15">
        <f t="shared" si="1"/>
        <v>524174.32799999998</v>
      </c>
      <c r="E15" s="15">
        <f t="shared" si="1"/>
        <v>534657.81455999997</v>
      </c>
      <c r="F15" s="15">
        <f t="shared" si="1"/>
        <v>545350.97085119993</v>
      </c>
      <c r="G15" s="15">
        <f t="shared" si="1"/>
        <v>556257.99026822404</v>
      </c>
      <c r="H15" s="15">
        <f t="shared" si="1"/>
        <v>567383.15007358848</v>
      </c>
      <c r="I15" s="15">
        <f t="shared" si="1"/>
        <v>578730.81307506014</v>
      </c>
      <c r="J15" s="15">
        <f t="shared" si="1"/>
        <v>590305.42933656147</v>
      </c>
      <c r="K15" s="16">
        <f t="shared" si="1"/>
        <v>602111.53792329261</v>
      </c>
      <c r="N15" s="3581"/>
      <c r="O15" s="3583"/>
      <c r="S15" s="3672" t="s">
        <v>3409</v>
      </c>
      <c r="Z15" s="1719" t="s">
        <v>6461</v>
      </c>
      <c r="AA15" s="1721">
        <v>15</v>
      </c>
    </row>
    <row r="16" spans="1:27" ht="13.35" customHeight="1">
      <c r="A16" s="17" t="s">
        <v>952</v>
      </c>
      <c r="B16" s="18">
        <f>MIN(B15*B10,'Part V-Revenues &amp; Expenses'!$H$179)</f>
        <v>10076.4</v>
      </c>
      <c r="C16" s="18">
        <f t="shared" ref="C16:K16" si="2">$B$16*(1+$B$6)^(C14-1)</f>
        <v>10277.928</v>
      </c>
      <c r="D16" s="18">
        <f t="shared" si="2"/>
        <v>10483.486559999999</v>
      </c>
      <c r="E16" s="18">
        <f t="shared" si="2"/>
        <v>10693.156291199999</v>
      </c>
      <c r="F16" s="18">
        <f t="shared" si="2"/>
        <v>10907.019417023999</v>
      </c>
      <c r="G16" s="18">
        <f t="shared" si="2"/>
        <v>11125.159805364479</v>
      </c>
      <c r="H16" s="18">
        <f t="shared" si="2"/>
        <v>11347.66300147177</v>
      </c>
      <c r="I16" s="18">
        <f t="shared" si="2"/>
        <v>11574.616261501204</v>
      </c>
      <c r="J16" s="18">
        <f t="shared" si="2"/>
        <v>11806.108586731229</v>
      </c>
      <c r="K16" s="19">
        <f t="shared" si="2"/>
        <v>12042.230758465852</v>
      </c>
      <c r="N16" s="3559"/>
      <c r="O16" s="3561"/>
      <c r="S16" s="3673"/>
      <c r="Z16" s="1719" t="s">
        <v>6461</v>
      </c>
      <c r="AA16" s="1721">
        <v>16</v>
      </c>
    </row>
    <row r="17" spans="1:27" ht="13.35" customHeight="1">
      <c r="A17" s="17" t="s">
        <v>2216</v>
      </c>
      <c r="B17" s="18">
        <f t="shared" ref="B17:K17" si="3">-(B15+B16)*$B$9</f>
        <v>-35972.748000000007</v>
      </c>
      <c r="C17" s="18">
        <f t="shared" si="3"/>
        <v>-36692.20296000001</v>
      </c>
      <c r="D17" s="18">
        <f t="shared" si="3"/>
        <v>-37426.047019199999</v>
      </c>
      <c r="E17" s="18">
        <f t="shared" si="3"/>
        <v>-38174.567959583997</v>
      </c>
      <c r="F17" s="18">
        <f t="shared" si="3"/>
        <v>-38938.059318775675</v>
      </c>
      <c r="G17" s="18">
        <f t="shared" si="3"/>
        <v>-39716.820505151198</v>
      </c>
      <c r="H17" s="18">
        <f t="shared" si="3"/>
        <v>-40511.156915254222</v>
      </c>
      <c r="I17" s="18">
        <f t="shared" si="3"/>
        <v>-41321.380053559296</v>
      </c>
      <c r="J17" s="18">
        <f t="shared" si="3"/>
        <v>-42147.807654630495</v>
      </c>
      <c r="K17" s="19">
        <f t="shared" si="3"/>
        <v>-42990.763807723095</v>
      </c>
      <c r="N17" s="3559"/>
      <c r="O17" s="3561"/>
      <c r="Q17" s="3675" t="s">
        <v>3299</v>
      </c>
      <c r="R17" s="3675" t="s">
        <v>3408</v>
      </c>
      <c r="S17" s="3673"/>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477923.652</v>
      </c>
      <c r="C20" s="18">
        <f t="shared" ref="C20:K20" si="4">SUM(C15:C19)</f>
        <v>487482.12504000001</v>
      </c>
      <c r="D20" s="18">
        <f t="shared" si="4"/>
        <v>497231.76754079998</v>
      </c>
      <c r="E20" s="18">
        <f t="shared" si="4"/>
        <v>507176.40289161593</v>
      </c>
      <c r="F20" s="18">
        <f t="shared" si="4"/>
        <v>517319.93094944826</v>
      </c>
      <c r="G20" s="18">
        <f t="shared" si="4"/>
        <v>527666.3295684373</v>
      </c>
      <c r="H20" s="18">
        <f t="shared" si="4"/>
        <v>538219.65615980607</v>
      </c>
      <c r="I20" s="18">
        <f t="shared" si="4"/>
        <v>548984.04928300204</v>
      </c>
      <c r="J20" s="18">
        <f t="shared" si="4"/>
        <v>559963.73026866221</v>
      </c>
      <c r="K20" s="19">
        <f t="shared" si="4"/>
        <v>571163.00487403537</v>
      </c>
      <c r="N20" s="3559"/>
      <c r="O20" s="3561"/>
      <c r="Z20" s="1719" t="s">
        <v>6461</v>
      </c>
      <c r="AA20" s="1721">
        <v>20</v>
      </c>
    </row>
    <row r="21" spans="1:27" ht="13.35" customHeight="1">
      <c r="A21" s="17" t="s">
        <v>572</v>
      </c>
      <c r="B21" s="18">
        <f>-('Part V-Revenues &amp; Expenses'!$Q$228-'Part V-Revenues &amp; Expenses'!$Q$220)</f>
        <v>-240878</v>
      </c>
      <c r="C21" s="18">
        <f t="shared" ref="C21:K21" si="5">$B$21*(1+$B$7)^(C14-1)</f>
        <v>-248104.34</v>
      </c>
      <c r="D21" s="18">
        <f t="shared" si="5"/>
        <v>-255547.47019999998</v>
      </c>
      <c r="E21" s="18">
        <f t="shared" si="5"/>
        <v>-263213.89430599997</v>
      </c>
      <c r="F21" s="18">
        <f t="shared" si="5"/>
        <v>-271110.31113518</v>
      </c>
      <c r="G21" s="18">
        <f t="shared" si="5"/>
        <v>-279243.62046923535</v>
      </c>
      <c r="H21" s="18">
        <f t="shared" si="5"/>
        <v>-287620.92908331245</v>
      </c>
      <c r="I21" s="18">
        <f t="shared" si="5"/>
        <v>-296249.55695581186</v>
      </c>
      <c r="J21" s="18">
        <f t="shared" si="5"/>
        <v>-305137.04366448615</v>
      </c>
      <c r="K21" s="19">
        <f t="shared" si="5"/>
        <v>-314291.15497442073</v>
      </c>
      <c r="N21" s="3559"/>
      <c r="O21" s="3561"/>
      <c r="Q21" s="47">
        <v>1</v>
      </c>
      <c r="R21" s="869">
        <f>-B32</f>
        <v>31581</v>
      </c>
      <c r="S21" s="869">
        <f>B33+R21</f>
        <v>31580.675683515321</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-27000</v>
      </c>
      <c r="C22" s="18">
        <f>IF(AND('Part VI-Pro Forma'!$G$9="Yes",'Part VI-Pro Forma'!$G$10="Yes"),"Choose One!",IF('Part VI-Pro Forma'!$G$9="Yes",ROUND((-$K$9*(1+'Part VI-Pro Forma'!$B$7)^('Part VI-Pro Forma'!C14-1)),),IF('Part VI-Pro Forma'!$G$10="Yes",ROUND((-(SUM(C15:C18)*'Part VI-Pro Forma'!$K$10)),),"Choose mgt fee")))</f>
        <v>-27810</v>
      </c>
      <c r="D22" s="18">
        <f>IF(AND('Part VI-Pro Forma'!$G$9="Yes",'Part VI-Pro Forma'!$G$10="Yes"),"Choose One!",IF('Part VI-Pro Forma'!$G$9="Yes",ROUND((-$K$9*(1+'Part VI-Pro Forma'!$B$7)^('Part VI-Pro Forma'!D14-1)),),IF('Part VI-Pro Forma'!$G$10="Yes",ROUND((-(SUM(D15:D18)*'Part VI-Pro Forma'!$K$10)),),"Choose mgt fee")))</f>
        <v>-28644</v>
      </c>
      <c r="E22" s="18">
        <f>IF(AND('Part VI-Pro Forma'!$G$9="Yes",'Part VI-Pro Forma'!$G$10="Yes"),"Choose One!",IF('Part VI-Pro Forma'!$G$9="Yes",ROUND((-$K$9*(1+'Part VI-Pro Forma'!$B$7)^('Part VI-Pro Forma'!E14-1)),),IF('Part VI-Pro Forma'!$G$10="Yes",ROUND((-(SUM(E15:E18)*'Part VI-Pro Forma'!$K$10)),),"Choose mgt fee")))</f>
        <v>-29504</v>
      </c>
      <c r="F22" s="18">
        <f>IF(AND('Part VI-Pro Forma'!$G$9="Yes",'Part VI-Pro Forma'!$G$10="Yes"),"Choose One!",IF('Part VI-Pro Forma'!$G$9="Yes",ROUND((-$K$9*(1+'Part VI-Pro Forma'!$B$7)^('Part VI-Pro Forma'!F14-1)),),IF('Part VI-Pro Forma'!$G$10="Yes",ROUND((-(SUM(F15:F18)*'Part VI-Pro Forma'!$K$10)),),"Choose mgt fee")))</f>
        <v>-30389</v>
      </c>
      <c r="G22" s="18">
        <f>IF(AND('Part VI-Pro Forma'!$G$9="Yes",'Part VI-Pro Forma'!$G$10="Yes"),"Choose One!",IF('Part VI-Pro Forma'!$G$9="Yes",ROUND((-$K$9*(1+'Part VI-Pro Forma'!$B$7)^('Part VI-Pro Forma'!G14-1)),),IF('Part VI-Pro Forma'!$G$10="Yes",ROUND((-(SUM(G15:G18)*'Part VI-Pro Forma'!$K$10)),),"Choose mgt fee")))</f>
        <v>-31300</v>
      </c>
      <c r="H22" s="18">
        <f>IF(AND('Part VI-Pro Forma'!$G$9="Yes",'Part VI-Pro Forma'!$G$10="Yes"),"Choose One!",IF('Part VI-Pro Forma'!$G$9="Yes",ROUND((-$K$9*(1+'Part VI-Pro Forma'!$B$7)^('Part VI-Pro Forma'!H14-1)),),IF('Part VI-Pro Forma'!$G$10="Yes",ROUND((-(SUM(H15:H18)*'Part VI-Pro Forma'!$K$10)),),"Choose mgt fee")))</f>
        <v>-32239</v>
      </c>
      <c r="I22" s="18">
        <f>IF(AND('Part VI-Pro Forma'!$G$9="Yes",'Part VI-Pro Forma'!$G$10="Yes"),"Choose One!",IF('Part VI-Pro Forma'!$G$9="Yes",ROUND((-$K$9*(1+'Part VI-Pro Forma'!$B$7)^('Part VI-Pro Forma'!I14-1)),),IF('Part VI-Pro Forma'!$G$10="Yes",ROUND((-(SUM(I15:I18)*'Part VI-Pro Forma'!$K$10)),),"Choose mgt fee")))</f>
        <v>-33207</v>
      </c>
      <c r="J22" s="18">
        <f>IF(AND('Part VI-Pro Forma'!$G$9="Yes",'Part VI-Pro Forma'!$G$10="Yes"),"Choose One!",IF('Part VI-Pro Forma'!$G$9="Yes",ROUND((-$K$9*(1+'Part VI-Pro Forma'!$B$7)^('Part VI-Pro Forma'!J14-1)),),IF('Part VI-Pro Forma'!$G$10="Yes",ROUND((-(SUM(J15:J18)*'Part VI-Pro Forma'!$K$10)),),"Choose mgt fee")))</f>
        <v>-34203</v>
      </c>
      <c r="K22" s="19">
        <f>IF(AND('Part VI-Pro Forma'!$G$9="Yes",'Part VI-Pro Forma'!$G$10="Yes"),"Choose One!",IF('Part VI-Pro Forma'!$G$9="Yes",ROUND((-$K$9*(1+'Part VI-Pro Forma'!$B$7)^('Part VI-Pro Forma'!K14-1)),),IF('Part VI-Pro Forma'!$G$10="Yes",ROUND((-(SUM(K15:K18)*'Part VI-Pro Forma'!$K$10)),),"Choose mgt fee")))</f>
        <v>-35229</v>
      </c>
      <c r="N22" s="3559"/>
      <c r="O22" s="3561"/>
      <c r="Q22" s="47">
        <v>2</v>
      </c>
      <c r="R22" s="869">
        <f>-SUM(B32:C32)</f>
        <v>47542</v>
      </c>
      <c r="S22" s="869">
        <f>SUM(B33:C33)+R22</f>
        <v>64308.484407030657</v>
      </c>
      <c r="Z22" s="1719" t="s">
        <v>6461</v>
      </c>
      <c r="AA22" s="1721">
        <v>22</v>
      </c>
    </row>
    <row r="23" spans="1:27" ht="13.35" customHeight="1">
      <c r="A23" s="17" t="s">
        <v>1128</v>
      </c>
      <c r="B23" s="18">
        <f>-('Part V-Revenues &amp; Expenses'!$Q$234)</f>
        <v>-12500</v>
      </c>
      <c r="C23" s="18">
        <f t="shared" ref="C23:K23" si="6">$B$23*(1+$B$8)^(C14-1)</f>
        <v>-12875</v>
      </c>
      <c r="D23" s="18">
        <f t="shared" si="6"/>
        <v>-13261.25</v>
      </c>
      <c r="E23" s="18">
        <f t="shared" si="6"/>
        <v>-13659.0875</v>
      </c>
      <c r="F23" s="18">
        <f t="shared" si="6"/>
        <v>-14068.860124999999</v>
      </c>
      <c r="G23" s="18">
        <f t="shared" si="6"/>
        <v>-14490.925928749997</v>
      </c>
      <c r="H23" s="18">
        <f t="shared" si="6"/>
        <v>-14925.653706612498</v>
      </c>
      <c r="I23" s="18">
        <f t="shared" si="6"/>
        <v>-15373.423317810875</v>
      </c>
      <c r="J23" s="18">
        <f t="shared" si="6"/>
        <v>-15834.626017345199</v>
      </c>
      <c r="K23" s="19">
        <f t="shared" si="6"/>
        <v>-16309.664797865556</v>
      </c>
      <c r="N23" s="3559"/>
      <c r="O23" s="3561"/>
      <c r="Q23" s="47">
        <v>3</v>
      </c>
      <c r="R23" s="869">
        <f>-SUM(B32:D32)</f>
        <v>47542</v>
      </c>
      <c r="S23" s="869">
        <f>SUM(B33:D33)+R23</f>
        <v>98122.555431345972</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47542</v>
      </c>
      <c r="S24" s="869">
        <f>SUM(B33:E33)+R24</f>
        <v>132957.00020047725</v>
      </c>
      <c r="Z24" s="1719" t="s">
        <v>6461</v>
      </c>
      <c r="AA24" s="1721">
        <v>24</v>
      </c>
    </row>
    <row r="25" spans="1:27" ht="13.35" customHeight="1">
      <c r="A25" s="17" t="s">
        <v>1129</v>
      </c>
      <c r="B25" s="18">
        <f>SUM(B20:B24)</f>
        <v>197545.652</v>
      </c>
      <c r="C25" s="18">
        <f t="shared" ref="C25:J25" si="7">SUM(C20:C24)</f>
        <v>198692.78504000002</v>
      </c>
      <c r="D25" s="18">
        <f t="shared" si="7"/>
        <v>199779.0473408</v>
      </c>
      <c r="E25" s="18">
        <f t="shared" si="7"/>
        <v>200799.42108561596</v>
      </c>
      <c r="F25" s="18">
        <f t="shared" si="7"/>
        <v>201751.75968926825</v>
      </c>
      <c r="G25" s="18">
        <f t="shared" si="7"/>
        <v>202631.78317045196</v>
      </c>
      <c r="H25" s="18">
        <f t="shared" si="7"/>
        <v>203434.07336988111</v>
      </c>
      <c r="I25" s="18">
        <f t="shared" si="7"/>
        <v>204154.06900937931</v>
      </c>
      <c r="J25" s="18">
        <f t="shared" si="7"/>
        <v>204789.06058683086</v>
      </c>
      <c r="K25" s="1215">
        <f>SUM(K20:K24)</f>
        <v>205333.18510174908</v>
      </c>
      <c r="N25" s="3559"/>
      <c r="O25" s="3561"/>
      <c r="Q25" s="92">
        <v>5</v>
      </c>
      <c r="R25" s="869">
        <f>-SUM(B32:F32)</f>
        <v>47542</v>
      </c>
      <c r="S25" s="869">
        <f>SUM(B33:F33)+R25</f>
        <v>168743.78357326082</v>
      </c>
      <c r="Z25" s="1719" t="s">
        <v>6461</v>
      </c>
      <c r="AA25" s="1721">
        <v>25</v>
      </c>
    </row>
    <row r="26" spans="1:27" ht="13.35" customHeight="1">
      <c r="A26" s="341" t="s">
        <v>1486</v>
      </c>
      <c r="B26" s="342">
        <f>IF('Part II-Sources of Funds'!$P$40="", 0,-'Part II-Sources of Funds'!$P$40)</f>
        <v>-158464.97631648468</v>
      </c>
      <c r="C26" s="342">
        <f>IF('Part II-Sources of Funds'!$P$40="", 0,-'Part II-Sources of Funds'!$P$40)</f>
        <v>-158464.97631648468</v>
      </c>
      <c r="D26" s="342">
        <f>IF('Part II-Sources of Funds'!$P$40="", 0,-'Part II-Sources of Funds'!$P$40)</f>
        <v>-158464.97631648468</v>
      </c>
      <c r="E26" s="342">
        <f>IF('Part II-Sources of Funds'!$P$40="", 0,-'Part II-Sources of Funds'!$P$40)</f>
        <v>-158464.97631648468</v>
      </c>
      <c r="F26" s="342">
        <f>IF('Part II-Sources of Funds'!$P$40="", 0,-'Part II-Sources of Funds'!$P$40)</f>
        <v>-158464.97631648468</v>
      </c>
      <c r="G26" s="342">
        <f>IF('Part II-Sources of Funds'!$P$40="", 0,-'Part II-Sources of Funds'!$P$40)</f>
        <v>-158464.97631648468</v>
      </c>
      <c r="H26" s="342">
        <f>IF('Part II-Sources of Funds'!$P$40="", 0,-'Part II-Sources of Funds'!$P$40)</f>
        <v>-158464.97631648468</v>
      </c>
      <c r="I26" s="342">
        <f>IF('Part II-Sources of Funds'!$P$40="", 0,-'Part II-Sources of Funds'!$P$40)</f>
        <v>-158464.97631648468</v>
      </c>
      <c r="J26" s="342">
        <f>IF('Part II-Sources of Funds'!$P$40="", 0,-'Part II-Sources of Funds'!$P$40)</f>
        <v>-158464.97631648468</v>
      </c>
      <c r="K26" s="342">
        <f>IF('Part II-Sources of Funds'!$P$40="", 0,-'Part II-Sources of Funds'!$P$40)</f>
        <v>-158464.97631648468</v>
      </c>
      <c r="N26" s="3559"/>
      <c r="O26" s="3561"/>
      <c r="Q26" s="92">
        <v>6</v>
      </c>
      <c r="R26" s="869">
        <f>-SUM(B32:G32)</f>
        <v>47542</v>
      </c>
      <c r="S26" s="869">
        <f>SUM(B33:G33)+R26</f>
        <v>205410.5904272281</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47542</v>
      </c>
      <c r="S27" s="869">
        <f>SUM(B33:H33)+R27</f>
        <v>242879.68748062453</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47542</v>
      </c>
      <c r="S28" s="869">
        <f>SUM(B33:I33)+R28</f>
        <v>281068.78017351916</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47542</v>
      </c>
      <c r="S29" s="869">
        <f>SUM(B33:J33)+R29</f>
        <v>319892.86444386537</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47542</v>
      </c>
      <c r="S30" s="869">
        <f>SUM(B33:K33)+R30</f>
        <v>359261.07322912978</v>
      </c>
      <c r="Z30" s="1719" t="s">
        <v>6461</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9"/>
      <c r="O31" s="3561"/>
      <c r="Q31" s="92">
        <v>11</v>
      </c>
      <c r="R31" s="869">
        <f>-SUM(B32:K32)-B64</f>
        <v>47542</v>
      </c>
      <c r="S31" s="869">
        <f>SUM(B33:K33)+B65+R31</f>
        <v>399077.51751870627</v>
      </c>
      <c r="Z31" s="1719" t="s">
        <v>6461</v>
      </c>
      <c r="AA31" s="1721">
        <v>31</v>
      </c>
    </row>
    <row r="32" spans="1:27" ht="13.35" customHeight="1">
      <c r="A32" s="341" t="s">
        <v>3362</v>
      </c>
      <c r="B32" s="179">
        <v>-31581</v>
      </c>
      <c r="C32" s="179">
        <v>-15961</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47542</v>
      </c>
      <c r="S32" s="869">
        <f>SUM(B33:K33) + SUM(B65:C65)+R32</f>
        <v>439242.1217767495</v>
      </c>
      <c r="Z32" s="1719" t="s">
        <v>6461</v>
      </c>
      <c r="AA32" s="1721">
        <v>32</v>
      </c>
    </row>
    <row r="33" spans="1:27" ht="13.35" customHeight="1">
      <c r="A33" s="17" t="s">
        <v>1096</v>
      </c>
      <c r="B33" s="18">
        <f t="shared" ref="B33:K33" si="9">SUM(B25:B32)</f>
        <v>-0.32431648467900231</v>
      </c>
      <c r="C33" s="18">
        <f t="shared" si="9"/>
        <v>16766.808723515336</v>
      </c>
      <c r="D33" s="18">
        <f t="shared" si="9"/>
        <v>33814.071024315315</v>
      </c>
      <c r="E33" s="18">
        <f t="shared" si="9"/>
        <v>34834.444769131282</v>
      </c>
      <c r="F33" s="18">
        <f t="shared" si="9"/>
        <v>35786.783372783568</v>
      </c>
      <c r="G33" s="18">
        <f t="shared" si="9"/>
        <v>36666.806853967282</v>
      </c>
      <c r="H33" s="18">
        <f t="shared" si="9"/>
        <v>37469.097053396428</v>
      </c>
      <c r="I33" s="18">
        <f t="shared" si="9"/>
        <v>38189.092692894628</v>
      </c>
      <c r="J33" s="18">
        <f t="shared" si="9"/>
        <v>38824.084270346182</v>
      </c>
      <c r="K33" s="19">
        <f t="shared" si="9"/>
        <v>39368.208785264404</v>
      </c>
      <c r="N33" s="3559"/>
      <c r="O33" s="3561"/>
      <c r="Q33" s="92">
        <v>13</v>
      </c>
      <c r="R33" s="869">
        <f>-SUM(B32:K32) - SUM(B64:D64)</f>
        <v>47542</v>
      </c>
      <c r="S33" s="869">
        <f>SUM(B33:K33) + SUM(B65:D65)+R33</f>
        <v>479647.45354931918</v>
      </c>
      <c r="Z33" s="1719" t="s">
        <v>6461</v>
      </c>
      <c r="AA33" s="1721">
        <v>33</v>
      </c>
    </row>
    <row r="34" spans="1:27" ht="13.35" customHeight="1">
      <c r="A34" s="17" t="str">
        <f>IF('Part II-Sources of Funds'!$E$40 = "Neither", "", "DCR Mortgage A")</f>
        <v>DCR Mortgage A</v>
      </c>
      <c r="B34" s="20">
        <f t="shared" ref="B34:K34" si="10">IF(B26=0,"",-B25/B26)</f>
        <v>1.2466202727690678</v>
      </c>
      <c r="C34" s="20">
        <f t="shared" si="10"/>
        <v>1.2538593048041906</v>
      </c>
      <c r="D34" s="20">
        <f t="shared" si="10"/>
        <v>1.2607142094402188</v>
      </c>
      <c r="E34" s="20">
        <f t="shared" si="10"/>
        <v>1.2671533215300608</v>
      </c>
      <c r="F34" s="20">
        <f t="shared" si="10"/>
        <v>1.2731630949562738</v>
      </c>
      <c r="G34" s="20">
        <f t="shared" si="10"/>
        <v>1.2787165207140647</v>
      </c>
      <c r="H34" s="20">
        <f t="shared" si="10"/>
        <v>1.283779407277887</v>
      </c>
      <c r="I34" s="20">
        <f t="shared" si="10"/>
        <v>1.2883229705070276</v>
      </c>
      <c r="J34" s="20">
        <f t="shared" si="10"/>
        <v>1.2923301119726809</v>
      </c>
      <c r="K34" s="21">
        <f t="shared" si="10"/>
        <v>1.295763832959907</v>
      </c>
      <c r="N34" s="3559"/>
      <c r="O34" s="3561"/>
      <c r="Q34" s="92">
        <v>14</v>
      </c>
      <c r="R34" s="869">
        <f>-SUM(B32:K32) - SUM(B64:E64)</f>
        <v>47542</v>
      </c>
      <c r="S34" s="869">
        <f>SUM(B33:K33) + SUM(B65:E65)+R34</f>
        <v>520183.54706379678</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47542</v>
      </c>
      <c r="S35" s="869">
        <f>SUM(B33:K33) + SUM(B65:F65)+R35</f>
        <v>560731.72062242427</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47542</v>
      </c>
      <c r="S36" s="869">
        <f>SUM(B33:K33) + SUM(B65:G65)+R36</f>
        <v>601169.3875855105</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47542</v>
      </c>
      <c r="S37" s="869">
        <f>SUM(B33:K33) + SUM(B65:H65)+R37</f>
        <v>641366.86073335353</v>
      </c>
      <c r="Z37" s="1719" t="s">
        <v>6461</v>
      </c>
      <c r="AA37" s="1721">
        <v>37</v>
      </c>
    </row>
    <row r="38" spans="1:27" ht="13.35" customHeight="1">
      <c r="A38" s="341" t="s">
        <v>3214</v>
      </c>
      <c r="B38" s="20">
        <f t="shared" ref="B38:K38" si="14">IF(AND(B26=0,B27=0,B28=0,B29=0),"",-B25/(B26+B27+B28+B29))</f>
        <v>1.2466202727690678</v>
      </c>
      <c r="C38" s="20">
        <f t="shared" si="14"/>
        <v>1.2538593048041906</v>
      </c>
      <c r="D38" s="20">
        <f t="shared" si="14"/>
        <v>1.2607142094402188</v>
      </c>
      <c r="E38" s="20">
        <f t="shared" si="14"/>
        <v>1.2671533215300608</v>
      </c>
      <c r="F38" s="20">
        <f t="shared" si="14"/>
        <v>1.2731630949562738</v>
      </c>
      <c r="G38" s="20">
        <f t="shared" si="14"/>
        <v>1.2787165207140647</v>
      </c>
      <c r="H38" s="20">
        <f t="shared" si="14"/>
        <v>1.283779407277887</v>
      </c>
      <c r="I38" s="20">
        <f t="shared" si="14"/>
        <v>1.2883229705070276</v>
      </c>
      <c r="J38" s="20">
        <f t="shared" si="14"/>
        <v>1.2923301119726809</v>
      </c>
      <c r="K38" s="21">
        <f t="shared" si="14"/>
        <v>1.295763832959907</v>
      </c>
      <c r="N38" s="3559"/>
      <c r="O38" s="3561"/>
      <c r="Q38" s="47">
        <v>18</v>
      </c>
      <c r="R38" s="869">
        <f>-SUM(B32:K32) - SUM(B64:I64)</f>
        <v>47542</v>
      </c>
      <c r="S38" s="869">
        <f>SUM(B33:K33) + SUM(B65:I65)+R38</f>
        <v>681188.14978922345</v>
      </c>
      <c r="Z38" s="1719" t="s">
        <v>6461</v>
      </c>
      <c r="AA38" s="1721">
        <v>38</v>
      </c>
    </row>
    <row r="39" spans="1:27" ht="13.35" customHeight="1">
      <c r="A39" s="17" t="s">
        <v>718</v>
      </c>
      <c r="B39" s="220">
        <f t="shared" ref="B39:K39" si="15">IF(OR(B22="Choose mgt fee",B22="Choose One!"),"",(B15+B16+B17+B18+B19) / -(B21+B22+B23))</f>
        <v>1.7045690175406059</v>
      </c>
      <c r="C39" s="220">
        <f t="shared" si="15"/>
        <v>1.688019803778076</v>
      </c>
      <c r="D39" s="220">
        <f t="shared" si="15"/>
        <v>1.6716329479403429</v>
      </c>
      <c r="E39" s="220">
        <f t="shared" si="15"/>
        <v>1.655399827695814</v>
      </c>
      <c r="F39" s="220">
        <f t="shared" si="15"/>
        <v>1.6393286080899703</v>
      </c>
      <c r="G39" s="220">
        <f t="shared" si="15"/>
        <v>1.6234161427331526</v>
      </c>
      <c r="H39" s="220">
        <f t="shared" si="15"/>
        <v>1.6076548209590442</v>
      </c>
      <c r="I39" s="220">
        <f t="shared" si="15"/>
        <v>1.5920426896970588</v>
      </c>
      <c r="J39" s="220">
        <f t="shared" si="15"/>
        <v>1.5765868967240337</v>
      </c>
      <c r="K39" s="221">
        <f t="shared" si="15"/>
        <v>1.5612806119237639</v>
      </c>
      <c r="N39" s="3559"/>
      <c r="O39" s="3561"/>
      <c r="Q39" s="92">
        <v>19</v>
      </c>
      <c r="R39" s="869">
        <f>-SUM(B32:K32) - SUM(B64:J64)</f>
        <v>47542</v>
      </c>
      <c r="S39" s="869">
        <f>SUM(B33:K33) + SUM(B65:J65)+R39</f>
        <v>720490.75187884306</v>
      </c>
      <c r="Z39" s="1719" t="s">
        <v>6461</v>
      </c>
      <c r="AA39" s="1721">
        <v>39</v>
      </c>
    </row>
    <row r="40" spans="1:27" ht="13.35" customHeight="1">
      <c r="A40" s="341" t="s">
        <v>2405</v>
      </c>
      <c r="B40" s="177">
        <f>IF('Part II-Sources of Funds'!$I$40="","",-FV('Part II-Sources of Funds'!$K$40/12,12,B26/12,'Part II-Sources of Funds'!$I$40))</f>
        <v>2114967.1939509269</v>
      </c>
      <c r="C40" s="177">
        <f>IF('Part II-Sources of Funds'!$I$40="","",-FV('Part II-Sources of Funds'!$K$40/12,12,C26/12,B40))</f>
        <v>2104209.1155413515</v>
      </c>
      <c r="D40" s="177">
        <f>IF('Part II-Sources of Funds'!$I$40="","",-FV('Part II-Sources of Funds'!$K$40/12,12,D26/12,C40))</f>
        <v>2092673.3347736902</v>
      </c>
      <c r="E40" s="177">
        <f>IF('Part II-Sources of Funds'!$I$40="","",-FV('Part II-Sources of Funds'!$K$40/12,12,E26/12,D40))</f>
        <v>2080303.6314815951</v>
      </c>
      <c r="F40" s="177">
        <f>IF('Part II-Sources of Funds'!$I$40="","",-FV('Part II-Sources of Funds'!$K$40/12,12,F26/12,E40))</f>
        <v>2067039.7213383468</v>
      </c>
      <c r="G40" s="177">
        <f>IF('Part II-Sources of Funds'!$I$40="","",-FV('Part II-Sources of Funds'!$K$40/12,12,G26/12,F40))</f>
        <v>2052816.9620583735</v>
      </c>
      <c r="H40" s="177">
        <f>IF('Part II-Sources of Funds'!$I$40="","",-FV('Part II-Sources of Funds'!$K$40/12,12,H26/12,G40))</f>
        <v>2037566.038360052</v>
      </c>
      <c r="I40" s="177">
        <f>IF('Part II-Sources of Funds'!$I$40="","",-FV('Part II-Sources of Funds'!$K$40/12,12,I26/12,H40))</f>
        <v>2021212.6241544464</v>
      </c>
      <c r="J40" s="177">
        <f>IF('Part II-Sources of Funds'!$I$40="","",-FV('Part II-Sources of Funds'!$K$40/12,12,J26/12,I40))</f>
        <v>2003677.0203136422</v>
      </c>
      <c r="K40" s="177">
        <f>IF('Part II-Sources of Funds'!$I$40="","",-FV('Part II-Sources of Funds'!$K$40/12,12,K26/12,J40))</f>
        <v>1984873.7662533231</v>
      </c>
      <c r="N40" s="3559"/>
      <c r="O40" s="3561"/>
      <c r="Q40" s="92">
        <v>20</v>
      </c>
      <c r="R40" s="869">
        <f>-SUM(B32:K32) - SUM(B64:K64)</f>
        <v>47542</v>
      </c>
      <c r="S40" s="869">
        <f>SUM(B33:K33) + SUM(B65:K65)+R40</f>
        <v>759125.43469467619</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15961</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614153.76868175855</v>
      </c>
      <c r="C47" s="15">
        <f t="shared" si="17"/>
        <v>626436.84405539359</v>
      </c>
      <c r="D47" s="15">
        <f t="shared" si="17"/>
        <v>638965.5809365015</v>
      </c>
      <c r="E47" s="15">
        <f t="shared" si="17"/>
        <v>651744.89255523158</v>
      </c>
      <c r="F47" s="15">
        <f t="shared" si="17"/>
        <v>664779.79040633619</v>
      </c>
      <c r="G47" s="15">
        <f t="shared" si="17"/>
        <v>678075.38621446281</v>
      </c>
      <c r="H47" s="15">
        <f t="shared" si="17"/>
        <v>691636.89393875212</v>
      </c>
      <c r="I47" s="15">
        <f t="shared" si="17"/>
        <v>705469.63181752723</v>
      </c>
      <c r="J47" s="15">
        <f t="shared" si="17"/>
        <v>719579.0244538777</v>
      </c>
      <c r="K47" s="16">
        <f t="shared" si="17"/>
        <v>733970.60494295531</v>
      </c>
      <c r="N47" s="3581"/>
      <c r="O47" s="3583"/>
      <c r="Z47" s="1719" t="s">
        <v>6462</v>
      </c>
      <c r="AA47" s="1721">
        <v>47</v>
      </c>
    </row>
    <row r="48" spans="1:27" ht="13.35" customHeight="1">
      <c r="A48" s="17" t="s">
        <v>952</v>
      </c>
      <c r="B48" s="18">
        <f t="shared" ref="B48:K48" si="18">$B$16*(1+$B$6)^(B46-1)</f>
        <v>12283.075373635171</v>
      </c>
      <c r="C48" s="18">
        <f t="shared" si="18"/>
        <v>12528.73688110787</v>
      </c>
      <c r="D48" s="18">
        <f t="shared" si="18"/>
        <v>12779.311618730031</v>
      </c>
      <c r="E48" s="18">
        <f t="shared" si="18"/>
        <v>13034.89785110463</v>
      </c>
      <c r="F48" s="18">
        <f t="shared" si="18"/>
        <v>13295.595808126724</v>
      </c>
      <c r="G48" s="18">
        <f t="shared" si="18"/>
        <v>13561.507724289255</v>
      </c>
      <c r="H48" s="18">
        <f t="shared" si="18"/>
        <v>13832.737878775042</v>
      </c>
      <c r="I48" s="18">
        <f t="shared" si="18"/>
        <v>14109.392636350545</v>
      </c>
      <c r="J48" s="18">
        <f t="shared" si="18"/>
        <v>14391.580489077554</v>
      </c>
      <c r="K48" s="19">
        <f t="shared" si="18"/>
        <v>14679.412098859104</v>
      </c>
      <c r="N48" s="3559"/>
      <c r="O48" s="3561"/>
      <c r="Z48" s="1719" t="s">
        <v>6462</v>
      </c>
      <c r="AA48" s="1721">
        <v>48</v>
      </c>
    </row>
    <row r="49" spans="1:27" ht="13.35" customHeight="1">
      <c r="A49" s="17" t="s">
        <v>2216</v>
      </c>
      <c r="B49" s="18">
        <f t="shared" ref="B49:K49" si="19">-(B47+B48)*$B$9</f>
        <v>-43850.579083877565</v>
      </c>
      <c r="C49" s="18">
        <f t="shared" si="19"/>
        <v>-44727.590665555108</v>
      </c>
      <c r="D49" s="18">
        <f t="shared" si="19"/>
        <v>-45622.142478866212</v>
      </c>
      <c r="E49" s="18">
        <f t="shared" si="19"/>
        <v>-46534.585328443536</v>
      </c>
      <c r="F49" s="18">
        <f t="shared" si="19"/>
        <v>-47465.277035012412</v>
      </c>
      <c r="G49" s="18">
        <f t="shared" si="19"/>
        <v>-48414.582575712644</v>
      </c>
      <c r="H49" s="18">
        <f t="shared" si="19"/>
        <v>-49382.874227226901</v>
      </c>
      <c r="I49" s="18">
        <f t="shared" si="19"/>
        <v>-50370.531711771451</v>
      </c>
      <c r="J49" s="18">
        <f t="shared" si="19"/>
        <v>-51377.942346006879</v>
      </c>
      <c r="K49" s="19">
        <f t="shared" si="19"/>
        <v>-52405.501192927011</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582586.2649715161</v>
      </c>
      <c r="C52" s="18">
        <f t="shared" si="20"/>
        <v>594237.99027094641</v>
      </c>
      <c r="D52" s="18">
        <f t="shared" si="20"/>
        <v>606122.75007636542</v>
      </c>
      <c r="E52" s="18">
        <f t="shared" si="20"/>
        <v>618245.20507789264</v>
      </c>
      <c r="F52" s="18">
        <f t="shared" si="20"/>
        <v>630610.10917945055</v>
      </c>
      <c r="G52" s="18">
        <f t="shared" si="20"/>
        <v>643222.31136303931</v>
      </c>
      <c r="H52" s="18">
        <f t="shared" si="20"/>
        <v>656086.75759030017</v>
      </c>
      <c r="I52" s="18">
        <f t="shared" si="20"/>
        <v>669208.49274210632</v>
      </c>
      <c r="J52" s="18">
        <f t="shared" si="20"/>
        <v>682592.66259694844</v>
      </c>
      <c r="K52" s="19">
        <f t="shared" si="20"/>
        <v>696244.51584888739</v>
      </c>
      <c r="N52" s="3559"/>
      <c r="O52" s="3561"/>
      <c r="Z52" s="1719" t="s">
        <v>6462</v>
      </c>
      <c r="AA52" s="1721">
        <v>52</v>
      </c>
    </row>
    <row r="53" spans="1:27" ht="13.35" customHeight="1">
      <c r="A53" s="17" t="s">
        <v>572</v>
      </c>
      <c r="B53" s="18">
        <f t="shared" ref="B53:K53" si="21">$B$21*(1+$B$7)^(B46-1)</f>
        <v>-323719.88962365338</v>
      </c>
      <c r="C53" s="18">
        <f t="shared" si="21"/>
        <v>-333431.48631236301</v>
      </c>
      <c r="D53" s="18">
        <f t="shared" si="21"/>
        <v>-343434.43090173381</v>
      </c>
      <c r="E53" s="18">
        <f t="shared" si="21"/>
        <v>-353737.46382878581</v>
      </c>
      <c r="F53" s="18">
        <f t="shared" si="21"/>
        <v>-364349.58774364943</v>
      </c>
      <c r="G53" s="18">
        <f t="shared" si="21"/>
        <v>-375280.07537595893</v>
      </c>
      <c r="H53" s="18">
        <f t="shared" si="21"/>
        <v>-386538.47763723764</v>
      </c>
      <c r="I53" s="18">
        <f t="shared" si="21"/>
        <v>-398134.63196635479</v>
      </c>
      <c r="J53" s="18">
        <f t="shared" si="21"/>
        <v>-410078.67092534539</v>
      </c>
      <c r="K53" s="19">
        <f t="shared" si="21"/>
        <v>-422381.03105310578</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-36286</v>
      </c>
      <c r="C54" s="18">
        <f>IF(AND('Part VI-Pro Forma'!$G$9="Yes",'Part VI-Pro Forma'!$G$10="Yes"),"Choose One!",IF('Part VI-Pro Forma'!$G$9="Yes",ROUND((-$K$9*(1+'Part VI-Pro Forma'!$B$7)^('Part VI-Pro Forma'!C46-1)),),IF('Part VI-Pro Forma'!$G$10="Yes",ROUND((-(SUM(C47:C50)*'Part VI-Pro Forma'!$K$10)),),"Choose mgt fee")))</f>
        <v>-37374</v>
      </c>
      <c r="D54" s="18">
        <f>IF(AND('Part VI-Pro Forma'!$G$9="Yes",'Part VI-Pro Forma'!$G$10="Yes"),"Choose One!",IF('Part VI-Pro Forma'!$G$9="Yes",ROUND((-$K$9*(1+'Part VI-Pro Forma'!$B$7)^('Part VI-Pro Forma'!D46-1)),),IF('Part VI-Pro Forma'!$G$10="Yes",ROUND((-(SUM(D47:D50)*'Part VI-Pro Forma'!$K$10)),),"Choose mgt fee")))</f>
        <v>-38496</v>
      </c>
      <c r="E54" s="18">
        <f>IF(AND('Part VI-Pro Forma'!$G$9="Yes",'Part VI-Pro Forma'!$G$10="Yes"),"Choose One!",IF('Part VI-Pro Forma'!$G$9="Yes",ROUND((-$K$9*(1+'Part VI-Pro Forma'!$B$7)^('Part VI-Pro Forma'!E46-1)),),IF('Part VI-Pro Forma'!$G$10="Yes",ROUND((-(SUM(E47:E50)*'Part VI-Pro Forma'!$K$10)),),"Choose mgt fee")))</f>
        <v>-39650</v>
      </c>
      <c r="F54" s="18">
        <f>IF(AND('Part VI-Pro Forma'!$G$9="Yes",'Part VI-Pro Forma'!$G$10="Yes"),"Choose One!",IF('Part VI-Pro Forma'!$G$9="Yes",ROUND((-$K$9*(1+'Part VI-Pro Forma'!$B$7)^('Part VI-Pro Forma'!F46-1)),),IF('Part VI-Pro Forma'!$G$10="Yes",ROUND((-(SUM(F47:F50)*'Part VI-Pro Forma'!$K$10)),),"Choose mgt fee")))</f>
        <v>-40840</v>
      </c>
      <c r="G54" s="18">
        <f>IF(AND('Part VI-Pro Forma'!$G$9="Yes",'Part VI-Pro Forma'!$G$10="Yes"),"Choose One!",IF('Part VI-Pro Forma'!$G$9="Yes",ROUND((-$K$9*(1+'Part VI-Pro Forma'!$B$7)^('Part VI-Pro Forma'!G46-1)),),IF('Part VI-Pro Forma'!$G$10="Yes",ROUND((-(SUM(G47:G50)*'Part VI-Pro Forma'!$K$10)),),"Choose mgt fee")))</f>
        <v>-42065</v>
      </c>
      <c r="H54" s="18">
        <f>IF(AND('Part VI-Pro Forma'!$G$9="Yes",'Part VI-Pro Forma'!$G$10="Yes"),"Choose One!",IF('Part VI-Pro Forma'!$G$9="Yes",ROUND((-$K$9*(1+'Part VI-Pro Forma'!$B$7)^('Part VI-Pro Forma'!H46-1)),),IF('Part VI-Pro Forma'!$G$10="Yes",ROUND((-(SUM(H47:H50)*'Part VI-Pro Forma'!$K$10)),),"Choose mgt fee")))</f>
        <v>-43327</v>
      </c>
      <c r="I54" s="18">
        <f>IF(AND('Part VI-Pro Forma'!$G$9="Yes",'Part VI-Pro Forma'!$G$10="Yes"),"Choose One!",IF('Part VI-Pro Forma'!$G$9="Yes",ROUND((-$K$9*(1+'Part VI-Pro Forma'!$B$7)^('Part VI-Pro Forma'!I46-1)),),IF('Part VI-Pro Forma'!$G$10="Yes",ROUND((-(SUM(I47:I50)*'Part VI-Pro Forma'!$K$10)),),"Choose mgt fee")))</f>
        <v>-44627</v>
      </c>
      <c r="J54" s="18">
        <f>IF(AND('Part VI-Pro Forma'!$G$9="Yes",'Part VI-Pro Forma'!$G$10="Yes"),"Choose One!",IF('Part VI-Pro Forma'!$G$9="Yes",ROUND((-$K$9*(1+'Part VI-Pro Forma'!$B$7)^('Part VI-Pro Forma'!J46-1)),),IF('Part VI-Pro Forma'!$G$10="Yes",ROUND((-(SUM(J47:J50)*'Part VI-Pro Forma'!$K$10)),),"Choose mgt fee")))</f>
        <v>-45966</v>
      </c>
      <c r="K54" s="19">
        <f>IF(AND('Part VI-Pro Forma'!$G$9="Yes",'Part VI-Pro Forma'!$G$10="Yes"),"Choose One!",IF('Part VI-Pro Forma'!$G$9="Yes",ROUND((-$K$9*(1+'Part VI-Pro Forma'!$B$7)^('Part VI-Pro Forma'!K46-1)),),IF('Part VI-Pro Forma'!$G$10="Yes",ROUND((-(SUM(K47:K50)*'Part VI-Pro Forma'!$K$10)),),"Choose mgt fee")))</f>
        <v>-47345</v>
      </c>
      <c r="N54" s="3559"/>
      <c r="O54" s="3561"/>
      <c r="Z54" s="1719" t="s">
        <v>6462</v>
      </c>
      <c r="AA54" s="1721">
        <v>54</v>
      </c>
    </row>
    <row r="55" spans="1:27" ht="13.35" customHeight="1">
      <c r="A55" s="17" t="s">
        <v>1128</v>
      </c>
      <c r="B55" s="18">
        <f t="shared" ref="B55:K55" si="22">$B$23*(1+$B$8)^(B46-1)</f>
        <v>-16798.954741801521</v>
      </c>
      <c r="C55" s="18">
        <f t="shared" si="22"/>
        <v>-17302.923384055568</v>
      </c>
      <c r="D55" s="18">
        <f t="shared" si="22"/>
        <v>-17822.011085577233</v>
      </c>
      <c r="E55" s="18">
        <f t="shared" si="22"/>
        <v>-18356.67141814455</v>
      </c>
      <c r="F55" s="18">
        <f t="shared" si="22"/>
        <v>-18907.371560688887</v>
      </c>
      <c r="G55" s="18">
        <f t="shared" si="22"/>
        <v>-19474.592707509557</v>
      </c>
      <c r="H55" s="18">
        <f t="shared" si="22"/>
        <v>-20058.830488734839</v>
      </c>
      <c r="I55" s="18">
        <f t="shared" si="22"/>
        <v>-20660.595403396885</v>
      </c>
      <c r="J55" s="18">
        <f t="shared" si="22"/>
        <v>-21280.413265498792</v>
      </c>
      <c r="K55" s="19">
        <f t="shared" si="22"/>
        <v>-21918.825663463755</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205781.42060606121</v>
      </c>
      <c r="C57" s="18">
        <f t="shared" si="23"/>
        <v>206129.58057452785</v>
      </c>
      <c r="D57" s="18">
        <f t="shared" si="23"/>
        <v>206370.30808905439</v>
      </c>
      <c r="E57" s="18">
        <f t="shared" si="23"/>
        <v>206501.06983096228</v>
      </c>
      <c r="F57" s="18">
        <f t="shared" si="23"/>
        <v>206513.14987511223</v>
      </c>
      <c r="G57" s="18">
        <f t="shared" si="23"/>
        <v>206402.64327957082</v>
      </c>
      <c r="H57" s="18">
        <f t="shared" si="23"/>
        <v>206162.44946432768</v>
      </c>
      <c r="I57" s="18">
        <f t="shared" si="23"/>
        <v>205786.26537235465</v>
      </c>
      <c r="J57" s="18">
        <f t="shared" si="23"/>
        <v>205267.57840610427</v>
      </c>
      <c r="K57" s="1215">
        <f t="shared" si="23"/>
        <v>204599.65913231784</v>
      </c>
      <c r="N57" s="3559"/>
      <c r="O57" s="3561"/>
      <c r="Z57" s="1719" t="s">
        <v>6462</v>
      </c>
      <c r="AA57" s="1721">
        <v>57</v>
      </c>
    </row>
    <row r="58" spans="1:27" ht="13.35" customHeight="1">
      <c r="A58" s="17" t="str">
        <f>$A26</f>
        <v>Mortgage A</v>
      </c>
      <c r="B58" s="342">
        <f>IF('Part II-Sources of Funds'!$P$40="", 0,-'Part II-Sources of Funds'!$P$40)</f>
        <v>-158464.97631648468</v>
      </c>
      <c r="C58" s="342">
        <f>IF('Part II-Sources of Funds'!$P$40="", 0,-'Part II-Sources of Funds'!$P$40)</f>
        <v>-158464.97631648468</v>
      </c>
      <c r="D58" s="342">
        <f>IF('Part II-Sources of Funds'!$P$40="", 0,-'Part II-Sources of Funds'!$P$40)</f>
        <v>-158464.97631648468</v>
      </c>
      <c r="E58" s="342">
        <f>IF('Part II-Sources of Funds'!$P$40="", 0,-'Part II-Sources of Funds'!$P$40)</f>
        <v>-158464.97631648468</v>
      </c>
      <c r="F58" s="342">
        <f>IF('Part II-Sources of Funds'!$P$40="", 0,-'Part II-Sources of Funds'!$P$40)</f>
        <v>-158464.97631648468</v>
      </c>
      <c r="G58" s="342">
        <f>IF('Part II-Sources of Funds'!$P$40="", 0,-'Part II-Sources of Funds'!$P$40)</f>
        <v>-158464.97631648468</v>
      </c>
      <c r="H58" s="342">
        <f>IF('Part II-Sources of Funds'!$P$40="", 0,-'Part II-Sources of Funds'!$P$40)</f>
        <v>-158464.97631648468</v>
      </c>
      <c r="I58" s="342">
        <f>IF('Part II-Sources of Funds'!$P$40="", 0,-'Part II-Sources of Funds'!$P$40)</f>
        <v>-158464.97631648468</v>
      </c>
      <c r="J58" s="342">
        <f>IF('Part II-Sources of Funds'!$P$40="", 0,-'Part II-Sources of Funds'!$P$40)</f>
        <v>-158464.97631648468</v>
      </c>
      <c r="K58" s="342">
        <f>IF('Part II-Sources of Funds'!$P$40="", 0,-'Part II-Sources of Funds'!$P$40)</f>
        <v>-158464.97631648468</v>
      </c>
      <c r="N58" s="3559"/>
      <c r="O58" s="356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9"/>
      <c r="O63" s="356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39816.444289576524</v>
      </c>
      <c r="C65" s="18">
        <f t="shared" si="25"/>
        <v>40164.604258043168</v>
      </c>
      <c r="D65" s="18">
        <f t="shared" si="25"/>
        <v>40405.331772569712</v>
      </c>
      <c r="E65" s="18">
        <f t="shared" si="25"/>
        <v>40536.093514477601</v>
      </c>
      <c r="F65" s="18">
        <f t="shared" si="25"/>
        <v>40548.173558627546</v>
      </c>
      <c r="G65" s="18">
        <f t="shared" si="25"/>
        <v>40437.666963086143</v>
      </c>
      <c r="H65" s="18">
        <f t="shared" si="25"/>
        <v>40197.473147843004</v>
      </c>
      <c r="I65" s="18">
        <f t="shared" si="25"/>
        <v>39821.289055869973</v>
      </c>
      <c r="J65" s="18">
        <f t="shared" si="25"/>
        <v>39302.602089619584</v>
      </c>
      <c r="K65" s="497">
        <f t="shared" si="25"/>
        <v>38634.682815833163</v>
      </c>
      <c r="N65" s="3559"/>
      <c r="O65" s="3561"/>
      <c r="Z65" s="1719" t="s">
        <v>6462</v>
      </c>
      <c r="AA65" s="1721">
        <v>65</v>
      </c>
    </row>
    <row r="66" spans="1:27" ht="13.35" customHeight="1">
      <c r="A66" s="17" t="str">
        <f>$A34</f>
        <v>DCR Mortgage A</v>
      </c>
      <c r="B66" s="20">
        <f t="shared" ref="B66:K66" si="26">IF(B58=0,"",-B57/B58)</f>
        <v>1.2985924422509401</v>
      </c>
      <c r="C66" s="20">
        <f t="shared" si="26"/>
        <v>1.3007895205994786</v>
      </c>
      <c r="D66" s="20">
        <f t="shared" si="26"/>
        <v>1.3023086418597234</v>
      </c>
      <c r="E66" s="20">
        <f t="shared" si="26"/>
        <v>1.3031338194159723</v>
      </c>
      <c r="F66" s="20">
        <f t="shared" si="26"/>
        <v>1.3032100510504365</v>
      </c>
      <c r="G66" s="20">
        <f t="shared" si="26"/>
        <v>1.3025126944602921</v>
      </c>
      <c r="H66" s="20">
        <f t="shared" si="26"/>
        <v>1.3009969411321658</v>
      </c>
      <c r="I66" s="20">
        <f t="shared" si="26"/>
        <v>1.2986230153555216</v>
      </c>
      <c r="J66" s="20">
        <f t="shared" si="26"/>
        <v>1.2953498191054273</v>
      </c>
      <c r="K66" s="21">
        <f t="shared" si="26"/>
        <v>1.2911348860059364</v>
      </c>
      <c r="N66" s="3559"/>
      <c r="O66" s="356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f t="shared" ref="B70:K70" si="30">IF(AND(B58=0,B59=0,B60=0,B61=0),"",-B57/(B58+B59+B60+B61))</f>
        <v>1.2985924422509401</v>
      </c>
      <c r="C70" s="20">
        <f t="shared" si="30"/>
        <v>1.3007895205994786</v>
      </c>
      <c r="D70" s="20">
        <f t="shared" si="30"/>
        <v>1.3023086418597234</v>
      </c>
      <c r="E70" s="20">
        <f t="shared" si="30"/>
        <v>1.3031338194159723</v>
      </c>
      <c r="F70" s="20">
        <f t="shared" si="30"/>
        <v>1.3032100510504365</v>
      </c>
      <c r="G70" s="20">
        <f t="shared" si="30"/>
        <v>1.3025126944602921</v>
      </c>
      <c r="H70" s="20">
        <f t="shared" si="30"/>
        <v>1.3009969411321658</v>
      </c>
      <c r="I70" s="20">
        <f t="shared" si="30"/>
        <v>1.2986230153555216</v>
      </c>
      <c r="J70" s="20">
        <f t="shared" si="30"/>
        <v>1.2953498191054273</v>
      </c>
      <c r="K70" s="21">
        <f t="shared" si="30"/>
        <v>1.2911348860059364</v>
      </c>
      <c r="N70" s="3559"/>
      <c r="O70" s="3561"/>
      <c r="Z70" s="1719" t="s">
        <v>6462</v>
      </c>
      <c r="AA70" s="1721">
        <v>70</v>
      </c>
    </row>
    <row r="71" spans="1:27" ht="13.35" customHeight="1">
      <c r="A71" s="17" t="s">
        <v>718</v>
      </c>
      <c r="B71" s="220">
        <f t="shared" ref="B71:K71" si="31">IF(OR(B54="Choose mgt fee",B54="Choose One!"),"",(B47+B48+B49+B50+B51) / -(B53+B54+B55))</f>
        <v>1.5461220143084948</v>
      </c>
      <c r="C71" s="220">
        <f t="shared" si="31"/>
        <v>1.5311134091007303</v>
      </c>
      <c r="D71" s="220">
        <f t="shared" si="31"/>
        <v>1.516245271856538</v>
      </c>
      <c r="E71" s="220">
        <f t="shared" si="31"/>
        <v>1.5015276531069954</v>
      </c>
      <c r="F71" s="220">
        <f t="shared" si="31"/>
        <v>1.4869479616497681</v>
      </c>
      <c r="G71" s="220">
        <f t="shared" si="31"/>
        <v>1.4725122478691388</v>
      </c>
      <c r="H71" s="220">
        <f t="shared" si="31"/>
        <v>1.4582158504016749</v>
      </c>
      <c r="I71" s="220">
        <f t="shared" si="31"/>
        <v>1.4440578229066332</v>
      </c>
      <c r="J71" s="220">
        <f t="shared" si="31"/>
        <v>1.4300372748146504</v>
      </c>
      <c r="K71" s="221">
        <f t="shared" si="31"/>
        <v>1.4161533601688188</v>
      </c>
      <c r="N71" s="3559"/>
      <c r="O71" s="3561"/>
      <c r="Z71" s="1719" t="s">
        <v>6462</v>
      </c>
      <c r="AA71" s="1721">
        <v>71</v>
      </c>
    </row>
    <row r="72" spans="1:27" ht="13.35" customHeight="1">
      <c r="A72" s="341" t="s">
        <v>2405</v>
      </c>
      <c r="B72" s="177">
        <f>IF('Part II-Sources of Funds'!$I$40="","",-FV('Part II-Sources of Funds'!$K$40/12,12,B58/12,K40))</f>
        <v>1964711.2234366231</v>
      </c>
      <c r="C72" s="177">
        <f>IF('Part II-Sources of Funds'!$I$40="","",-FV('Part II-Sources of Funds'!$K$40/12,12,C58/12,B72))</f>
        <v>1943091.1287694366</v>
      </c>
      <c r="D72" s="177">
        <f>IF('Part II-Sources of Funds'!$I$40="","",-FV('Part II-Sources of Funds'!$K$40/12,12,D58/12,C72))</f>
        <v>1919908.1157106399</v>
      </c>
      <c r="E72" s="177">
        <f>IF('Part II-Sources of Funds'!$I$40="","",-FV('Part II-Sources of Funds'!$K$40/12,12,E58/12,D72))</f>
        <v>1895049.2007633315</v>
      </c>
      <c r="F72" s="177">
        <f>IF('Part II-Sources of Funds'!$I$40="","",-FV('Part II-Sources of Funds'!$K$40/12,12,F58/12,E72))</f>
        <v>1868393.232844484</v>
      </c>
      <c r="G72" s="177">
        <f>IF('Part II-Sources of Funds'!$I$40="","",-FV('Part II-Sources of Funds'!$K$40/12,12,G58/12,F72))</f>
        <v>1839810.3028494818</v>
      </c>
      <c r="H72" s="177">
        <f>IF('Part II-Sources of Funds'!$I$40="","",-FV('Part II-Sources of Funds'!$K$40/12,12,H58/12,G72))</f>
        <v>1809161.1105340328</v>
      </c>
      <c r="I72" s="177">
        <f>IF('Part II-Sources of Funds'!$I$40="","",-FV('Part II-Sources of Funds'!$K$40/12,12,I58/12,H72))</f>
        <v>1776296.2856279216</v>
      </c>
      <c r="J72" s="177">
        <f>IF('Part II-Sources of Funds'!$I$40="","",-FV('Part II-Sources of Funds'!$K$40/12,12,J58/12,I72))</f>
        <v>1741055.6598720215</v>
      </c>
      <c r="K72" s="177">
        <f>IF('Part II-Sources of Funds'!$I$40="","",-FV('Part II-Sources of Funds'!$K$40/12,12,K58/12,J72))</f>
        <v>1703267.4864308031</v>
      </c>
      <c r="N72" s="3559"/>
      <c r="O72" s="356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748650.0170418144</v>
      </c>
      <c r="C79" s="15">
        <f t="shared" si="33"/>
        <v>763623.01738265064</v>
      </c>
      <c r="D79" s="15">
        <f t="shared" si="33"/>
        <v>778895.47773030377</v>
      </c>
      <c r="E79" s="15">
        <f t="shared" si="33"/>
        <v>794473.38728490961</v>
      </c>
      <c r="F79" s="15">
        <f t="shared" si="33"/>
        <v>810362.8550306079</v>
      </c>
      <c r="G79" s="15">
        <f t="shared" si="33"/>
        <v>826570.11213122006</v>
      </c>
      <c r="H79" s="15">
        <f t="shared" si="33"/>
        <v>843101.51437384449</v>
      </c>
      <c r="I79" s="15">
        <f t="shared" si="33"/>
        <v>859963.54466132121</v>
      </c>
      <c r="J79" s="15">
        <f t="shared" si="33"/>
        <v>877162.81555454782</v>
      </c>
      <c r="K79" s="16">
        <f t="shared" si="33"/>
        <v>894706.07186563872</v>
      </c>
      <c r="N79" s="3581"/>
      <c r="O79" s="3583"/>
      <c r="Z79" s="1719" t="s">
        <v>6463</v>
      </c>
      <c r="AA79" s="1721">
        <v>79</v>
      </c>
    </row>
    <row r="80" spans="1:27" ht="13.35" customHeight="1">
      <c r="A80" s="17" t="s">
        <v>952</v>
      </c>
      <c r="B80" s="18">
        <f t="shared" ref="B80:K80" si="34">$B$16*(1+$B$6)^(B78-1)</f>
        <v>14973.000340836288</v>
      </c>
      <c r="C80" s="18">
        <f t="shared" si="34"/>
        <v>15272.460347653012</v>
      </c>
      <c r="D80" s="18">
        <f t="shared" si="34"/>
        <v>15577.909554606074</v>
      </c>
      <c r="E80" s="18">
        <f t="shared" si="34"/>
        <v>15889.467745698192</v>
      </c>
      <c r="F80" s="18">
        <f t="shared" si="34"/>
        <v>16207.257100612156</v>
      </c>
      <c r="G80" s="18">
        <f t="shared" si="34"/>
        <v>16531.402242624401</v>
      </c>
      <c r="H80" s="18">
        <f t="shared" si="34"/>
        <v>16862.030287476889</v>
      </c>
      <c r="I80" s="18">
        <f t="shared" si="34"/>
        <v>17199.270893226425</v>
      </c>
      <c r="J80" s="18">
        <f t="shared" si="34"/>
        <v>17543.256311090958</v>
      </c>
      <c r="K80" s="19">
        <f t="shared" si="34"/>
        <v>17894.121437312773</v>
      </c>
      <c r="N80" s="3559"/>
      <c r="O80" s="3561"/>
      <c r="Z80" s="1719" t="s">
        <v>6463</v>
      </c>
      <c r="AA80" s="1721">
        <v>80</v>
      </c>
    </row>
    <row r="81" spans="1:27" ht="13.35" customHeight="1">
      <c r="A81" s="17" t="s">
        <v>2216</v>
      </c>
      <c r="B81" s="18">
        <f t="shared" ref="B81:K81" si="35">-(B79+B80)*$B$9</f>
        <v>-53453.611216785546</v>
      </c>
      <c r="C81" s="18">
        <f t="shared" si="35"/>
        <v>-54522.683441121262</v>
      </c>
      <c r="D81" s="18">
        <f t="shared" si="35"/>
        <v>-55613.137109943695</v>
      </c>
      <c r="E81" s="18">
        <f t="shared" si="35"/>
        <v>-56725.399852142553</v>
      </c>
      <c r="F81" s="18">
        <f t="shared" si="35"/>
        <v>-57859.907849185409</v>
      </c>
      <c r="G81" s="18">
        <f t="shared" si="35"/>
        <v>-59017.106006169117</v>
      </c>
      <c r="H81" s="18">
        <f t="shared" si="35"/>
        <v>-60197.448126292496</v>
      </c>
      <c r="I81" s="18">
        <f t="shared" si="35"/>
        <v>-61401.397088818339</v>
      </c>
      <c r="J81" s="18">
        <f t="shared" si="35"/>
        <v>-62629.425030594721</v>
      </c>
      <c r="K81" s="19">
        <f t="shared" si="35"/>
        <v>-63882.013531206612</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710169.40616586513</v>
      </c>
      <c r="C84" s="18">
        <f t="shared" si="36"/>
        <v>724372.79428918241</v>
      </c>
      <c r="D84" s="18">
        <f t="shared" si="36"/>
        <v>738860.25017496618</v>
      </c>
      <c r="E84" s="18">
        <f t="shared" si="36"/>
        <v>753637.45517846523</v>
      </c>
      <c r="F84" s="18">
        <f t="shared" si="36"/>
        <v>768710.20428203465</v>
      </c>
      <c r="G84" s="18">
        <f t="shared" si="36"/>
        <v>784084.40836767538</v>
      </c>
      <c r="H84" s="18">
        <f t="shared" si="36"/>
        <v>799766.09653502889</v>
      </c>
      <c r="I84" s="18">
        <f t="shared" si="36"/>
        <v>815761.41846572922</v>
      </c>
      <c r="J84" s="18">
        <f t="shared" si="36"/>
        <v>832076.64683504414</v>
      </c>
      <c r="K84" s="19">
        <f t="shared" si="36"/>
        <v>848718.17977174488</v>
      </c>
      <c r="N84" s="3559"/>
      <c r="O84" s="3561"/>
      <c r="Z84" s="1719" t="s">
        <v>6463</v>
      </c>
      <c r="AA84" s="1721">
        <v>84</v>
      </c>
    </row>
    <row r="85" spans="1:27" ht="13.35" customHeight="1">
      <c r="A85" s="17" t="s">
        <v>572</v>
      </c>
      <c r="B85" s="18">
        <f t="shared" ref="B85:K85" si="37">$B$21*(1+$B$7)^(B78-1)</f>
        <v>-435052.46198469895</v>
      </c>
      <c r="C85" s="18">
        <f t="shared" si="37"/>
        <v>-448104.03584423981</v>
      </c>
      <c r="D85" s="18">
        <f t="shared" si="37"/>
        <v>-461547.15691956709</v>
      </c>
      <c r="E85" s="18">
        <f t="shared" si="37"/>
        <v>-475393.57162715413</v>
      </c>
      <c r="F85" s="18">
        <f t="shared" si="37"/>
        <v>-489655.37877596868</v>
      </c>
      <c r="G85" s="18">
        <f t="shared" si="37"/>
        <v>-504345.04013924772</v>
      </c>
      <c r="H85" s="18">
        <f t="shared" si="37"/>
        <v>-519475.3913434252</v>
      </c>
      <c r="I85" s="18">
        <f t="shared" si="37"/>
        <v>-535059.65308372793</v>
      </c>
      <c r="J85" s="18">
        <f t="shared" si="37"/>
        <v>-551111.44267623976</v>
      </c>
      <c r="K85" s="19">
        <f t="shared" si="37"/>
        <v>-567644.78595652687</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-48765</v>
      </c>
      <c r="C86" s="18">
        <f>IF(AND('Part VI-Pro Forma'!$G$9="Yes",'Part VI-Pro Forma'!$G$10="Yes"),"Choose One!",IF('Part VI-Pro Forma'!$G$9="Yes",ROUND((-$K$9*(1+'Part VI-Pro Forma'!$B$7)^('Part VI-Pro Forma'!C78-1)),),IF('Part VI-Pro Forma'!$G$10="Yes",ROUND((-(SUM(C79:C82)*'Part VI-Pro Forma'!$K$10)),),"Choose mgt fee")))</f>
        <v>-50228</v>
      </c>
      <c r="D86" s="18">
        <f>IF(AND('Part VI-Pro Forma'!$G$9="Yes",'Part VI-Pro Forma'!$G$10="Yes"),"Choose One!",IF('Part VI-Pro Forma'!$G$9="Yes",ROUND((-$K$9*(1+'Part VI-Pro Forma'!$B$7)^('Part VI-Pro Forma'!D78-1)),),IF('Part VI-Pro Forma'!$G$10="Yes",ROUND((-(SUM(D79:D82)*'Part VI-Pro Forma'!$K$10)),),"Choose mgt fee")))</f>
        <v>-51735</v>
      </c>
      <c r="E86" s="18">
        <f>IF(AND('Part VI-Pro Forma'!$G$9="Yes",'Part VI-Pro Forma'!$G$10="Yes"),"Choose One!",IF('Part VI-Pro Forma'!$G$9="Yes",ROUND((-$K$9*(1+'Part VI-Pro Forma'!$B$7)^('Part VI-Pro Forma'!E78-1)),),IF('Part VI-Pro Forma'!$G$10="Yes",ROUND((-(SUM(E79:E82)*'Part VI-Pro Forma'!$K$10)),),"Choose mgt fee")))</f>
        <v>-53287</v>
      </c>
      <c r="F86" s="18">
        <f>IF(AND('Part VI-Pro Forma'!$G$9="Yes",'Part VI-Pro Forma'!$G$10="Yes"),"Choose One!",IF('Part VI-Pro Forma'!$G$9="Yes",ROUND((-$K$9*(1+'Part VI-Pro Forma'!$B$7)^('Part VI-Pro Forma'!F78-1)),),IF('Part VI-Pro Forma'!$G$10="Yes",ROUND((-(SUM(F79:F82)*'Part VI-Pro Forma'!$K$10)),),"Choose mgt fee")))</f>
        <v>-54885</v>
      </c>
      <c r="G86" s="18">
        <f>IF(AND('Part VI-Pro Forma'!$G$9="Yes",'Part VI-Pro Forma'!$G$10="Yes"),"Choose One!",IF('Part VI-Pro Forma'!$G$9="Yes",ROUND((-$K$9*(1+'Part VI-Pro Forma'!$B$7)^('Part VI-Pro Forma'!G78-1)),),IF('Part VI-Pro Forma'!$G$10="Yes",ROUND((-(SUM(G79:G82)*'Part VI-Pro Forma'!$K$10)),),"Choose mgt fee")))</f>
        <v>-56532</v>
      </c>
      <c r="H86" s="18">
        <f>IF(AND('Part VI-Pro Forma'!$G$9="Yes",'Part VI-Pro Forma'!$G$10="Yes"),"Choose One!",IF('Part VI-Pro Forma'!$G$9="Yes",ROUND((-$K$9*(1+'Part VI-Pro Forma'!$B$7)^('Part VI-Pro Forma'!H78-1)),),IF('Part VI-Pro Forma'!$G$10="Yes",ROUND((-(SUM(H79:H82)*'Part VI-Pro Forma'!$K$10)),),"Choose mgt fee")))</f>
        <v>-58228</v>
      </c>
      <c r="I86" s="18">
        <f>IF(AND('Part VI-Pro Forma'!$G$9="Yes",'Part VI-Pro Forma'!$G$10="Yes"),"Choose One!",IF('Part VI-Pro Forma'!$G$9="Yes",ROUND((-$K$9*(1+'Part VI-Pro Forma'!$B$7)^('Part VI-Pro Forma'!I78-1)),),IF('Part VI-Pro Forma'!$G$10="Yes",ROUND((-(SUM(I79:I82)*'Part VI-Pro Forma'!$K$10)),),"Choose mgt fee")))</f>
        <v>-59975</v>
      </c>
      <c r="J86" s="18">
        <f>IF(AND('Part VI-Pro Forma'!$G$9="Yes",'Part VI-Pro Forma'!$G$10="Yes"),"Choose One!",IF('Part VI-Pro Forma'!$G$9="Yes",ROUND((-$K$9*(1+'Part VI-Pro Forma'!$B$7)^('Part VI-Pro Forma'!J78-1)),),IF('Part VI-Pro Forma'!$G$10="Yes",ROUND((-(SUM(J79:J82)*'Part VI-Pro Forma'!$K$10)),),"Choose mgt fee")))</f>
        <v>-61774</v>
      </c>
      <c r="K86" s="19">
        <f>IF(AND('Part VI-Pro Forma'!$G$9="Yes",'Part VI-Pro Forma'!$G$10="Yes"),"Choose One!",IF('Part VI-Pro Forma'!$G$9="Yes",ROUND((-$K$9*(1+'Part VI-Pro Forma'!$B$7)^('Part VI-Pro Forma'!K78-1)),),IF('Part VI-Pro Forma'!$G$10="Yes",ROUND((-(SUM(K79:K82)*'Part VI-Pro Forma'!$K$10)),),"Choose mgt fee")))</f>
        <v>-63627</v>
      </c>
      <c r="N86" s="3559"/>
      <c r="O86" s="3561"/>
      <c r="Z86" s="1719" t="s">
        <v>6463</v>
      </c>
      <c r="AA86" s="1721">
        <v>86</v>
      </c>
    </row>
    <row r="87" spans="1:27" ht="13.35" customHeight="1">
      <c r="A87" s="17" t="s">
        <v>1128</v>
      </c>
      <c r="B87" s="18">
        <f t="shared" ref="B87:K87" si="38">$B$23*(1+$B$8)^(B78-1)</f>
        <v>-22576.390433367666</v>
      </c>
      <c r="C87" s="18">
        <f t="shared" si="38"/>
        <v>-23253.682146368694</v>
      </c>
      <c r="D87" s="18">
        <f t="shared" si="38"/>
        <v>-23951.292610759756</v>
      </c>
      <c r="E87" s="18">
        <f t="shared" si="38"/>
        <v>-24669.831389082548</v>
      </c>
      <c r="F87" s="18">
        <f t="shared" si="38"/>
        <v>-25409.926330755021</v>
      </c>
      <c r="G87" s="18">
        <f t="shared" si="38"/>
        <v>-26172.224120677674</v>
      </c>
      <c r="H87" s="18">
        <f t="shared" si="38"/>
        <v>-26957.390844298006</v>
      </c>
      <c r="I87" s="18">
        <f t="shared" si="38"/>
        <v>-27766.112569626945</v>
      </c>
      <c r="J87" s="18">
        <f t="shared" si="38"/>
        <v>-28599.095946715752</v>
      </c>
      <c r="K87" s="19">
        <f t="shared" si="38"/>
        <v>-29457.068825117221</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203775.55374779852</v>
      </c>
      <c r="C89" s="18">
        <f t="shared" si="39"/>
        <v>202787.0762985739</v>
      </c>
      <c r="D89" s="18">
        <f t="shared" si="39"/>
        <v>201626.80064463933</v>
      </c>
      <c r="E89" s="18">
        <f t="shared" si="39"/>
        <v>200287.05216222856</v>
      </c>
      <c r="F89" s="18">
        <f t="shared" si="39"/>
        <v>198759.89917531094</v>
      </c>
      <c r="G89" s="18">
        <f t="shared" si="39"/>
        <v>197035.14410774998</v>
      </c>
      <c r="H89" s="18">
        <f t="shared" si="39"/>
        <v>195105.31434730568</v>
      </c>
      <c r="I89" s="18">
        <f t="shared" si="39"/>
        <v>192960.65281237435</v>
      </c>
      <c r="J89" s="18">
        <f t="shared" si="39"/>
        <v>190592.10821208864</v>
      </c>
      <c r="K89" s="1215">
        <f t="shared" si="39"/>
        <v>187989.32499010078</v>
      </c>
      <c r="N89" s="3559"/>
      <c r="O89" s="3561"/>
      <c r="Z89" s="1719" t="s">
        <v>6463</v>
      </c>
      <c r="AA89" s="1721">
        <v>89</v>
      </c>
    </row>
    <row r="90" spans="1:27" ht="13.35" customHeight="1">
      <c r="A90" s="17" t="str">
        <f>$A58</f>
        <v>Mortgage A</v>
      </c>
      <c r="B90" s="342">
        <f>IF('Part II-Sources of Funds'!$P$40="", 0,-'Part II-Sources of Funds'!$P$40)</f>
        <v>-158464.97631648468</v>
      </c>
      <c r="C90" s="342">
        <f>IF('Part II-Sources of Funds'!$P$40="", 0,-'Part II-Sources of Funds'!$P$40)</f>
        <v>-158464.97631648468</v>
      </c>
      <c r="D90" s="342">
        <f>IF('Part II-Sources of Funds'!$P$40="", 0,-'Part II-Sources of Funds'!$P$40)</f>
        <v>-158464.97631648468</v>
      </c>
      <c r="E90" s="342">
        <f>IF('Part II-Sources of Funds'!$P$40="", 0,-'Part II-Sources of Funds'!$P$40)</f>
        <v>-158464.97631648468</v>
      </c>
      <c r="F90" s="342">
        <f>IF('Part II-Sources of Funds'!$P$40="", 0,-'Part II-Sources of Funds'!$P$40)</f>
        <v>-158464.97631648468</v>
      </c>
      <c r="G90" s="342">
        <f>IF('Part II-Sources of Funds'!$P$40="", 0,-'Part II-Sources of Funds'!$P$40)</f>
        <v>-158464.97631648468</v>
      </c>
      <c r="H90" s="342">
        <f>IF('Part II-Sources of Funds'!$P$40="", 0,-'Part II-Sources of Funds'!$P$40)</f>
        <v>-158464.97631648468</v>
      </c>
      <c r="I90" s="342">
        <f>IF('Part II-Sources of Funds'!$P$40="", 0,-'Part II-Sources of Funds'!$P$40)</f>
        <v>-158464.97631648468</v>
      </c>
      <c r="J90" s="342">
        <f>IF('Part II-Sources of Funds'!$P$40="", 0,-'Part II-Sources of Funds'!$P$40)</f>
        <v>-158464.97631648468</v>
      </c>
      <c r="K90" s="342">
        <f>IF('Part II-Sources of Funds'!$P$40="", 0,-'Part II-Sources of Funds'!$P$40)</f>
        <v>-158464.97631648468</v>
      </c>
      <c r="N90" s="3559"/>
      <c r="O90" s="356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9"/>
      <c r="O95" s="3561"/>
      <c r="Z95" s="1719" t="s">
        <v>6463</v>
      </c>
      <c r="AA95" s="1721">
        <v>95</v>
      </c>
    </row>
    <row r="96" spans="1:27" ht="13.35" customHeight="1">
      <c r="A96" s="17" t="s">
        <v>1096</v>
      </c>
      <c r="B96" s="18">
        <f t="shared" ref="B96:K96" si="41">SUM(B89:B95)</f>
        <v>37810.577431313839</v>
      </c>
      <c r="C96" s="18">
        <f t="shared" si="41"/>
        <v>36822.099982089218</v>
      </c>
      <c r="D96" s="18">
        <f t="shared" si="41"/>
        <v>35661.824328154646</v>
      </c>
      <c r="E96" s="18">
        <f t="shared" si="41"/>
        <v>34322.075845743879</v>
      </c>
      <c r="F96" s="18">
        <f t="shared" si="41"/>
        <v>32794.922858826263</v>
      </c>
      <c r="G96" s="18">
        <f t="shared" si="41"/>
        <v>31070.167791265296</v>
      </c>
      <c r="H96" s="18">
        <f t="shared" si="41"/>
        <v>29140.338030821003</v>
      </c>
      <c r="I96" s="18">
        <f t="shared" si="41"/>
        <v>26995.676495889667</v>
      </c>
      <c r="J96" s="18">
        <f t="shared" si="41"/>
        <v>24627.131895603961</v>
      </c>
      <c r="K96" s="19">
        <f t="shared" si="41"/>
        <v>22024.348673616099</v>
      </c>
      <c r="N96" s="3559"/>
      <c r="O96" s="3561"/>
      <c r="Z96" s="1719" t="s">
        <v>6463</v>
      </c>
      <c r="AA96" s="1721">
        <v>96</v>
      </c>
    </row>
    <row r="97" spans="1:27" ht="13.35" customHeight="1">
      <c r="A97" s="17" t="str">
        <f>$A66</f>
        <v>DCR Mortgage A</v>
      </c>
      <c r="B97" s="20">
        <f t="shared" ref="B97:K97" si="42">IF(B90=0,"",-B89/B90)</f>
        <v>1.2859343337850251</v>
      </c>
      <c r="C97" s="20">
        <f t="shared" si="42"/>
        <v>1.279696504630585</v>
      </c>
      <c r="D97" s="20">
        <f t="shared" si="42"/>
        <v>1.272374535568997</v>
      </c>
      <c r="E97" s="20">
        <f t="shared" si="42"/>
        <v>1.2639199955592537</v>
      </c>
      <c r="F97" s="20">
        <f t="shared" si="42"/>
        <v>1.2542828314210557</v>
      </c>
      <c r="G97" s="20">
        <f t="shared" si="42"/>
        <v>1.2433986909147252</v>
      </c>
      <c r="H97" s="20">
        <f t="shared" si="42"/>
        <v>1.2312204178016175</v>
      </c>
      <c r="I97" s="20">
        <f t="shared" si="42"/>
        <v>1.2176864396016143</v>
      </c>
      <c r="J97" s="20">
        <f t="shared" si="42"/>
        <v>1.2027396377571784</v>
      </c>
      <c r="K97" s="21">
        <f t="shared" si="42"/>
        <v>1.1863146630877623</v>
      </c>
      <c r="N97" s="3559"/>
      <c r="O97" s="356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f t="shared" ref="B101:K101" si="46">IF(AND(B90=0,B91=0,B92=0,B93=0),"",-B89/(B90+B91+B92+B93))</f>
        <v>1.2859343337850251</v>
      </c>
      <c r="C101" s="20">
        <f t="shared" si="46"/>
        <v>1.279696504630585</v>
      </c>
      <c r="D101" s="20">
        <f t="shared" si="46"/>
        <v>1.272374535568997</v>
      </c>
      <c r="E101" s="20">
        <f t="shared" si="46"/>
        <v>1.2639199955592537</v>
      </c>
      <c r="F101" s="20">
        <f t="shared" si="46"/>
        <v>1.2542828314210557</v>
      </c>
      <c r="G101" s="20">
        <f t="shared" si="46"/>
        <v>1.2433986909147252</v>
      </c>
      <c r="H101" s="20">
        <f t="shared" si="46"/>
        <v>1.2312204178016175</v>
      </c>
      <c r="I101" s="20">
        <f t="shared" si="46"/>
        <v>1.2176864396016143</v>
      </c>
      <c r="J101" s="20">
        <f t="shared" si="46"/>
        <v>1.2027396377571784</v>
      </c>
      <c r="K101" s="21">
        <f t="shared" si="46"/>
        <v>1.1863146630877623</v>
      </c>
      <c r="N101" s="3559"/>
      <c r="O101" s="3561"/>
      <c r="Z101" s="1719" t="s">
        <v>6463</v>
      </c>
      <c r="AA101" s="1721">
        <v>101</v>
      </c>
    </row>
    <row r="102" spans="1:27" ht="13.35" customHeight="1">
      <c r="A102" s="17" t="s">
        <v>718</v>
      </c>
      <c r="B102" s="220">
        <f>IF(OR(B86="Choose mgt fee",B86="Choose One!"),"",(B79+B80+B81+B82+B83) / -(B85+B86+B87))</f>
        <v>1.4024052677076464</v>
      </c>
      <c r="C102" s="220">
        <f t="shared" ref="C102:K102" si="47">IF(OR(C86="Choose mgt fee",C86="Choose One!"),"",(C79+C80+C81+C82+C83) / -(C85+C86+C87))</f>
        <v>1.3887895494527809</v>
      </c>
      <c r="D102" s="220">
        <f t="shared" si="47"/>
        <v>1.3753057461721907</v>
      </c>
      <c r="E102" s="220">
        <f t="shared" si="47"/>
        <v>1.3619533862639142</v>
      </c>
      <c r="F102" s="220">
        <f t="shared" si="47"/>
        <v>1.3487319813577308</v>
      </c>
      <c r="G102" s="220">
        <f t="shared" si="47"/>
        <v>1.3356364722748544</v>
      </c>
      <c r="H102" s="220">
        <f t="shared" si="47"/>
        <v>1.3226690403855779</v>
      </c>
      <c r="I102" s="220">
        <f t="shared" si="47"/>
        <v>1.3098272568916116</v>
      </c>
      <c r="J102" s="220">
        <f t="shared" si="47"/>
        <v>1.2971109929184321</v>
      </c>
      <c r="K102" s="221">
        <f t="shared" si="47"/>
        <v>1.284518110007814</v>
      </c>
      <c r="N102" s="3559"/>
      <c r="O102" s="3561"/>
      <c r="Z102" s="1719" t="s">
        <v>6463</v>
      </c>
      <c r="AA102" s="1721">
        <v>102</v>
      </c>
    </row>
    <row r="103" spans="1:27" ht="13.35" customHeight="1">
      <c r="A103" s="341" t="s">
        <v>2405</v>
      </c>
      <c r="B103" s="177">
        <f>IF('Part II-Sources of Funds'!$I$40="","",-FV('Part II-Sources of Funds'!$K$40/12,12,B90/12,K72))</f>
        <v>1662747.6028761095</v>
      </c>
      <c r="C103" s="177">
        <f>IF('Part II-Sources of Funds'!$I$40="","",-FV('Part II-Sources of Funds'!$K$40/12,12,C90/12,B103))</f>
        <v>1619298.533662962</v>
      </c>
      <c r="D103" s="177">
        <f>IF('Part II-Sources of Funds'!$I$40="","",-FV('Part II-Sources of Funds'!$K$40/12,12,D90/12,C103))</f>
        <v>1572708.5277232679</v>
      </c>
      <c r="E103" s="177">
        <f>IF('Part II-Sources of Funds'!$I$40="","",-FV('Part II-Sources of Funds'!$K$40/12,12,E90/12,D103))</f>
        <v>1522750.5264871006</v>
      </c>
      <c r="F103" s="177">
        <f>IF('Part II-Sources of Funds'!$I$40="","",-FV('Part II-Sources of Funds'!$K$40/12,12,F90/12,E103))</f>
        <v>1469181.0573021548</v>
      </c>
      <c r="G103" s="177">
        <f>IF('Part II-Sources of Funds'!$I$40="","",-FV('Part II-Sources of Funds'!$K$40/12,12,G90/12,F103))</f>
        <v>1411739.0468584038</v>
      </c>
      <c r="H103" s="177">
        <f>IF('Part II-Sources of Funds'!$I$40="","",-FV('Part II-Sources of Funds'!$K$40/12,12,H90/12,G103))</f>
        <v>1350144.5488351292</v>
      </c>
      <c r="I103" s="177">
        <f>IF('Part II-Sources of Funds'!$I$40="","",-FV('Part II-Sources of Funds'!$K$40/12,12,I90/12,H103))</f>
        <v>1284097.379569453</v>
      </c>
      <c r="J103" s="177">
        <f>IF('Part II-Sources of Funds'!$I$40="","",-FV('Part II-Sources of Funds'!$K$40/12,12,J90/12,I103))</f>
        <v>1213275.6550972355</v>
      </c>
      <c r="K103" s="177">
        <f>IF('Part II-Sources of Funds'!$I$40="","",-FV('Part II-Sources of Funds'!$K$40/12,12,K90/12,J103))</f>
        <v>1137334.2224365433</v>
      </c>
      <c r="N103" s="3559"/>
      <c r="O103" s="356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912600.19330295152</v>
      </c>
      <c r="C109" s="15">
        <f>$B$15*(1+$B$6)^(C108-1)</f>
        <v>930852.19716901041</v>
      </c>
      <c r="D109" s="15">
        <f>$B$15*(1+$B$6)^(D108-1)</f>
        <v>949469.24111239077</v>
      </c>
      <c r="E109" s="15">
        <f>$B$15*(1+$B$6)^(E108-1)</f>
        <v>968458.62593463867</v>
      </c>
      <c r="F109" s="497">
        <f>$B$15*(1+$B$6)^(F108-1)</f>
        <v>987827.79845333134</v>
      </c>
      <c r="G109" s="13"/>
      <c r="H109" s="13"/>
      <c r="I109" s="13"/>
      <c r="J109" s="13"/>
      <c r="K109" s="13"/>
      <c r="N109" s="3581"/>
      <c r="O109" s="3583"/>
      <c r="Z109" s="1719" t="s">
        <v>6464</v>
      </c>
      <c r="AA109" s="1721">
        <v>109</v>
      </c>
    </row>
    <row r="110" spans="1:27" ht="13.35" customHeight="1">
      <c r="A110" s="17" t="s">
        <v>952</v>
      </c>
      <c r="B110" s="18">
        <f>$B$16*(1+$B$6)^(B108-1)</f>
        <v>18252.003866059029</v>
      </c>
      <c r="C110" s="18">
        <f>$B$16*(1+$B$6)^(C108-1)</f>
        <v>18617.043943380206</v>
      </c>
      <c r="D110" s="18">
        <f>$B$16*(1+$B$6)^(D108-1)</f>
        <v>18989.384822247815</v>
      </c>
      <c r="E110" s="18">
        <f>$B$16*(1+$B$6)^(E108-1)</f>
        <v>19369.172518692772</v>
      </c>
      <c r="F110" s="19">
        <f>$B$16*(1+$B$6)^(F108-1)</f>
        <v>19756.555969066627</v>
      </c>
      <c r="G110" s="13"/>
      <c r="H110" s="13"/>
      <c r="I110" s="13"/>
      <c r="J110" s="13"/>
      <c r="K110" s="13"/>
      <c r="N110" s="3559"/>
      <c r="O110" s="3561"/>
      <c r="Z110" s="1719" t="s">
        <v>6464</v>
      </c>
      <c r="AA110" s="1721">
        <v>110</v>
      </c>
    </row>
    <row r="111" spans="1:27" ht="13.35" customHeight="1">
      <c r="A111" s="17" t="s">
        <v>2216</v>
      </c>
      <c r="B111" s="18">
        <f>-(B109+B110)*$B$9</f>
        <v>-65159.65380183074</v>
      </c>
      <c r="C111" s="18">
        <f>-(C109+C110)*$B$9</f>
        <v>-66462.846877867356</v>
      </c>
      <c r="D111" s="18">
        <f>-(D109+D110)*$B$9</f>
        <v>-67792.103815424707</v>
      </c>
      <c r="E111" s="18">
        <f>-(E109+E110)*$B$9</f>
        <v>-69147.945891733209</v>
      </c>
      <c r="F111" s="19">
        <f>-(F109+F110)*$B$9</f>
        <v>-70530.904809567859</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865692.54336717981</v>
      </c>
      <c r="C114" s="18">
        <f>SUM(C109:C113)</f>
        <v>883006.39423452329</v>
      </c>
      <c r="D114" s="18">
        <f>SUM(D109:D113)</f>
        <v>900666.52211921383</v>
      </c>
      <c r="E114" s="18">
        <f>SUM(E109:E113)</f>
        <v>918679.85256159829</v>
      </c>
      <c r="F114" s="19">
        <f>SUM(F109:F113)</f>
        <v>937053.44961283007</v>
      </c>
      <c r="G114" s="13"/>
      <c r="H114" s="13"/>
      <c r="I114" s="13"/>
      <c r="J114" s="13"/>
      <c r="K114" s="13"/>
      <c r="N114" s="3559"/>
      <c r="O114" s="3561"/>
      <c r="Z114" s="1719" t="s">
        <v>6464</v>
      </c>
      <c r="AA114" s="1721">
        <v>114</v>
      </c>
    </row>
    <row r="115" spans="1:27" ht="13.35" customHeight="1">
      <c r="A115" s="17" t="s">
        <v>572</v>
      </c>
      <c r="B115" s="18">
        <f>$B$21*(1+$B$7)^(B108-1)</f>
        <v>-584674.12953522266</v>
      </c>
      <c r="C115" s="18">
        <f>$B$21*(1+$B$7)^(C108-1)</f>
        <v>-602214.35342127946</v>
      </c>
      <c r="D115" s="18">
        <f>$B$21*(1+$B$7)^(D108-1)</f>
        <v>-620280.78402391775</v>
      </c>
      <c r="E115" s="18">
        <f>$B$21*(1+$B$7)^(E108-1)</f>
        <v>-638889.20754463528</v>
      </c>
      <c r="F115" s="19">
        <f>$B$21*(1+$B$7)^(F108-1)</f>
        <v>-658055.88377097424</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-65536</v>
      </c>
      <c r="C116" s="18">
        <f>IF(AND('Part VI-Pro Forma'!$G$9="Yes",'Part VI-Pro Forma'!$G$10="Yes"),"Choose One!",IF('Part VI-Pro Forma'!$G$9="Yes",ROUND((-$K$9*(1+'Part VI-Pro Forma'!$B$7)^('Part VI-Pro Forma'!C108-1)),),IF('Part VI-Pro Forma'!$G$10="Yes",ROUND((-(SUM(C109:C112)*'Part VI-Pro Forma'!$K$10)),),"Choose mgt fee")))</f>
        <v>-67502</v>
      </c>
      <c r="D116" s="18">
        <f>IF(AND('Part VI-Pro Forma'!$G$9="Yes",'Part VI-Pro Forma'!$G$10="Yes"),"Choose One!",IF('Part VI-Pro Forma'!$G$9="Yes",ROUND((-$K$9*(1+'Part VI-Pro Forma'!$B$7)^('Part VI-Pro Forma'!D108-1)),),IF('Part VI-Pro Forma'!$G$10="Yes",ROUND((-(SUM(D109:D112)*'Part VI-Pro Forma'!$K$10)),),"Choose mgt fee")))</f>
        <v>-69527</v>
      </c>
      <c r="E116" s="18">
        <f>IF(AND('Part VI-Pro Forma'!$G$9="Yes",'Part VI-Pro Forma'!$G$10="Yes"),"Choose One!",IF('Part VI-Pro Forma'!$G$9="Yes",ROUND((-$K$9*(1+'Part VI-Pro Forma'!$B$7)^('Part VI-Pro Forma'!E108-1)),),IF('Part VI-Pro Forma'!$G$10="Yes",ROUND((-(SUM(E109:E112)*'Part VI-Pro Forma'!$K$10)),),"Choose mgt fee")))</f>
        <v>-71613</v>
      </c>
      <c r="F116" s="19">
        <f>IF(AND('Part VI-Pro Forma'!$G$9="Yes",'Part VI-Pro Forma'!$G$10="Yes"),"Choose One!",IF('Part VI-Pro Forma'!$G$9="Yes",ROUND((-$K$9*(1+'Part VI-Pro Forma'!$B$7)^('Part VI-Pro Forma'!F108-1)),),IF('Part VI-Pro Forma'!$G$10="Yes",ROUND((-(SUM(F109:F112)*'Part VI-Pro Forma'!$K$10)),),"Choose mgt fee")))</f>
        <v>-73761</v>
      </c>
      <c r="G116" s="13"/>
      <c r="H116" s="13"/>
      <c r="I116" s="13"/>
      <c r="J116" s="13"/>
      <c r="K116" s="13"/>
      <c r="N116" s="3559"/>
      <c r="O116" s="3561"/>
      <c r="Z116" s="1719" t="s">
        <v>6464</v>
      </c>
      <c r="AA116" s="1721">
        <v>116</v>
      </c>
    </row>
    <row r="117" spans="1:27" ht="13.35" customHeight="1">
      <c r="A117" s="17" t="s">
        <v>1128</v>
      </c>
      <c r="B117" s="18">
        <f>$B$23*(1+$B$8)^(B108-1)</f>
        <v>-30340.780889870737</v>
      </c>
      <c r="C117" s="18">
        <f>$B$23*(1+$B$8)^(C108-1)</f>
        <v>-31251.004316566865</v>
      </c>
      <c r="D117" s="18">
        <f>$B$23*(1+$B$8)^(D108-1)</f>
        <v>-32188.534446063866</v>
      </c>
      <c r="E117" s="18">
        <f>$B$23*(1+$B$8)^(E108-1)</f>
        <v>-33154.190479445781</v>
      </c>
      <c r="F117" s="19">
        <f>$B$23*(1+$B$8)^(F108-1)</f>
        <v>-34148.816193829152</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185141.63294208641</v>
      </c>
      <c r="C119" s="18">
        <f>SUM(C114:C118)</f>
        <v>182039.03649667697</v>
      </c>
      <c r="D119" s="18">
        <f>SUM(D114:D118)</f>
        <v>178670.20364923222</v>
      </c>
      <c r="E119" s="18">
        <f>SUM(E114:E118)</f>
        <v>175023.45453751722</v>
      </c>
      <c r="F119" s="1215">
        <f>SUM(F114:F118)</f>
        <v>171087.74964802669</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-158464.97631648468</v>
      </c>
      <c r="C120" s="342">
        <f>IF('Part II-Sources of Funds'!$P$40="", 0,-'Part II-Sources of Funds'!$P$40)</f>
        <v>-158464.97631648468</v>
      </c>
      <c r="D120" s="342">
        <f>IF('Part II-Sources of Funds'!$P$40="", 0,-'Part II-Sources of Funds'!$P$40)</f>
        <v>-158464.97631648468</v>
      </c>
      <c r="E120" s="342">
        <f>IF('Part II-Sources of Funds'!$P$40="", 0,-'Part II-Sources of Funds'!$P$40)</f>
        <v>-158464.97631648468</v>
      </c>
      <c r="F120" s="342">
        <f>IF('Part II-Sources of Funds'!$P$40="", 0,-'Part II-Sources of Funds'!$P$40)</f>
        <v>-158464.97631648468</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9"/>
      <c r="O125" s="3561"/>
      <c r="Z125" s="1719" t="s">
        <v>6464</v>
      </c>
      <c r="AA125" s="1721">
        <v>125</v>
      </c>
    </row>
    <row r="126" spans="1:27" ht="13.35" customHeight="1">
      <c r="A126" s="17" t="s">
        <v>1096</v>
      </c>
      <c r="B126" s="18">
        <f>SUM(B119:B125)</f>
        <v>19176.656625601725</v>
      </c>
      <c r="C126" s="18">
        <f>SUM(C119:C125)</f>
        <v>16074.060180192289</v>
      </c>
      <c r="D126" s="18">
        <f>SUM(D119:D125)</f>
        <v>12705.227332747541</v>
      </c>
      <c r="E126" s="18">
        <f>SUM(E119:E125)</f>
        <v>9058.4782210325357</v>
      </c>
      <c r="F126" s="19">
        <f>SUM(F119:F125)</f>
        <v>5122.7733315420046</v>
      </c>
      <c r="G126" s="13"/>
      <c r="H126" s="13"/>
      <c r="I126" s="13"/>
      <c r="J126" s="13"/>
      <c r="K126" s="13"/>
      <c r="N126" s="3559"/>
      <c r="O126" s="3561"/>
      <c r="Z126" s="1719" t="s">
        <v>6464</v>
      </c>
      <c r="AA126" s="1721">
        <v>126</v>
      </c>
    </row>
    <row r="127" spans="1:27" ht="13.35" customHeight="1">
      <c r="A127" s="17" t="str">
        <f>$A97</f>
        <v>DCR Mortgage A</v>
      </c>
      <c r="B127" s="20">
        <f>IF(B120=0,"",-B119/B120)</f>
        <v>1.1683441808133261</v>
      </c>
      <c r="C127" s="20">
        <f>IF(C120=0,"",-C119/C120)</f>
        <v>1.1487651134539054</v>
      </c>
      <c r="D127" s="20">
        <f>IF(D120=0,"",-D119/D120)</f>
        <v>1.1275059499103062</v>
      </c>
      <c r="E127" s="20">
        <f>IF(E120=0,"",-E119/E120)</f>
        <v>1.1044929839131272</v>
      </c>
      <c r="F127" s="21">
        <f>IF(F120=0,"",-F119/F120)</f>
        <v>1.0796565501409721</v>
      </c>
      <c r="G127" s="13"/>
      <c r="H127" s="13"/>
      <c r="I127" s="13"/>
      <c r="J127" s="13"/>
      <c r="K127" s="13"/>
      <c r="N127" s="3559"/>
      <c r="O127" s="356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f>IF(AND(B120=0,B121=0,B122=0,B123=0),"",-B119/(B120+B121+B122+B123))</f>
        <v>1.1683441808133261</v>
      </c>
      <c r="C131" s="20">
        <f>IF(AND(C120=0,C121=0,C122=0,C123=0),"",-C119/(C120+C121+C122+C123))</f>
        <v>1.1487651134539054</v>
      </c>
      <c r="D131" s="20">
        <f>IF(AND(D120=0,D121=0,D122=0,D123=0),"",-D119/(D120+D121+D122+D123))</f>
        <v>1.1275059499103062</v>
      </c>
      <c r="E131" s="20">
        <f>IF(AND(E120=0,E121=0,E122=0,E123=0),"",-E119/(E120+E121+E122+E123))</f>
        <v>1.1044929839131272</v>
      </c>
      <c r="F131" s="21">
        <f>IF(AND(F120=0,F121=0,F122=0,F123=0),"",-F119/(F120+F121+F122+F123))</f>
        <v>1.0796565501409721</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1.2720467052588926</v>
      </c>
      <c r="C132" s="220">
        <f>IF(OR(C116="Choose mgt fee",C116="Choose One!"),"",(C109+C110+C111+C112+C113) / -(C115+C116+C117))</f>
        <v>1.2596968810133344</v>
      </c>
      <c r="D132" s="220">
        <f>IF(OR(D116="Choose mgt fee",D116="Choose One!"),"",(D109+D110+D111+D112+D113) / -(D115+D116+D117))</f>
        <v>1.2474669178755109</v>
      </c>
      <c r="E132" s="220">
        <f>IF(OR(E116="Choose mgt fee",E116="Choose One!"),"",(E109+E110+E111+E112+E113) / -(E115+E116+E117))</f>
        <v>1.2353552729493893</v>
      </c>
      <c r="F132" s="498">
        <f>IF(OR(F116="Choose mgt fee",F116="Choose One!"),"",(F109+F110+F111+F112+F113) / -(F115+F116+F117))</f>
        <v>1.2233621553235194</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1055902.9774684713</v>
      </c>
      <c r="C133" s="177">
        <f>IF('Part II-Sources of Funds'!$I$40="","",-FV('Part II-Sources of Funds'!$K$40/12,12,C120/12,B133))</f>
        <v>968585.06121743331</v>
      </c>
      <c r="D133" s="177">
        <f>IF('Part II-Sources of Funds'!$I$40="","",-FV('Part II-Sources of Funds'!$K$40/12,12,D120/12,C133))</f>
        <v>874954.92574040964</v>
      </c>
      <c r="E133" s="177">
        <f>IF('Part II-Sources of Funds'!$I$40="","",-FV('Part II-Sources of Funds'!$K$40/12,12,E120/12,D133))</f>
        <v>774556.26019917172</v>
      </c>
      <c r="F133" s="177">
        <f>IF('Part II-Sources of Funds'!$I$40="","",-FV('Part II-Sources of Funds'!$K$40/12,12,F120/12,E133))</f>
        <v>666899.76700809947</v>
      </c>
      <c r="G133" s="13"/>
      <c r="H133" s="13"/>
      <c r="I133" s="13"/>
      <c r="J133" s="13"/>
      <c r="K133" s="13"/>
      <c r="N133" s="3559"/>
      <c r="O133" s="356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537"/>
  <sheetViews>
    <sheetView showGridLines="0" topLeftCell="A278" zoomScale="70" zoomScaleNormal="70" workbookViewId="0">
      <selection activeCell="V282" sqref="V282"/>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7" t="str">
        <f>CONCATENATE("PART SEVEN - THRESHOLD CRITERIA","  -  ",'Part I-Project Identification'!$O$7," ",'Part I-Project Identification'!$F$25,", ",'Part I-Project Identification'!F26,", ",'Part I-Project Identification'!J26," County")</f>
        <v>PART SEVEN - THRESHOLD CRITERIA  -  2023-0 Westchester Village, Jonesboro, Clayton County</v>
      </c>
      <c r="B1" s="3837"/>
      <c r="C1" s="3837"/>
      <c r="D1" s="3837"/>
      <c r="E1" s="3837"/>
      <c r="F1" s="3837"/>
      <c r="G1" s="3837"/>
      <c r="H1" s="3837"/>
      <c r="I1" s="3837"/>
      <c r="J1" s="3837"/>
      <c r="K1" s="3837"/>
      <c r="L1" s="3837"/>
      <c r="M1" s="3837"/>
      <c r="N1" s="3837"/>
      <c r="O1" s="3837"/>
      <c r="P1" s="3837"/>
      <c r="Q1" s="3837"/>
    </row>
    <row r="2" spans="1:17" s="2011" customFormat="1" ht="13.2"/>
    <row r="3" spans="1:17" s="2011" customFormat="1" ht="13.2">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6770</v>
      </c>
      <c r="Q3" s="3841" t="s">
        <v>6531</v>
      </c>
    </row>
    <row r="4" spans="1:17" s="2011" customFormat="1" ht="13.2">
      <c r="A4" s="2013"/>
      <c r="B4" s="3843"/>
      <c r="C4" s="3843"/>
      <c r="D4" s="3843"/>
      <c r="E4" s="2013"/>
      <c r="F4" s="2013"/>
      <c r="G4" s="2013"/>
      <c r="H4" s="2013"/>
      <c r="I4" s="2012"/>
      <c r="J4" s="2014"/>
      <c r="K4" s="2013"/>
      <c r="L4" s="2013"/>
      <c r="M4" s="2013"/>
      <c r="N4" s="2013"/>
      <c r="O4" s="2012"/>
      <c r="P4" s="3839"/>
      <c r="Q4" s="3841"/>
    </row>
    <row r="5" spans="1:17" s="2011" customFormat="1" ht="13.2">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6771</v>
      </c>
      <c r="B7" s="3831"/>
      <c r="C7" s="3831"/>
      <c r="D7" s="3831"/>
      <c r="E7" s="3831"/>
      <c r="F7" s="3831"/>
      <c r="G7" s="3831"/>
      <c r="H7" s="3831"/>
      <c r="I7" s="3831"/>
      <c r="J7" s="3831"/>
      <c r="K7" s="3831"/>
      <c r="L7" s="3831"/>
      <c r="M7" s="3831"/>
      <c r="N7" s="3831"/>
      <c r="O7" s="3831"/>
      <c r="P7" s="3831"/>
      <c r="Q7" s="3831"/>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2"/>
      <c r="Q9" s="3833"/>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834" t="s">
        <v>1329</v>
      </c>
      <c r="B11" s="3835"/>
      <c r="C11" s="3835"/>
      <c r="D11" s="3835"/>
      <c r="E11" s="3835"/>
      <c r="F11" s="3835"/>
      <c r="G11" s="3835"/>
      <c r="H11" s="3835"/>
      <c r="I11" s="3835"/>
      <c r="J11" s="3835"/>
      <c r="K11" s="3835"/>
      <c r="L11" s="3835"/>
      <c r="M11" s="3835"/>
      <c r="N11" s="3835"/>
      <c r="O11" s="3835"/>
      <c r="P11" s="3835"/>
      <c r="Q11" s="3836"/>
    </row>
    <row r="12" spans="1:17" s="2022" customFormat="1" ht="13.8">
      <c r="A12" s="3823" t="s">
        <v>218</v>
      </c>
      <c r="B12" s="3824"/>
      <c r="C12" s="3824"/>
      <c r="D12" s="3824"/>
      <c r="E12" s="3824"/>
      <c r="F12" s="3824"/>
      <c r="G12" s="3824"/>
      <c r="H12" s="3824"/>
      <c r="I12" s="3824"/>
      <c r="J12" s="3824"/>
      <c r="K12" s="3824"/>
      <c r="L12" s="3824"/>
      <c r="M12" s="3824"/>
      <c r="N12" s="3824"/>
      <c r="O12" s="3824"/>
      <c r="P12" s="3824"/>
      <c r="Q12" s="3825"/>
    </row>
    <row r="13" spans="1:17" s="2022" customFormat="1" ht="13.8">
      <c r="A13" s="3823" t="s">
        <v>1325</v>
      </c>
      <c r="B13" s="3824"/>
      <c r="C13" s="3824"/>
      <c r="D13" s="3824"/>
      <c r="E13" s="3824"/>
      <c r="F13" s="3824"/>
      <c r="G13" s="3824"/>
      <c r="H13" s="3824"/>
      <c r="I13" s="3824"/>
      <c r="J13" s="3824"/>
      <c r="K13" s="3824"/>
      <c r="L13" s="3824"/>
      <c r="M13" s="3824"/>
      <c r="N13" s="3824"/>
      <c r="O13" s="3824"/>
      <c r="P13" s="3824"/>
      <c r="Q13" s="3825"/>
    </row>
    <row r="14" spans="1:17" s="2022" customFormat="1" ht="13.8">
      <c r="A14" s="3823" t="s">
        <v>1326</v>
      </c>
      <c r="B14" s="3824"/>
      <c r="C14" s="3824"/>
      <c r="D14" s="3824"/>
      <c r="E14" s="3824"/>
      <c r="F14" s="3824"/>
      <c r="G14" s="3824"/>
      <c r="H14" s="3824"/>
      <c r="I14" s="3824"/>
      <c r="J14" s="3824"/>
      <c r="K14" s="3824"/>
      <c r="L14" s="3824"/>
      <c r="M14" s="3824"/>
      <c r="N14" s="3824"/>
      <c r="O14" s="3824"/>
      <c r="P14" s="3824"/>
      <c r="Q14" s="3825"/>
    </row>
    <row r="15" spans="1:17" s="2022" customFormat="1" ht="13.8">
      <c r="A15" s="3823" t="s">
        <v>1327</v>
      </c>
      <c r="B15" s="3824"/>
      <c r="C15" s="3824"/>
      <c r="D15" s="3824"/>
      <c r="E15" s="3824"/>
      <c r="F15" s="3824"/>
      <c r="G15" s="3824"/>
      <c r="H15" s="3824"/>
      <c r="I15" s="3824"/>
      <c r="J15" s="3824"/>
      <c r="K15" s="3824"/>
      <c r="L15" s="3824"/>
      <c r="M15" s="3824"/>
      <c r="N15" s="3824"/>
      <c r="O15" s="3824"/>
      <c r="P15" s="3824"/>
      <c r="Q15" s="3825"/>
    </row>
    <row r="16" spans="1:17" s="2022" customFormat="1" ht="13.8">
      <c r="A16" s="3823" t="s">
        <v>1328</v>
      </c>
      <c r="B16" s="3824"/>
      <c r="C16" s="3824"/>
      <c r="D16" s="3824"/>
      <c r="E16" s="3824"/>
      <c r="F16" s="3824"/>
      <c r="G16" s="3824"/>
      <c r="H16" s="3824"/>
      <c r="I16" s="3824"/>
      <c r="J16" s="3824"/>
      <c r="K16" s="3824"/>
      <c r="L16" s="3824"/>
      <c r="M16" s="3824"/>
      <c r="N16" s="3824"/>
      <c r="O16" s="3824"/>
      <c r="P16" s="3824"/>
      <c r="Q16" s="3825"/>
    </row>
    <row r="17" spans="1:17" s="2022" customFormat="1" ht="13.8">
      <c r="A17" s="3823" t="s">
        <v>1330</v>
      </c>
      <c r="B17" s="3824"/>
      <c r="C17" s="3824"/>
      <c r="D17" s="3824"/>
      <c r="E17" s="3824"/>
      <c r="F17" s="3824"/>
      <c r="G17" s="3824"/>
      <c r="H17" s="3824"/>
      <c r="I17" s="3824"/>
      <c r="J17" s="3824"/>
      <c r="K17" s="3824"/>
      <c r="L17" s="3824"/>
      <c r="M17" s="3824"/>
      <c r="N17" s="3824"/>
      <c r="O17" s="3824"/>
      <c r="P17" s="3824"/>
      <c r="Q17" s="3825"/>
    </row>
    <row r="18" spans="1:17" s="2022" customFormat="1" ht="13.8">
      <c r="A18" s="3823" t="s">
        <v>1872</v>
      </c>
      <c r="B18" s="3824"/>
      <c r="C18" s="3824"/>
      <c r="D18" s="3824"/>
      <c r="E18" s="3824"/>
      <c r="F18" s="3824"/>
      <c r="G18" s="3824"/>
      <c r="H18" s="3824"/>
      <c r="I18" s="3824"/>
      <c r="J18" s="3824"/>
      <c r="K18" s="3824"/>
      <c r="L18" s="3824"/>
      <c r="M18" s="3824"/>
      <c r="N18" s="3824"/>
      <c r="O18" s="3824"/>
      <c r="P18" s="3824"/>
      <c r="Q18" s="3825"/>
    </row>
    <row r="19" spans="1:17" s="2022" customFormat="1" ht="13.8">
      <c r="A19" s="3823" t="s">
        <v>1873</v>
      </c>
      <c r="B19" s="3824"/>
      <c r="C19" s="3824"/>
      <c r="D19" s="3824"/>
      <c r="E19" s="3824"/>
      <c r="F19" s="3824"/>
      <c r="G19" s="3824"/>
      <c r="H19" s="3824"/>
      <c r="I19" s="3824"/>
      <c r="J19" s="3824"/>
      <c r="K19" s="3824"/>
      <c r="L19" s="3824"/>
      <c r="M19" s="3824"/>
      <c r="N19" s="3824"/>
      <c r="O19" s="3824"/>
      <c r="P19" s="3824"/>
      <c r="Q19" s="3825"/>
    </row>
    <row r="20" spans="1:17" s="2022" customFormat="1" ht="13.8">
      <c r="A20" s="3823" t="s">
        <v>1874</v>
      </c>
      <c r="B20" s="3824"/>
      <c r="C20" s="3824"/>
      <c r="D20" s="3824"/>
      <c r="E20" s="3824"/>
      <c r="F20" s="3824"/>
      <c r="G20" s="3824"/>
      <c r="H20" s="3824"/>
      <c r="I20" s="3824"/>
      <c r="J20" s="3824"/>
      <c r="K20" s="3824"/>
      <c r="L20" s="3824"/>
      <c r="M20" s="3824"/>
      <c r="N20" s="3824"/>
      <c r="O20" s="3824"/>
      <c r="P20" s="3824"/>
      <c r="Q20" s="3825"/>
    </row>
    <row r="21" spans="1:17" s="2022" customFormat="1" ht="13.8">
      <c r="A21" s="3823" t="s">
        <v>1875</v>
      </c>
      <c r="B21" s="3824"/>
      <c r="C21" s="3824"/>
      <c r="D21" s="3824"/>
      <c r="E21" s="3824"/>
      <c r="F21" s="3824"/>
      <c r="G21" s="3824"/>
      <c r="H21" s="3824"/>
      <c r="I21" s="3824"/>
      <c r="J21" s="3824"/>
      <c r="K21" s="3824"/>
      <c r="L21" s="3824"/>
      <c r="M21" s="3824"/>
      <c r="N21" s="3824"/>
      <c r="O21" s="3824"/>
      <c r="P21" s="3824"/>
      <c r="Q21" s="3825"/>
    </row>
    <row r="22" spans="1:17" s="2022" customFormat="1" ht="13.8">
      <c r="A22" s="3823" t="s">
        <v>1876</v>
      </c>
      <c r="B22" s="3824"/>
      <c r="C22" s="3824"/>
      <c r="D22" s="3824"/>
      <c r="E22" s="3824"/>
      <c r="F22" s="3824"/>
      <c r="G22" s="3824"/>
      <c r="H22" s="3824"/>
      <c r="I22" s="3824"/>
      <c r="J22" s="3824"/>
      <c r="K22" s="3824"/>
      <c r="L22" s="3824"/>
      <c r="M22" s="3824"/>
      <c r="N22" s="3824"/>
      <c r="O22" s="3824"/>
      <c r="P22" s="3824"/>
      <c r="Q22" s="3825"/>
    </row>
    <row r="23" spans="1:17" s="2022" customFormat="1" ht="13.8">
      <c r="A23" s="3823" t="s">
        <v>1877</v>
      </c>
      <c r="B23" s="3824"/>
      <c r="C23" s="3824"/>
      <c r="D23" s="3824"/>
      <c r="E23" s="3824"/>
      <c r="F23" s="3824"/>
      <c r="G23" s="3824"/>
      <c r="H23" s="3824"/>
      <c r="I23" s="3824"/>
      <c r="J23" s="3824"/>
      <c r="K23" s="3824"/>
      <c r="L23" s="3824"/>
      <c r="M23" s="3824"/>
      <c r="N23" s="3824"/>
      <c r="O23" s="3824"/>
      <c r="P23" s="3824"/>
      <c r="Q23" s="3825"/>
    </row>
    <row r="24" spans="1:17" s="2022" customFormat="1" ht="13.8">
      <c r="A24" s="3823" t="s">
        <v>1878</v>
      </c>
      <c r="B24" s="3824"/>
      <c r="C24" s="3824"/>
      <c r="D24" s="3824"/>
      <c r="E24" s="3824"/>
      <c r="F24" s="3824"/>
      <c r="G24" s="3824"/>
      <c r="H24" s="3824"/>
      <c r="I24" s="3824"/>
      <c r="J24" s="3824"/>
      <c r="K24" s="3824"/>
      <c r="L24" s="3824"/>
      <c r="M24" s="3824"/>
      <c r="N24" s="3824"/>
      <c r="O24" s="3824"/>
      <c r="P24" s="3824"/>
      <c r="Q24" s="3825"/>
    </row>
    <row r="25" spans="1:17" s="2022" customFormat="1" ht="13.8">
      <c r="A25" s="3823" t="s">
        <v>1879</v>
      </c>
      <c r="B25" s="3824"/>
      <c r="C25" s="3824"/>
      <c r="D25" s="3824"/>
      <c r="E25" s="3824"/>
      <c r="F25" s="3824"/>
      <c r="G25" s="3824"/>
      <c r="H25" s="3824"/>
      <c r="I25" s="3824"/>
      <c r="J25" s="3824"/>
      <c r="K25" s="3824"/>
      <c r="L25" s="3824"/>
      <c r="M25" s="3824"/>
      <c r="N25" s="3824"/>
      <c r="O25" s="3824"/>
      <c r="P25" s="3824"/>
      <c r="Q25" s="3825"/>
    </row>
    <row r="26" spans="1:17" s="2022" customFormat="1" ht="13.8">
      <c r="A26" s="3823" t="s">
        <v>1880</v>
      </c>
      <c r="B26" s="3824"/>
      <c r="C26" s="3824"/>
      <c r="D26" s="3824"/>
      <c r="E26" s="3824"/>
      <c r="F26" s="3824"/>
      <c r="G26" s="3824"/>
      <c r="H26" s="3824"/>
      <c r="I26" s="3824"/>
      <c r="J26" s="3824"/>
      <c r="K26" s="3824"/>
      <c r="L26" s="3824"/>
      <c r="M26" s="3824"/>
      <c r="N26" s="3824"/>
      <c r="O26" s="3824"/>
      <c r="P26" s="3824"/>
      <c r="Q26" s="3825"/>
    </row>
    <row r="27" spans="1:17" s="2022" customFormat="1" ht="13.8">
      <c r="A27" s="3823" t="s">
        <v>1881</v>
      </c>
      <c r="B27" s="3824"/>
      <c r="C27" s="3824"/>
      <c r="D27" s="3824"/>
      <c r="E27" s="3824"/>
      <c r="F27" s="3824"/>
      <c r="G27" s="3824"/>
      <c r="H27" s="3824"/>
      <c r="I27" s="3824"/>
      <c r="J27" s="3824"/>
      <c r="K27" s="3824"/>
      <c r="L27" s="3824"/>
      <c r="M27" s="3824"/>
      <c r="N27" s="3824"/>
      <c r="O27" s="3824"/>
      <c r="P27" s="3824"/>
      <c r="Q27" s="3825"/>
    </row>
    <row r="28" spans="1:17" s="2022" customFormat="1" ht="13.8">
      <c r="A28" s="3826" t="s">
        <v>1882</v>
      </c>
      <c r="B28" s="3827"/>
      <c r="C28" s="3827"/>
      <c r="D28" s="3827"/>
      <c r="E28" s="3827"/>
      <c r="F28" s="3827"/>
      <c r="G28" s="3827"/>
      <c r="H28" s="3827"/>
      <c r="I28" s="3827"/>
      <c r="J28" s="3827"/>
      <c r="K28" s="3827"/>
      <c r="L28" s="3827"/>
      <c r="M28" s="3827"/>
      <c r="N28" s="3827"/>
      <c r="O28" s="3827"/>
      <c r="P28" s="3827"/>
      <c r="Q28" s="3828"/>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29"/>
      <c r="Q31" s="3830"/>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686" t="s">
        <v>7093</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6774</v>
      </c>
      <c r="C39" s="3822"/>
      <c r="D39" s="3822"/>
      <c r="E39" s="3822"/>
      <c r="F39" s="3822"/>
      <c r="G39" s="3822"/>
      <c r="H39" s="3822"/>
      <c r="I39" s="3822"/>
      <c r="J39" s="3822"/>
      <c r="K39" s="3822"/>
      <c r="L39" s="3822"/>
      <c r="M39" s="3822"/>
      <c r="N39" s="3822"/>
      <c r="O39" s="3822"/>
      <c r="P39" s="3699" t="s">
        <v>2649</v>
      </c>
      <c r="Q39" s="3700"/>
    </row>
    <row r="40" spans="1:17" ht="20.25" customHeight="1">
      <c r="B40" s="2045" t="s">
        <v>3240</v>
      </c>
      <c r="D40" s="2045"/>
      <c r="E40" s="2045"/>
      <c r="F40" s="2045"/>
      <c r="G40" s="2045"/>
      <c r="H40" s="2043"/>
      <c r="I40" s="2031"/>
      <c r="J40" s="2031"/>
    </row>
    <row r="41" spans="1:17" ht="20.25" customHeight="1">
      <c r="A41" s="3718" t="s">
        <v>7094</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6775</v>
      </c>
      <c r="C47" s="2042"/>
      <c r="D47" s="2036"/>
      <c r="E47" s="2036"/>
      <c r="F47" s="2036"/>
      <c r="G47" s="2036"/>
      <c r="H47" s="2036"/>
      <c r="I47" s="2036"/>
      <c r="J47" s="2036"/>
      <c r="L47" s="2051"/>
      <c r="M47" s="2052"/>
      <c r="O47" s="2032"/>
      <c r="P47" s="3699" t="s">
        <v>2649</v>
      </c>
      <c r="Q47" s="3700"/>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686" t="s">
        <v>7095</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7044</v>
      </c>
      <c r="J53" s="3757"/>
      <c r="K53" s="3757"/>
      <c r="L53" s="3757"/>
      <c r="M53" s="3757"/>
      <c r="N53" s="3757"/>
      <c r="O53" s="3757"/>
      <c r="P53" s="3757"/>
      <c r="Q53" s="3758"/>
    </row>
    <row r="54" spans="1:17" ht="20.25" customHeight="1">
      <c r="A54" s="2053"/>
      <c r="B54" s="2030" t="s">
        <v>6776</v>
      </c>
      <c r="D54" s="2056"/>
      <c r="E54" s="2056"/>
      <c r="F54" s="2056"/>
      <c r="I54" s="3819">
        <v>0.96399999999999997</v>
      </c>
      <c r="J54" s="3821"/>
      <c r="K54" s="3820"/>
      <c r="L54" s="2044"/>
      <c r="M54" s="2057"/>
      <c r="N54" s="2057"/>
      <c r="O54" s="2057"/>
      <c r="P54" s="2057"/>
      <c r="Q54" s="2026"/>
    </row>
    <row r="55" spans="1:17" ht="20.25" customHeight="1">
      <c r="A55" s="2053"/>
      <c r="B55" s="2030" t="s">
        <v>6777</v>
      </c>
      <c r="D55" s="2056"/>
      <c r="E55" s="2056"/>
      <c r="F55" s="2056"/>
      <c r="H55" s="2044" t="s">
        <v>6778</v>
      </c>
      <c r="I55" s="3819">
        <v>6.4000000000000001E-2</v>
      </c>
      <c r="J55" s="3821"/>
      <c r="K55" s="3820"/>
      <c r="L55" s="2058"/>
      <c r="M55" s="2059" t="s">
        <v>6779</v>
      </c>
      <c r="N55" s="3819">
        <v>4.0000000000000001E-3</v>
      </c>
      <c r="O55" s="3820"/>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686" t="s">
        <v>7096</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6780</v>
      </c>
      <c r="I63" s="2062"/>
      <c r="J63" s="3809"/>
      <c r="K63" s="3809"/>
      <c r="L63" s="3809"/>
      <c r="M63" s="3809"/>
      <c r="N63" s="3809"/>
      <c r="O63" s="3809"/>
      <c r="P63" s="3809"/>
      <c r="Q63" s="3810"/>
    </row>
    <row r="64" spans="1:17" ht="20.25" customHeight="1">
      <c r="A64" s="2053"/>
      <c r="B64" s="2030" t="s">
        <v>3948</v>
      </c>
      <c r="O64" s="2044"/>
      <c r="P64" s="2065"/>
      <c r="Q64" s="2066"/>
    </row>
    <row r="65" spans="1:17" ht="33" customHeight="1">
      <c r="B65" s="2042"/>
      <c r="C65" s="3698" t="s">
        <v>6781</v>
      </c>
      <c r="D65" s="3698"/>
      <c r="E65" s="3698"/>
      <c r="F65" s="3698"/>
      <c r="G65" s="3698"/>
      <c r="H65" s="3698"/>
      <c r="I65" s="3698"/>
      <c r="J65" s="3698"/>
      <c r="K65" s="3698"/>
      <c r="L65" s="3698"/>
      <c r="M65" s="3698"/>
      <c r="N65" s="3698"/>
      <c r="O65" s="3698"/>
      <c r="P65" s="2065"/>
      <c r="Q65" s="2066"/>
    </row>
    <row r="66" spans="1:17" ht="33" customHeight="1">
      <c r="A66" s="2053"/>
      <c r="B66" s="2042"/>
      <c r="C66" s="3698" t="s">
        <v>6782</v>
      </c>
      <c r="D66" s="3698"/>
      <c r="E66" s="3698"/>
      <c r="F66" s="3698"/>
      <c r="G66" s="3698"/>
      <c r="H66" s="3698"/>
      <c r="I66" s="3698"/>
      <c r="J66" s="3698"/>
      <c r="K66" s="3698"/>
      <c r="L66" s="3698"/>
      <c r="M66" s="3698"/>
      <c r="N66" s="3698"/>
      <c r="O66" s="3698"/>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18" t="s">
        <v>7053</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6783</v>
      </c>
      <c r="C74" s="3698"/>
      <c r="D74" s="3698"/>
      <c r="E74" s="3698"/>
      <c r="F74" s="3698"/>
      <c r="G74" s="3698"/>
      <c r="H74" s="3698"/>
      <c r="I74" s="3698"/>
      <c r="J74" s="3698"/>
      <c r="K74" s="3730"/>
      <c r="L74" s="3815" t="s">
        <v>7075</v>
      </c>
      <c r="M74" s="3816"/>
      <c r="N74" s="3816"/>
      <c r="O74" s="3816"/>
      <c r="P74" s="3817"/>
      <c r="Q74" s="3818"/>
    </row>
    <row r="75" spans="1:17" ht="20.25" customHeight="1">
      <c r="B75" s="2030" t="s">
        <v>6784</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811" t="s">
        <v>6790</v>
      </c>
      <c r="C82" s="3811"/>
      <c r="D82" s="3811"/>
      <c r="E82" s="3811"/>
      <c r="F82" s="3811"/>
      <c r="G82" s="3811"/>
      <c r="H82" s="3811"/>
      <c r="I82" s="3811"/>
      <c r="J82" s="3811"/>
      <c r="K82" s="3811"/>
      <c r="L82" s="3811"/>
      <c r="M82" s="3811"/>
      <c r="N82" s="3811"/>
      <c r="O82" s="3811"/>
      <c r="P82" s="3811"/>
      <c r="Q82" s="3811"/>
    </row>
    <row r="83" spans="1:23" ht="20.25" customHeight="1">
      <c r="B83" s="3809" t="s">
        <v>7088</v>
      </c>
      <c r="C83" s="3809"/>
      <c r="D83" s="3809"/>
      <c r="E83" s="3809"/>
      <c r="F83" s="3809"/>
      <c r="G83" s="3809"/>
      <c r="H83" s="3809"/>
      <c r="I83" s="3809"/>
      <c r="J83" s="3809"/>
      <c r="K83" s="3809"/>
      <c r="L83" s="3809"/>
      <c r="M83" s="3809"/>
      <c r="N83" s="3809"/>
      <c r="O83" s="3809"/>
      <c r="P83" s="3809"/>
      <c r="Q83" s="3810"/>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686" t="s">
        <v>7097</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7055</v>
      </c>
      <c r="M91" s="3813"/>
      <c r="N91" s="3814"/>
      <c r="O91" s="3684" t="s">
        <v>1646</v>
      </c>
      <c r="P91" s="3751"/>
      <c r="Q91" s="3685"/>
    </row>
    <row r="92" spans="1:23" ht="20.25" customHeight="1">
      <c r="A92" s="2053"/>
      <c r="B92" s="2030" t="s">
        <v>636</v>
      </c>
      <c r="G92" s="3809" t="s">
        <v>7056</v>
      </c>
      <c r="H92" s="3809"/>
      <c r="I92" s="3809"/>
      <c r="J92" s="3809"/>
      <c r="K92" s="3809"/>
      <c r="L92" s="3809"/>
      <c r="M92" s="3809"/>
      <c r="N92" s="3809"/>
      <c r="O92" s="3809"/>
      <c r="P92" s="3809"/>
      <c r="Q92" s="3810"/>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686" t="s">
        <v>7076</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686" t="s">
        <v>7098</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686" t="s">
        <v>7099</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6791</v>
      </c>
      <c r="H114" s="2030" t="s">
        <v>6792</v>
      </c>
      <c r="J114" s="3792" t="s">
        <v>2813</v>
      </c>
      <c r="K114" s="3793"/>
      <c r="L114" s="3793"/>
      <c r="M114" s="3793"/>
      <c r="N114" s="3793"/>
      <c r="O114" s="3793"/>
      <c r="P114" s="3793"/>
      <c r="Q114" s="3794"/>
    </row>
    <row r="115" spans="1:21" ht="20.25" customHeight="1">
      <c r="A115" s="2053"/>
      <c r="B115" s="2053"/>
      <c r="H115" s="2030" t="s">
        <v>6793</v>
      </c>
      <c r="J115" s="3795" t="s">
        <v>7057</v>
      </c>
      <c r="K115" s="3796"/>
      <c r="L115" s="3796"/>
      <c r="M115" s="3796"/>
      <c r="N115" s="3796"/>
      <c r="O115" s="3796"/>
      <c r="P115" s="3796"/>
      <c r="Q115" s="379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6" t="s">
        <v>7100</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6795</v>
      </c>
      <c r="H123" s="2030" t="s">
        <v>6796</v>
      </c>
      <c r="J123" s="3792" t="s">
        <v>7058</v>
      </c>
      <c r="K123" s="3793"/>
      <c r="L123" s="3793"/>
      <c r="M123" s="3793"/>
      <c r="N123" s="3793"/>
      <c r="O123" s="3793"/>
      <c r="P123" s="3793"/>
      <c r="Q123" s="3794"/>
      <c r="R123" s="2084"/>
    </row>
    <row r="124" spans="1:21" ht="20.25" customHeight="1">
      <c r="A124" s="2083"/>
      <c r="B124" s="2053"/>
      <c r="H124" s="2030" t="s">
        <v>6797</v>
      </c>
      <c r="J124" s="3795" t="s">
        <v>7058</v>
      </c>
      <c r="K124" s="3796"/>
      <c r="L124" s="3796"/>
      <c r="M124" s="3796"/>
      <c r="N124" s="3796"/>
      <c r="O124" s="3796"/>
      <c r="P124" s="3796"/>
      <c r="Q124" s="379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6" t="s">
        <v>7101</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6798</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98" t="s">
        <v>7059</v>
      </c>
      <c r="N134" s="3799"/>
      <c r="O134" s="3799"/>
      <c r="P134" s="3799"/>
      <c r="Q134" s="3800"/>
    </row>
    <row r="135" spans="1:17" ht="20.25" customHeight="1">
      <c r="A135" s="2053"/>
      <c r="B135" s="2043"/>
      <c r="C135" s="2043" t="s">
        <v>6717</v>
      </c>
      <c r="E135" s="2043"/>
      <c r="F135" s="2043"/>
      <c r="G135" s="2043"/>
      <c r="H135" s="2043"/>
      <c r="J135" s="2044"/>
      <c r="K135" s="2033"/>
      <c r="L135" s="2033"/>
      <c r="M135" s="3801" t="s">
        <v>7060</v>
      </c>
      <c r="N135" s="3802"/>
      <c r="O135" s="3802"/>
      <c r="P135" s="3802"/>
      <c r="Q135" s="3803"/>
    </row>
    <row r="136" spans="1:17" ht="20.25" customHeight="1">
      <c r="A136" s="2053"/>
      <c r="B136" s="2043"/>
      <c r="C136" s="3804" t="s">
        <v>6193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3786</v>
      </c>
      <c r="E137" s="2043"/>
      <c r="F137" s="2043"/>
      <c r="G137" s="2043"/>
      <c r="H137" s="2043"/>
      <c r="J137" s="2044"/>
      <c r="K137" s="2033"/>
      <c r="L137" s="2033"/>
      <c r="M137" s="3795" t="s">
        <v>7061</v>
      </c>
      <c r="N137" s="3796"/>
      <c r="O137" s="3796"/>
      <c r="P137" s="3796"/>
      <c r="Q137" s="3797"/>
    </row>
    <row r="138" spans="1:17" ht="20.25" customHeight="1">
      <c r="A138" s="2053" t="s">
        <v>1843</v>
      </c>
      <c r="B138" s="3698" t="s">
        <v>6800</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6801</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3900</v>
      </c>
      <c r="D140" s="3778"/>
      <c r="E140" s="3778"/>
      <c r="F140" s="3778"/>
      <c r="G140" s="3778"/>
      <c r="H140" s="3779"/>
      <c r="I140" s="2033"/>
      <c r="J140" s="3789" t="s">
        <v>6802</v>
      </c>
      <c r="K140" s="3790"/>
      <c r="L140" s="3790"/>
      <c r="M140" s="3790"/>
      <c r="N140" s="3790"/>
      <c r="O140" s="3790"/>
      <c r="P140" s="3790"/>
      <c r="Q140" s="3791"/>
    </row>
    <row r="141" spans="1:17" ht="15.75" customHeight="1">
      <c r="A141" s="2026"/>
      <c r="B141" s="2078" t="s">
        <v>1615</v>
      </c>
      <c r="C141" s="3780" t="s">
        <v>3851</v>
      </c>
      <c r="D141" s="3781"/>
      <c r="E141" s="3781"/>
      <c r="F141" s="3781"/>
      <c r="G141" s="3781"/>
      <c r="H141" s="3782"/>
      <c r="I141" s="2033"/>
      <c r="J141" s="3786" t="s">
        <v>6802</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6802</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6802</v>
      </c>
      <c r="K143" s="3784"/>
      <c r="L143" s="3784"/>
      <c r="M143" s="3784"/>
      <c r="N143" s="3784"/>
      <c r="O143" s="3784"/>
      <c r="P143" s="3784"/>
      <c r="Q143" s="378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686" t="s">
        <v>7102</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6803</v>
      </c>
      <c r="C151" s="2033"/>
      <c r="D151" s="2033"/>
      <c r="E151" s="2033"/>
      <c r="F151" s="2033"/>
      <c r="G151" s="2033"/>
      <c r="H151" s="2033"/>
      <c r="I151" s="2033"/>
      <c r="J151" s="2033"/>
      <c r="K151" s="2033"/>
      <c r="L151" s="2033"/>
      <c r="M151" s="2033"/>
      <c r="N151" s="2031"/>
      <c r="O151" s="2033"/>
      <c r="P151" s="3702"/>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6" t="s">
        <v>7103</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686" t="s">
        <v>7104</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6198</v>
      </c>
      <c r="G168" s="2033"/>
      <c r="J168" s="2033"/>
      <c r="K168" s="2033"/>
      <c r="L168" s="2033"/>
      <c r="M168" s="2033"/>
      <c r="N168" s="2033"/>
      <c r="O168" s="2044"/>
      <c r="P168" s="2033"/>
      <c r="Q168" s="2033"/>
    </row>
    <row r="169" spans="1:17" ht="33" customHeight="1">
      <c r="B169" s="3689" t="s">
        <v>6804</v>
      </c>
      <c r="C169" s="3689"/>
      <c r="D169" s="3689"/>
      <c r="E169" s="3689"/>
      <c r="F169" s="3689"/>
      <c r="G169" s="3689"/>
      <c r="H169" s="3689"/>
      <c r="I169" s="3689"/>
      <c r="J169" s="3689"/>
      <c r="K169" s="3689"/>
      <c r="L169" s="3689"/>
      <c r="M169" s="3689"/>
      <c r="N169" s="3689"/>
      <c r="O169" s="3690"/>
      <c r="P169" s="3763" t="s">
        <v>7062</v>
      </c>
      <c r="Q169" s="3764"/>
    </row>
    <row r="170" spans="1:17" ht="20.25" customHeight="1">
      <c r="A170" s="2053" t="s">
        <v>1843</v>
      </c>
      <c r="B170" s="2029" t="s">
        <v>297</v>
      </c>
      <c r="G170" s="2033"/>
      <c r="H170" s="3691" t="s">
        <v>3254</v>
      </c>
      <c r="I170" s="3691"/>
      <c r="J170" s="3691"/>
      <c r="K170" s="3691"/>
      <c r="L170" s="3691"/>
      <c r="M170" s="3691"/>
      <c r="N170" s="3691"/>
      <c r="O170" s="3691"/>
      <c r="P170" s="3765"/>
      <c r="Q170" s="376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89" t="s">
        <v>6199</v>
      </c>
      <c r="C172" s="3689"/>
      <c r="D172" s="3689"/>
      <c r="E172" s="3689"/>
      <c r="F172" s="3689"/>
      <c r="G172" s="3689"/>
      <c r="H172" s="3689"/>
      <c r="I172" s="3689"/>
      <c r="J172" s="3689"/>
      <c r="K172" s="3689"/>
      <c r="L172" s="3689"/>
      <c r="M172" s="3689"/>
      <c r="N172" s="2439" t="s">
        <v>6200</v>
      </c>
      <c r="O172" s="2078" t="s">
        <v>698</v>
      </c>
      <c r="P172" s="3766" t="s">
        <v>7062</v>
      </c>
      <c r="Q172" s="3767"/>
    </row>
    <row r="173" spans="1:17" ht="20.25" customHeight="1">
      <c r="B173" s="2060" t="s">
        <v>3240</v>
      </c>
      <c r="M173" s="2031"/>
      <c r="N173" s="2031"/>
      <c r="O173" s="2088"/>
      <c r="P173" s="2026"/>
    </row>
    <row r="174" spans="1:17" ht="20.25" customHeight="1">
      <c r="A174" s="3686" t="s">
        <v>7105</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6803</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6805</v>
      </c>
      <c r="C181" s="3698"/>
      <c r="D181" s="3698"/>
      <c r="E181" s="3698"/>
      <c r="F181" s="3698"/>
      <c r="G181" s="3698"/>
      <c r="H181" s="3698"/>
      <c r="I181" s="3698"/>
      <c r="J181" s="3698"/>
      <c r="K181" s="3698"/>
      <c r="L181" s="3698"/>
      <c r="M181" s="3698"/>
      <c r="N181" s="3698"/>
      <c r="O181" s="3698"/>
      <c r="P181" s="3695" t="s">
        <v>7062</v>
      </c>
      <c r="Q181" s="3696"/>
    </row>
    <row r="182" spans="1:17" ht="12" customHeight="1">
      <c r="A182" s="2033"/>
      <c r="C182" s="2033"/>
      <c r="D182" s="2033"/>
      <c r="E182" s="2033"/>
      <c r="F182" s="2033"/>
      <c r="G182" s="2033"/>
      <c r="H182" s="2033"/>
      <c r="I182" s="2033"/>
      <c r="J182" s="2033"/>
      <c r="K182" s="2033"/>
      <c r="L182" s="3759" t="s">
        <v>6806</v>
      </c>
      <c r="M182" s="3759"/>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02">
        <v>3</v>
      </c>
      <c r="Q184" s="3754"/>
    </row>
    <row r="185" spans="1:17" ht="20.25" customHeight="1">
      <c r="A185" s="2053"/>
      <c r="B185" s="2043"/>
      <c r="D185" s="3698" t="s">
        <v>6810</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6811</v>
      </c>
      <c r="C186" s="3698"/>
      <c r="D186" s="3698"/>
      <c r="E186" s="3698"/>
      <c r="F186" s="3698"/>
      <c r="G186" s="3698"/>
      <c r="H186" s="3698"/>
      <c r="I186" s="3698"/>
      <c r="J186" s="3698"/>
      <c r="K186" s="2033"/>
      <c r="L186" s="2097">
        <f>ROUNDUP('Part V-Revenues &amp; Expenses'!$P$67*M186,0)</f>
        <v>1</v>
      </c>
      <c r="M186" s="2095">
        <f>'DCA Underwriting Assumptions'!$Q$124</f>
        <v>0.02</v>
      </c>
      <c r="N186" s="2033"/>
      <c r="O186" s="2044"/>
      <c r="P186" s="3695">
        <v>1</v>
      </c>
      <c r="Q186" s="3755"/>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6" t="s">
        <v>7072</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6803</v>
      </c>
      <c r="P194" s="3702" t="s">
        <v>2652</v>
      </c>
      <c r="Q194" s="3754"/>
    </row>
    <row r="195" spans="1:17" ht="36" customHeight="1">
      <c r="B195" s="3698" t="s">
        <v>6812</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6911</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6912</v>
      </c>
      <c r="D198" s="3689"/>
      <c r="E198" s="3689"/>
      <c r="F198" s="3689"/>
      <c r="G198" s="3690"/>
      <c r="H198" s="3756" t="s">
        <v>3249</v>
      </c>
      <c r="I198" s="3757"/>
      <c r="J198" s="3757"/>
      <c r="K198" s="3757"/>
      <c r="L198" s="3757"/>
      <c r="M198" s="3757"/>
      <c r="N198" s="3757"/>
      <c r="O198" s="3757"/>
      <c r="P198" s="3757"/>
      <c r="Q198" s="3758"/>
    </row>
    <row r="199" spans="1:17" ht="20.25" customHeight="1">
      <c r="A199" s="2053"/>
      <c r="B199" s="2078"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6" t="s">
        <v>7071</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4"/>
      <c r="Q208" s="3745"/>
    </row>
    <row r="209" spans="1:17" ht="20.25" customHeight="1">
      <c r="A209" s="2053"/>
      <c r="B209" s="2030" t="s">
        <v>6814</v>
      </c>
      <c r="O209" s="2044"/>
      <c r="P209" s="3746" t="s">
        <v>7063</v>
      </c>
      <c r="Q209" s="3747"/>
    </row>
    <row r="210" spans="1:17" ht="20.25" customHeight="1">
      <c r="A210" s="2053"/>
      <c r="B210" s="2030" t="s">
        <v>6815</v>
      </c>
      <c r="O210" s="2044"/>
      <c r="P210" s="3734" t="s">
        <v>7063</v>
      </c>
      <c r="Q210" s="3735"/>
    </row>
    <row r="211" spans="1:17" ht="22.5" customHeight="1">
      <c r="A211" s="2053"/>
      <c r="B211" s="2030" t="s">
        <v>6816</v>
      </c>
      <c r="C211" s="2033"/>
      <c r="K211" s="2031"/>
      <c r="M211" s="2044"/>
      <c r="O211" s="2100"/>
      <c r="P211" s="3734" t="s">
        <v>2652</v>
      </c>
      <c r="Q211" s="3735"/>
    </row>
    <row r="212" spans="1:17" ht="31.5" customHeight="1">
      <c r="A212" s="2053"/>
      <c r="B212" s="3698" t="s">
        <v>6817</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6818</v>
      </c>
      <c r="M213" s="2033"/>
      <c r="N213" s="2033"/>
      <c r="O213" s="3748" t="s">
        <v>3278</v>
      </c>
      <c r="P213" s="3749"/>
      <c r="Q213" s="3750"/>
    </row>
    <row r="214" spans="1:17" ht="20.25" customHeight="1">
      <c r="A214" s="2053"/>
      <c r="B214" s="2029" t="s">
        <v>6819</v>
      </c>
      <c r="G214" s="3684"/>
      <c r="H214" s="3751"/>
      <c r="I214" s="3751"/>
      <c r="J214" s="3751"/>
      <c r="K214" s="3751"/>
      <c r="L214" s="3685"/>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8" t="s">
        <v>7106</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6820</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6821</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6822</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6823</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6824</v>
      </c>
      <c r="C226" s="3689"/>
      <c r="D226" s="3689"/>
      <c r="E226" s="3689"/>
      <c r="F226" s="3689"/>
      <c r="G226" s="3689"/>
      <c r="H226" s="3689"/>
      <c r="I226" s="3689"/>
      <c r="J226" s="3689"/>
      <c r="K226" s="3689"/>
      <c r="L226" s="3689"/>
      <c r="M226" s="3689"/>
      <c r="N226" s="3689"/>
      <c r="O226" s="3689"/>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8" t="s">
        <v>7053</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3359</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3360</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6825</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3"/>
      <c r="B240" s="2104" t="s">
        <v>3865</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3"/>
      <c r="B241" s="2104"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6" t="s">
        <v>7053</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c r="Q250" s="3703"/>
    </row>
    <row r="251" spans="1:17" ht="20.25" customHeight="1">
      <c r="A251" s="2053"/>
      <c r="B251" s="2030" t="s">
        <v>3143</v>
      </c>
      <c r="D251" s="2056"/>
      <c r="E251" s="2056"/>
      <c r="O251" s="2044"/>
      <c r="P251" s="3704"/>
      <c r="Q251" s="3705"/>
    </row>
    <row r="252" spans="1:17" ht="20.25" customHeight="1">
      <c r="A252" s="2053"/>
      <c r="B252" s="2030" t="s">
        <v>4031</v>
      </c>
      <c r="D252" s="2056"/>
      <c r="E252" s="2056"/>
      <c r="O252" s="2044"/>
      <c r="P252" s="3706"/>
      <c r="Q252" s="3707"/>
    </row>
    <row r="253" spans="1:17" ht="20.25" customHeight="1">
      <c r="A253" s="2053"/>
      <c r="B253" s="2030" t="s">
        <v>3144</v>
      </c>
      <c r="O253" s="2044"/>
      <c r="P253" s="3704"/>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6" t="s">
        <v>7053</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4"/>
      <c r="Q261" s="3685"/>
    </row>
    <row r="262" spans="1:17" ht="20.25" customHeight="1">
      <c r="B262" s="2030" t="s">
        <v>6251</v>
      </c>
      <c r="O262" s="2044"/>
      <c r="P262" s="3699"/>
      <c r="Q262" s="3700"/>
    </row>
    <row r="263" spans="1:17" ht="20.25" customHeight="1">
      <c r="A263" s="2053" t="s">
        <v>1841</v>
      </c>
      <c r="B263" s="2029" t="s">
        <v>3938</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c r="Q264" s="3703"/>
    </row>
    <row r="265" spans="1:17" ht="20.25" customHeight="1">
      <c r="B265" s="3701" t="s">
        <v>4033</v>
      </c>
      <c r="C265" s="3701"/>
      <c r="D265" s="3701"/>
      <c r="E265" s="3701"/>
      <c r="F265" s="3701"/>
      <c r="G265" s="3701"/>
      <c r="H265" s="3701"/>
      <c r="I265" s="3701"/>
      <c r="J265" s="3701"/>
      <c r="K265" s="3701"/>
      <c r="L265" s="3701"/>
      <c r="M265" s="3701"/>
      <c r="N265" s="3701"/>
      <c r="O265" s="3701"/>
      <c r="P265" s="3704"/>
      <c r="Q265" s="3705"/>
    </row>
    <row r="266" spans="1:17" ht="32.25" customHeight="1">
      <c r="A266" s="2053"/>
      <c r="B266" s="3694" t="s">
        <v>6834</v>
      </c>
      <c r="C266" s="3694"/>
      <c r="D266" s="3694"/>
      <c r="E266" s="3694"/>
      <c r="F266" s="3694"/>
      <c r="G266" s="3694"/>
      <c r="H266" s="3694"/>
      <c r="I266" s="3694"/>
      <c r="J266" s="3694"/>
      <c r="K266" s="3694"/>
      <c r="L266" s="3694"/>
      <c r="M266" s="3694"/>
      <c r="N266" s="3694"/>
      <c r="O266" s="3694"/>
      <c r="P266" s="3695"/>
      <c r="Q266" s="3696"/>
    </row>
    <row r="267" spans="1:17" ht="20.25" customHeight="1">
      <c r="B267" s="2060" t="s">
        <v>3240</v>
      </c>
      <c r="D267" s="2060"/>
      <c r="E267" s="2060"/>
      <c r="F267" s="2060"/>
      <c r="G267" s="2060"/>
      <c r="H267" s="2043"/>
      <c r="I267" s="2031"/>
      <c r="J267" s="2031"/>
      <c r="K267" s="2031"/>
    </row>
    <row r="268" spans="1:17" ht="20.25" customHeight="1">
      <c r="A268" s="3686" t="s">
        <v>7077</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7"/>
      <c r="Q273" s="3697"/>
    </row>
    <row r="274" spans="1:17" ht="33" customHeight="1">
      <c r="A274" s="2033"/>
      <c r="B274" s="3698" t="s">
        <v>6835</v>
      </c>
      <c r="C274" s="3698"/>
      <c r="D274" s="3698"/>
      <c r="E274" s="3698"/>
      <c r="F274" s="3698"/>
      <c r="G274" s="3698"/>
      <c r="H274" s="3698"/>
      <c r="I274" s="3698"/>
      <c r="J274" s="3698"/>
      <c r="K274" s="3698"/>
      <c r="L274" s="3698"/>
      <c r="M274" s="3698"/>
      <c r="N274" s="3698"/>
      <c r="O274" s="2105"/>
      <c r="P274" s="3699" t="s">
        <v>7062</v>
      </c>
      <c r="Q274" s="3700"/>
    </row>
    <row r="275" spans="1:17" ht="34.5" customHeight="1">
      <c r="A275" s="2033"/>
      <c r="B275" s="2078" t="s">
        <v>1841</v>
      </c>
      <c r="C275" s="3689" t="s">
        <v>3312</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6836</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3867</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3868</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3869</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3870</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3313</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3918</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3919</v>
      </c>
      <c r="D283" s="3689"/>
      <c r="E283" s="3689"/>
      <c r="F283" s="3689"/>
      <c r="G283" s="3689"/>
      <c r="H283" s="3689"/>
      <c r="I283" s="3689"/>
      <c r="J283" s="3689"/>
      <c r="K283" s="3689"/>
      <c r="L283" s="3689"/>
      <c r="M283" s="3689"/>
      <c r="N283" s="3689"/>
      <c r="O283" s="3689"/>
      <c r="P283" s="2076"/>
      <c r="Q283" s="2026"/>
    </row>
    <row r="284" spans="1:17" ht="47.25" customHeight="1">
      <c r="A284" s="2071"/>
      <c r="B284" s="3689" t="s">
        <v>6837</v>
      </c>
      <c r="C284" s="3689"/>
      <c r="D284" s="3689"/>
      <c r="E284" s="3689"/>
      <c r="F284" s="3689"/>
      <c r="G284" s="3689"/>
      <c r="H284" s="3689"/>
      <c r="I284" s="3689"/>
      <c r="J284" s="3689"/>
      <c r="K284" s="3689"/>
      <c r="L284" s="3689"/>
      <c r="M284" s="3689"/>
      <c r="N284" s="3689"/>
      <c r="O284" s="3690"/>
      <c r="P284" s="3691" t="s">
        <v>7062</v>
      </c>
      <c r="Q284" s="369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6" t="s">
        <v>7107</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686" t="s">
        <v>7108</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00000000-0002-0000-0B00-000000000000}">
      <formula1>$O$302:$O$310</formula1>
    </dataValidation>
    <dataValidation type="list" allowBlank="1" showInputMessage="1" showErrorMessage="1" sqref="O211:P211 P212 P209:P210" xr:uid="{00000000-0002-0000-0B00-000001000000}">
      <formula1>"&lt;&lt;Select&gt;&gt;,Yes - see Comment, No, N/A - no pre-app"</formula1>
    </dataValidation>
    <dataValidation type="whole" allowBlank="1" showInputMessage="1" showErrorMessage="1" sqref="P184:P186" xr:uid="{00000000-0002-0000-0B00-000002000000}">
      <formula1>0</formula1>
      <formula2>200</formula2>
    </dataValidation>
    <dataValidation type="list" allowBlank="1" showInputMessage="1" showErrorMessage="1" sqref="P236 P181" xr:uid="{00000000-0002-0000-0B00-000003000000}">
      <formula1>"Agree,Disagree"</formula1>
    </dataValidation>
    <dataValidation type="list" allowBlank="1" showInputMessage="1" showErrorMessage="1" sqref="P9:Q9" xr:uid="{00000000-0002-0000-0B00-000004000000}">
      <formula1>"PASS, FAIL, W/DRWN"</formula1>
    </dataValidation>
    <dataValidation type="list" allowBlank="1" showInputMessage="1" showErrorMessage="1" sqref="L91" xr:uid="{00000000-0002-0000-0B00-000005000000}">
      <formula1>"&lt;&lt;Select&gt;&gt;, Warranty Deed, Purchase Contract, Ground lease/Option, RFP Selection, Other (see comments)"</formula1>
    </dataValidation>
    <dataValidation type="list" allowBlank="1" showInputMessage="1" showErrorMessage="1" sqref="O91" xr:uid="{00000000-0002-0000-0B00-000006000000}">
      <formula1>"&lt;&lt;Select&gt;&gt;, Warranty Deed, Contract/Option, Ground lease, No site control, Other (see comments)"</formula1>
    </dataValidation>
    <dataValidation type="list" allowBlank="1" showInputMessage="1" showErrorMessage="1" sqref="M134" xr:uid="{00000000-0002-0000-0B00-000007000000}">
      <formula1>"&lt;&lt;Select&gt;&gt;, Room, Building"</formula1>
    </dataValidation>
    <dataValidation type="list" allowBlank="1" showInputMessage="1" showErrorMessage="1" sqref="F197" xr:uid="{00000000-0002-0000-0B00-000008000000}">
      <formula1>$K$340:$K$344</formula1>
    </dataValidation>
    <dataValidation type="list" allowBlank="1" showInputMessage="1" showErrorMessage="1" sqref="H198" xr:uid="{00000000-0002-0000-0B00-000009000000}">
      <formula1>$K$335:$K$337</formula1>
    </dataValidation>
    <dataValidation type="list" allowBlank="1" showInputMessage="1" showErrorMessage="1" sqref="P222:P223 P224:Q226 P169 P172 P274 P284" xr:uid="{00000000-0002-0000-0B00-00000A000000}">
      <formula1>"Agree, Disagree"</formula1>
    </dataValidation>
    <dataValidation type="list" allowBlank="1" showInputMessage="1" showErrorMessage="1" sqref="P291 P249 P106 P193 P150 P167 P122 P131 P113 P38 P233 P62 P52 P99 P31 P221 P273 P208 P73 P160 P179 P261 P46 P90" xr:uid="{00000000-0002-0000-0B00-00000B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00000000-0002-0000-0B00-00000C000000}"/>
    <dataValidation type="list" allowBlank="1" showInputMessage="1" showErrorMessage="1" sqref="Q223 Q54 P151 Q120:Q121 P39 P194:P195 Q271:Q272 Q247:Q248 Q289:Q290 P75:Q76 P180:Q180 P262:Q262 P78:Q81 P47 P250:P253 P132 P64:Q64 P264:Q266" xr:uid="{00000000-0002-0000-0B00-00000D000000}">
      <formula1>"Yes, No"</formula1>
    </dataValidation>
    <dataValidation type="list" allowBlank="1" showInputMessage="1" showErrorMessage="1" sqref="M137" xr:uid="{00000000-0002-0000-0B00-00000E000000}">
      <formula1>"&lt;&lt;Select&gt;&gt;, On-site laundry, W&amp;D installed in each unit, Both options"</formula1>
    </dataValidation>
    <dataValidation type="list" allowBlank="1" showInputMessage="1" showErrorMessage="1" sqref="C140:C143" xr:uid="{00000000-0002-0000-0B00-00000F000000}">
      <formula1>$M$353:$M$362</formula1>
    </dataValidation>
    <dataValidation type="list" allowBlank="1" showInputMessage="1" showErrorMessage="1" sqref="M135" xr:uid="{00000000-0002-0000-0B00-000010000000}">
      <formula1>"&lt;&lt;Select&gt;&gt;, Gazebo, Covered Porch, Other Pre-Approved"</formula1>
    </dataValidation>
    <dataValidation type="list" allowBlank="1" showInputMessage="1" showErrorMessage="1" sqref="H152" xr:uid="{00000000-0002-0000-0B00-000011000000}">
      <formula1>"&lt;&lt;Select&gt;&gt;, Substantial Rehab Gutted, Substantial Rehab Non-Gutted,Historic Preservation"</formula1>
    </dataValidation>
    <dataValidation type="list" allowBlank="1" showInputMessage="1" showErrorMessage="1" sqref="H170" xr:uid="{00000000-0002-0000-0B00-000012000000}">
      <formula1>$M$365:$M$379</formula1>
    </dataValidation>
    <dataValidation type="list" allowBlank="1" showInputMessage="1" showErrorMessage="1" sqref="P65:Q66" xr:uid="{00000000-0002-0000-0B00-000013000000}">
      <formula1>"Yes, No, N/a"</formula1>
    </dataValidation>
  </dataValidations>
  <hyperlinks>
    <hyperlink ref="N172" r:id="rId1" xr:uid="{00000000-0004-0000-0B00-000000000000}"/>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800"/>
  <sheetViews>
    <sheetView showGridLines="0" zoomScale="70" zoomScaleNormal="70" workbookViewId="0">
      <selection activeCell="O96" sqref="O96"/>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Westchester Village, Jonesboro, Clayton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2" t="s">
        <v>6841</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70</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3904" t="s">
        <v>6496</v>
      </c>
      <c r="G12" s="3904"/>
      <c r="H12" s="3904"/>
      <c r="I12" s="3904"/>
      <c r="J12" s="3904"/>
      <c r="K12" s="3904"/>
      <c r="L12" s="3904"/>
      <c r="M12" s="3904"/>
      <c r="N12" s="3904"/>
      <c r="O12" s="2148" t="s">
        <v>3810</v>
      </c>
      <c r="P12" s="2149">
        <f>SUM(P13:P31)</f>
        <v>0</v>
      </c>
      <c r="Q12" s="3905"/>
      <c r="R12" s="3905"/>
      <c r="S12" s="3905"/>
      <c r="T12" s="3905"/>
      <c r="U12" s="3905"/>
      <c r="V12" s="2150"/>
    </row>
    <row r="13" spans="1:25" s="2121" customFormat="1" ht="14.4" customHeight="1">
      <c r="A13" s="2151" t="s">
        <v>1668</v>
      </c>
      <c r="B13" s="2152" t="s">
        <v>3394</v>
      </c>
      <c r="C13" s="2153"/>
      <c r="D13" s="2154"/>
      <c r="E13" s="2155">
        <f>$O$77</f>
        <v>20</v>
      </c>
      <c r="F13" s="3906" t="str">
        <f>$A$81</f>
        <v>The proposed development is within a 0.50 mile from a Child Care Service, Department Store, Federally Insured Banking Institutions, Grocery Store, Restaurant, Pharmacy, Elementary School and Place of Worship; within 1.00 mile of Public Park and 1.10 mile of Fire Station and Post Office. The proposed site is within range of 24 total available Desirable points and the Applicant is eligible for the maximum 20 Desirable points. Please see Tab 26 of this application for the Desirable certification. There are no undesirables. The property does fall within a food desert; however, there are three (3) grocery stores within a 0.5 mile walking distance from the proposed site, which also illustrated in Tab 26 of this application.</v>
      </c>
      <c r="G13" s="3907"/>
      <c r="H13" s="3907"/>
      <c r="I13" s="3907"/>
      <c r="J13" s="3907"/>
      <c r="K13" s="3907"/>
      <c r="L13" s="3907"/>
      <c r="M13" s="3907"/>
      <c r="N13" s="3907"/>
      <c r="O13" s="3907"/>
      <c r="P13" s="2156"/>
      <c r="Q13" s="3905"/>
      <c r="R13" s="3905"/>
      <c r="S13" s="3905"/>
      <c r="T13" s="3905"/>
      <c r="U13" s="3905"/>
      <c r="V13" s="2150"/>
    </row>
    <row r="14" spans="1:25" s="2121" customFormat="1" ht="14.4" customHeight="1">
      <c r="A14" s="2151" t="s">
        <v>496</v>
      </c>
      <c r="B14" s="2157" t="s">
        <v>4038</v>
      </c>
      <c r="C14" s="2158"/>
      <c r="D14" s="2159"/>
      <c r="E14" s="2160">
        <f>$O$86</f>
        <v>4</v>
      </c>
      <c r="F14" s="3847" t="str">
        <f>$A$102</f>
        <v>MARTA Transit stop #: 212513 is less than 1 mile walking distance from the secondary pedestrian site entrance and serves bus routes 191, 192 and 193. Bus stop 212513 meets the criteria of a transit HUB, therefore the Applicant is eligible for 4 points.</v>
      </c>
      <c r="G14" s="3848"/>
      <c r="H14" s="3848"/>
      <c r="I14" s="3848"/>
      <c r="J14" s="3848"/>
      <c r="K14" s="3848"/>
      <c r="L14" s="3848"/>
      <c r="M14" s="3848"/>
      <c r="N14" s="3848"/>
      <c r="O14" s="3849"/>
      <c r="P14" s="2162"/>
      <c r="Q14" s="3905"/>
      <c r="R14" s="3905"/>
      <c r="S14" s="3905"/>
      <c r="T14" s="3905"/>
      <c r="U14" s="3905"/>
    </row>
    <row r="15" spans="1:25" s="2121" customFormat="1" ht="14.4" customHeight="1">
      <c r="A15" s="2151" t="s">
        <v>720</v>
      </c>
      <c r="B15" s="2157" t="s">
        <v>3339</v>
      </c>
      <c r="C15" s="2158"/>
      <c r="D15" s="2159"/>
      <c r="E15" s="2160">
        <f>$O$106</f>
        <v>1</v>
      </c>
      <c r="F15" s="3847" t="str">
        <f>$A$117</f>
        <v>The proposed location falls within the school district boundary of Swint Elementary School within the Clayton County School System. Swint Elementary  received beating the odds designation in 2018 and 2019. The school serves grades PK - 05. Swint Elementary is also eligible for points based on DCA's Option C - scoring. support documentation is in Tab 28.</v>
      </c>
      <c r="G15" s="3848"/>
      <c r="H15" s="3848"/>
      <c r="I15" s="3848"/>
      <c r="J15" s="3848"/>
      <c r="K15" s="3848"/>
      <c r="L15" s="3848"/>
      <c r="M15" s="3848"/>
      <c r="N15" s="3848"/>
      <c r="O15" s="3849"/>
      <c r="P15" s="2162"/>
      <c r="Q15" s="2163"/>
      <c r="R15" s="2163"/>
      <c r="S15" s="2163"/>
      <c r="T15" s="2163"/>
      <c r="U15" s="2163"/>
    </row>
    <row r="16" spans="1:25" s="2121" customFormat="1" ht="14.4" customHeight="1">
      <c r="A16" s="2164" t="s">
        <v>280</v>
      </c>
      <c r="B16" s="2157" t="s">
        <v>3395</v>
      </c>
      <c r="C16" s="2158"/>
      <c r="D16" s="2159"/>
      <c r="E16" s="2457">
        <f>$O$122</f>
        <v>7</v>
      </c>
      <c r="F16" s="3847" t="str">
        <f>$A$137</f>
        <v>The Tara Blvd Design Plan clearly designates a targeted are within the local government boundary that includes the proposed site. The plan discusses housing as a goal, an assessment of the existing properties within the targeted area and designates implementation measures. The plan was originally adopted in 2012 and re-approved per resolution NO. 2020 - 205 in 2020. Third party off-site improvements consist of road improvements at the intersection of Hwy 138 and Tara Blvd totalling $3,761,360.29. the improvements are within a half mile and were completed in September 2022.</v>
      </c>
      <c r="G16" s="3848"/>
      <c r="H16" s="3848"/>
      <c r="I16" s="3848"/>
      <c r="J16" s="3848"/>
      <c r="K16" s="3848"/>
      <c r="L16" s="3848"/>
      <c r="M16" s="3848"/>
      <c r="N16" s="3848"/>
      <c r="O16" s="3849"/>
      <c r="P16" s="2162"/>
      <c r="Q16" s="2163"/>
      <c r="R16" s="2163"/>
      <c r="S16" s="2163"/>
      <c r="T16" s="2163"/>
      <c r="U16" s="2163"/>
    </row>
    <row r="17" spans="1:35" s="2121" customFormat="1" ht="14.4" customHeight="1">
      <c r="A17" s="2151" t="s">
        <v>401</v>
      </c>
      <c r="B17" s="2166" t="s">
        <v>3396</v>
      </c>
      <c r="C17" s="2167"/>
      <c r="D17" s="2168"/>
      <c r="E17" s="2169" t="s">
        <v>1610</v>
      </c>
      <c r="F17" s="3911" t="str">
        <f>$A$147</f>
        <v>Applicant has agreed to partner with Helping Hands Ending Hunger INC. to create notable change in the community through the creation of a Community Transformation Plan. Applicant agrees to meet all requirements listed under subsections C. Community-Based Team Responsibilities and D. Planning for Community Transformation of this QAP section.</v>
      </c>
      <c r="G17" s="3912"/>
      <c r="H17" s="3912"/>
      <c r="I17" s="3912"/>
      <c r="J17" s="3912"/>
      <c r="K17" s="3912"/>
      <c r="L17" s="3912"/>
      <c r="M17" s="3912"/>
      <c r="N17" s="3912"/>
      <c r="O17" s="3913"/>
      <c r="P17" s="2162"/>
      <c r="Q17" s="2163"/>
      <c r="R17" s="2163"/>
      <c r="S17" s="2163"/>
      <c r="T17" s="2163"/>
      <c r="U17" s="2163"/>
    </row>
    <row r="18" spans="1:35" s="2121" customFormat="1" ht="14.4" customHeight="1">
      <c r="A18" s="2151" t="s">
        <v>342</v>
      </c>
      <c r="B18" s="2157" t="s">
        <v>4039</v>
      </c>
      <c r="C18" s="2158"/>
      <c r="D18" s="2159"/>
      <c r="E18" s="2170">
        <f>$O$152</f>
        <v>0</v>
      </c>
      <c r="F18" s="3847" t="str">
        <f>$A$165</f>
        <v>Not Applicable</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 customHeight="1">
      <c r="A19" s="2151" t="s">
        <v>4041</v>
      </c>
      <c r="B19" s="2157" t="s">
        <v>3262</v>
      </c>
      <c r="C19" s="2158"/>
      <c r="D19" s="2159"/>
      <c r="E19" s="2170">
        <f>$O$179</f>
        <v>0</v>
      </c>
      <c r="F19" s="3847" t="str">
        <f>$A$184</f>
        <v>Not Applicable</v>
      </c>
      <c r="G19" s="3848"/>
      <c r="H19" s="3848"/>
      <c r="I19" s="3848"/>
      <c r="J19" s="3848"/>
      <c r="K19" s="3848"/>
      <c r="L19" s="3848"/>
      <c r="M19" s="3848"/>
      <c r="N19" s="3848"/>
      <c r="O19" s="3849"/>
      <c r="P19" s="2162"/>
      <c r="Q19" s="3914"/>
      <c r="R19" s="3915"/>
      <c r="S19" s="3915"/>
    </row>
    <row r="20" spans="1:35" s="2121" customFormat="1" ht="14.4" customHeight="1">
      <c r="A20" s="2151" t="s">
        <v>4053</v>
      </c>
      <c r="B20" s="2157" t="s">
        <v>4042</v>
      </c>
      <c r="C20" s="2158"/>
      <c r="D20" s="2159"/>
      <c r="E20" s="2169">
        <f>$O$189</f>
        <v>0</v>
      </c>
      <c r="F20" s="3847" t="str">
        <f>$A$195</f>
        <v>Not Applicable</v>
      </c>
      <c r="G20" s="3848"/>
      <c r="H20" s="3848"/>
      <c r="I20" s="3848"/>
      <c r="J20" s="3848"/>
      <c r="K20" s="3848"/>
      <c r="L20" s="3848"/>
      <c r="M20" s="3848"/>
      <c r="N20" s="3848"/>
      <c r="O20" s="3849"/>
      <c r="P20" s="2162"/>
      <c r="Q20" s="3914"/>
      <c r="R20" s="3915"/>
      <c r="S20" s="3915"/>
    </row>
    <row r="21" spans="1:35" s="2121" customFormat="1" ht="14.4" customHeight="1">
      <c r="A21" s="2171" t="s">
        <v>6243</v>
      </c>
      <c r="B21" s="2166" t="s">
        <v>4043</v>
      </c>
      <c r="C21" s="2167"/>
      <c r="D21" s="2168"/>
      <c r="E21" s="2172">
        <f>$O$200</f>
        <v>5</v>
      </c>
      <c r="F21" s="3911" t="str">
        <f>$A$205</f>
        <v>Applicant is eligible for 5 points as there are no DCA awarded projects located in the jurisdiction of Clayton County. All previous projects awarded in Clayton County are currently located within the political jurisdictions of the City of Jonesboro, the City of Lovejoy or the City of Riverdale. The tax records for online reflect this.</v>
      </c>
      <c r="G21" s="3912"/>
      <c r="H21" s="3912"/>
      <c r="I21" s="3912"/>
      <c r="J21" s="3912"/>
      <c r="K21" s="3912"/>
      <c r="L21" s="3912"/>
      <c r="M21" s="3912"/>
      <c r="N21" s="3912"/>
      <c r="O21" s="3913"/>
      <c r="P21" s="2162"/>
      <c r="Q21" s="3914"/>
      <c r="R21" s="3915"/>
      <c r="S21" s="3915"/>
    </row>
    <row r="22" spans="1:35" s="2121" customFormat="1" ht="14.4" customHeight="1">
      <c r="A22" s="2151" t="s">
        <v>6637</v>
      </c>
      <c r="B22" s="2157" t="s">
        <v>6549</v>
      </c>
      <c r="C22" s="2158"/>
      <c r="D22" s="2159"/>
      <c r="E22" s="2170">
        <f>$O$223</f>
        <v>0</v>
      </c>
      <c r="F22" s="3847" t="str">
        <f>$A$228</f>
        <v>Not Applicable</v>
      </c>
      <c r="G22" s="3848"/>
      <c r="H22" s="3848"/>
      <c r="I22" s="3848"/>
      <c r="J22" s="3848"/>
      <c r="K22" s="3848"/>
      <c r="L22" s="3848"/>
      <c r="M22" s="3848"/>
      <c r="N22" s="3848"/>
      <c r="O22" s="3849"/>
      <c r="P22" s="2162"/>
      <c r="Q22" s="3914"/>
      <c r="R22" s="3915"/>
      <c r="S22" s="3915"/>
    </row>
    <row r="23" spans="1:35" s="2121" customFormat="1" ht="14.4" customHeight="1">
      <c r="A23" s="2151" t="s">
        <v>6639</v>
      </c>
      <c r="B23" s="2157" t="s">
        <v>6638</v>
      </c>
      <c r="C23" s="2158"/>
      <c r="D23" s="2159"/>
      <c r="E23" s="2170">
        <f>$O$233</f>
        <v>2</v>
      </c>
      <c r="F23" s="3847" t="str">
        <f>$A$248</f>
        <v>Applicant agrees to engage QB's in the development or operation of the proposed property in amounts equal to approximately 5% of total construction hard costs as certified by the Independent Auditor Report in the Final Allocation Application. Applicant will submit a report with Final Allocation Application describing these efforts and detailing sucesses, obstacles, and other notes pertaining to the Applicant's attempts to follow through on the commitment.</v>
      </c>
      <c r="G23" s="3848"/>
      <c r="H23" s="3848"/>
      <c r="I23" s="3848"/>
      <c r="J23" s="3848"/>
      <c r="K23" s="3848"/>
      <c r="L23" s="3848"/>
      <c r="M23" s="3848"/>
      <c r="N23" s="3848"/>
      <c r="O23" s="3849"/>
      <c r="P23" s="2162"/>
      <c r="Q23" s="3914"/>
      <c r="R23" s="3915"/>
      <c r="S23" s="3915"/>
    </row>
    <row r="24" spans="1:35" s="2121" customFormat="1" ht="14.4" customHeight="1">
      <c r="A24" s="2164" t="s">
        <v>3369</v>
      </c>
      <c r="B24" s="2173" t="s">
        <v>6555</v>
      </c>
      <c r="C24" s="2174"/>
      <c r="D24" s="2175"/>
      <c r="E24" s="2165">
        <f>$O$253</f>
        <v>2</v>
      </c>
      <c r="F24" s="3908" t="str">
        <f>$A$257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3909"/>
      <c r="H24" s="3909"/>
      <c r="I24" s="3909"/>
      <c r="J24" s="3909"/>
      <c r="K24" s="3909"/>
      <c r="L24" s="3909"/>
      <c r="M24" s="3909"/>
      <c r="N24" s="3909"/>
      <c r="O24" s="3910"/>
      <c r="P24" s="2162"/>
      <c r="Q24" s="3914"/>
      <c r="R24" s="3915"/>
      <c r="S24" s="3915"/>
    </row>
    <row r="25" spans="1:35" s="2121" customFormat="1" ht="14.4" customHeight="1">
      <c r="A25" s="2151" t="s">
        <v>3373</v>
      </c>
      <c r="B25" s="2157" t="s">
        <v>3397</v>
      </c>
      <c r="C25" s="2158"/>
      <c r="D25" s="2159"/>
      <c r="E25" s="2170">
        <f>$O$271</f>
        <v>0</v>
      </c>
      <c r="F25" s="3847" t="str">
        <f>$A$275</f>
        <v>Not Applicable</v>
      </c>
      <c r="G25" s="3848"/>
      <c r="H25" s="3848"/>
      <c r="I25" s="3848"/>
      <c r="J25" s="3848"/>
      <c r="K25" s="3848"/>
      <c r="L25" s="3848"/>
      <c r="M25" s="3848"/>
      <c r="N25" s="3848"/>
      <c r="O25" s="3849"/>
      <c r="P25" s="2162"/>
      <c r="Q25" s="3914"/>
      <c r="R25" s="3915"/>
      <c r="S25" s="3915"/>
    </row>
    <row r="26" spans="1:35" s="2121" customFormat="1" ht="14.4" customHeight="1">
      <c r="A26" s="2151" t="s">
        <v>3376</v>
      </c>
      <c r="B26" s="2157" t="s">
        <v>3398</v>
      </c>
      <c r="C26" s="2158"/>
      <c r="D26" s="2159"/>
      <c r="E26" s="2170">
        <f>$O$280</f>
        <v>0</v>
      </c>
      <c r="F26" s="3847" t="str">
        <f>$A$307</f>
        <v>Not Applicable</v>
      </c>
      <c r="G26" s="3848"/>
      <c r="H26" s="3848"/>
      <c r="I26" s="3848"/>
      <c r="J26" s="3848"/>
      <c r="K26" s="3848"/>
      <c r="L26" s="3848"/>
      <c r="M26" s="3848"/>
      <c r="N26" s="3848"/>
      <c r="O26" s="3849"/>
      <c r="P26" s="2162"/>
      <c r="Q26" s="3914"/>
      <c r="R26" s="3915"/>
      <c r="S26" s="3915"/>
    </row>
    <row r="27" spans="1:35" s="2121" customFormat="1" ht="14.4" customHeight="1">
      <c r="A27" s="2151" t="s">
        <v>3377</v>
      </c>
      <c r="B27" s="2157" t="s">
        <v>3399</v>
      </c>
      <c r="C27" s="2158"/>
      <c r="D27" s="2159"/>
      <c r="E27" s="2169">
        <f>$O$312</f>
        <v>0</v>
      </c>
      <c r="F27" s="3847" t="str">
        <f>$A$318</f>
        <v>Not Applicable</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 customHeight="1">
      <c r="A28" s="2177" t="s">
        <v>3379</v>
      </c>
      <c r="B28" s="2178" t="s">
        <v>6636</v>
      </c>
      <c r="C28" s="2179"/>
      <c r="D28" s="2180"/>
      <c r="E28" s="2181">
        <f>$O$332</f>
        <v>2</v>
      </c>
      <c r="F28" s="3850" t="str">
        <f>$A$340</f>
        <v>The Applicant has controlling interest in the General Partnership and has agreed to contract with DCA PBRA under a prior QAP. The property is only eligible for 2 points as Applicant has selected senior tenancy.</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6132</v>
      </c>
      <c r="C29" s="2158"/>
      <c r="D29" s="2159"/>
      <c r="E29" s="2170">
        <f>$O$345</f>
        <v>0</v>
      </c>
      <c r="F29" s="3847" t="str">
        <f>$A$347</f>
        <v>Not Applicable</v>
      </c>
      <c r="G29" s="3848"/>
      <c r="H29" s="3848"/>
      <c r="I29" s="3848"/>
      <c r="J29" s="3848"/>
      <c r="K29" s="3848"/>
      <c r="L29" s="3848"/>
      <c r="M29" s="3848"/>
      <c r="N29" s="3848"/>
      <c r="O29" s="3849"/>
      <c r="P29" s="2162"/>
      <c r="Q29" s="2176"/>
      <c r="R29" s="2118"/>
      <c r="S29" s="2118"/>
    </row>
    <row r="30" spans="1:35" s="2121" customFormat="1" ht="14.4" customHeight="1">
      <c r="A30" s="2151" t="s">
        <v>3803</v>
      </c>
      <c r="B30" s="2157" t="s">
        <v>6553</v>
      </c>
      <c r="C30" s="2158"/>
      <c r="D30" s="2159"/>
      <c r="E30" s="2170">
        <f>$O$358</f>
        <v>0</v>
      </c>
      <c r="F30" s="3847" t="str">
        <f>$A$360</f>
        <v>Not Applicable</v>
      </c>
      <c r="G30" s="3848"/>
      <c r="H30" s="3848"/>
      <c r="I30" s="3848"/>
      <c r="J30" s="3848"/>
      <c r="K30" s="3848"/>
      <c r="L30" s="3848"/>
      <c r="M30" s="3848"/>
      <c r="N30" s="3848"/>
      <c r="O30" s="3849"/>
      <c r="P30" s="2162"/>
      <c r="Q30" s="2176"/>
    </row>
    <row r="31" spans="1:35" s="2121" customFormat="1" ht="14.4" customHeight="1">
      <c r="A31" s="2151" t="s">
        <v>6556</v>
      </c>
      <c r="B31" s="2157" t="s">
        <v>6554</v>
      </c>
      <c r="C31" s="2158"/>
      <c r="D31" s="2159"/>
      <c r="E31" s="2170">
        <f>$O$365</f>
        <v>0</v>
      </c>
      <c r="F31" s="3847" t="str">
        <f>$A$369</f>
        <v>Not Applicable</v>
      </c>
      <c r="G31" s="3848"/>
      <c r="H31" s="3848"/>
      <c r="I31" s="3848"/>
      <c r="J31" s="3848"/>
      <c r="K31" s="3848"/>
      <c r="L31" s="3848"/>
      <c r="M31" s="3848"/>
      <c r="N31" s="3848"/>
      <c r="O31" s="3849"/>
      <c r="P31" s="2455"/>
      <c r="Q31" s="2176"/>
    </row>
    <row r="32" spans="1:35" s="2121" customFormat="1" ht="14.4" customHeight="1">
      <c r="A32" s="2456" t="s">
        <v>6916</v>
      </c>
      <c r="B32" s="2178" t="s">
        <v>6934</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6948</v>
      </c>
      <c r="B34" s="3891"/>
      <c r="C34" s="3891"/>
      <c r="D34" s="3891"/>
      <c r="E34" s="3874" t="str">
        <f>IF(OR((C36-A36&gt;0),(D36-A36&gt;0)),"Points Exceed Max!","")</f>
        <v/>
      </c>
      <c r="F34" s="4049" t="s">
        <v>6880</v>
      </c>
      <c r="G34" s="4050"/>
      <c r="H34" s="4050"/>
      <c r="I34" s="4051"/>
      <c r="J34" s="3855" t="s">
        <v>6140</v>
      </c>
      <c r="K34" s="3856"/>
      <c r="L34" s="3856"/>
      <c r="M34" s="3857"/>
      <c r="O34" s="4054" t="s">
        <v>6881</v>
      </c>
      <c r="P34" s="4054"/>
      <c r="Q34" s="2185"/>
    </row>
    <row r="35" spans="1:35" ht="13.5" customHeight="1">
      <c r="A35" s="3879" t="s">
        <v>6906</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6125</v>
      </c>
      <c r="G36" s="3922"/>
      <c r="H36" s="3922"/>
      <c r="I36" s="3923"/>
      <c r="J36" s="3861" t="s">
        <v>6101</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4">
      <c r="A43" s="2138"/>
      <c r="B43" s="2205" t="s">
        <v>1844</v>
      </c>
      <c r="C43" s="2121" t="s">
        <v>3808</v>
      </c>
      <c r="D43" s="2121"/>
      <c r="E43" s="2121"/>
      <c r="F43" s="2123"/>
      <c r="H43" s="2121"/>
      <c r="J43" s="2141"/>
      <c r="N43" s="2214"/>
      <c r="O43" s="2120"/>
      <c r="P43" s="2206">
        <f>F51</f>
        <v>0</v>
      </c>
    </row>
    <row r="44" spans="1:35" ht="14.4">
      <c r="A44" s="2138"/>
      <c r="B44" s="2205" t="s">
        <v>1846</v>
      </c>
      <c r="C44" s="2121" t="s">
        <v>6872</v>
      </c>
      <c r="D44" s="2121"/>
      <c r="E44" s="2121"/>
      <c r="F44" s="2123"/>
      <c r="H44" s="2121"/>
      <c r="J44" s="2141"/>
      <c r="N44" s="2214"/>
      <c r="O44" s="2120"/>
      <c r="P44" s="2207">
        <f>J51</f>
        <v>0</v>
      </c>
    </row>
    <row r="45" spans="1:35" ht="14.4">
      <c r="A45" s="2138"/>
      <c r="B45" s="2205" t="s">
        <v>2332</v>
      </c>
      <c r="C45" s="2121" t="s">
        <v>3807</v>
      </c>
      <c r="D45" s="2121"/>
      <c r="E45" s="2121"/>
      <c r="F45" s="2123"/>
      <c r="H45" s="2121"/>
      <c r="J45" s="2141"/>
      <c r="N45" s="2214"/>
      <c r="O45" s="2120"/>
      <c r="P45" s="2208"/>
    </row>
    <row r="46" spans="1:35">
      <c r="C46" s="3867" t="s">
        <v>6844</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6873</v>
      </c>
      <c r="B50" s="3870"/>
      <c r="C50" s="3870"/>
      <c r="D50" s="3870"/>
      <c r="E50" s="3870"/>
      <c r="F50" s="2216" t="s">
        <v>3179</v>
      </c>
      <c r="G50" s="3870" t="s">
        <v>6874</v>
      </c>
      <c r="H50" s="3870"/>
      <c r="I50" s="3870"/>
      <c r="J50" s="2216" t="s">
        <v>3179</v>
      </c>
      <c r="K50" s="3881" t="s">
        <v>6875</v>
      </c>
      <c r="L50" s="3881"/>
      <c r="M50" s="3881"/>
      <c r="N50" s="3881"/>
      <c r="O50" s="3885" t="s">
        <v>3179</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3818</v>
      </c>
      <c r="G67" s="2227"/>
      <c r="H67" s="2121"/>
      <c r="I67" s="2143"/>
      <c r="K67" s="2230"/>
      <c r="L67" s="2231"/>
      <c r="M67" s="2124"/>
      <c r="N67" s="2123"/>
      <c r="O67" s="2133"/>
      <c r="P67" s="2133"/>
      <c r="Q67" s="2203"/>
      <c r="R67" s="2232"/>
    </row>
    <row r="68" spans="1:19" s="2121" customFormat="1" ht="15.9" customHeight="1">
      <c r="A68" s="2138" t="s">
        <v>1841</v>
      </c>
      <c r="B68" s="2233" t="s">
        <v>6876</v>
      </c>
      <c r="C68" s="2255"/>
      <c r="D68" s="2255"/>
      <c r="E68" s="2255"/>
      <c r="F68" s="2255"/>
      <c r="G68" s="2120" t="s">
        <v>6646</v>
      </c>
      <c r="J68" s="2234" t="str">
        <f>'Part V-Revenues &amp; Expenses'!$O$53</f>
        <v>40% of Units at 60% of AMI</v>
      </c>
      <c r="L68" s="2255"/>
      <c r="M68" s="2124">
        <v>2</v>
      </c>
      <c r="N68" s="2214"/>
      <c r="O68" s="2236">
        <f>IF($F$36="New Supply",MIN($M68,O69+O70),0)</f>
        <v>2</v>
      </c>
      <c r="P68" s="2236">
        <f>IF($F$36="New Supply",MIN($M68,P69+P70),0)</f>
        <v>0</v>
      </c>
    </row>
    <row r="69" spans="1:19" s="2121" customFormat="1" ht="15.9" customHeight="1">
      <c r="A69" s="2138"/>
      <c r="B69" s="2332"/>
      <c r="C69" s="2237" t="s">
        <v>3813</v>
      </c>
      <c r="G69" s="2121" t="s">
        <v>3814</v>
      </c>
      <c r="I69" s="2238"/>
      <c r="J69" s="2239">
        <f>'Part V-Revenues &amp; Expenses'!$B$50</f>
        <v>58</v>
      </c>
      <c r="L69" s="2185"/>
      <c r="M69" s="2123">
        <v>2</v>
      </c>
      <c r="N69" s="2377"/>
      <c r="O69" s="2240"/>
      <c r="P69" s="2241"/>
      <c r="Q69" s="2242" t="str">
        <f>IF(OR($O69=$M69,$O69=0,$O69=""),"","*CHECK!*")</f>
        <v/>
      </c>
      <c r="R69" s="2305"/>
    </row>
    <row r="70" spans="1:19" s="2121" customFormat="1" ht="15.9" customHeight="1">
      <c r="A70" s="2235"/>
      <c r="B70" s="2332"/>
      <c r="C70" s="2237" t="s">
        <v>3815</v>
      </c>
      <c r="I70" s="2238"/>
      <c r="K70" s="2185"/>
      <c r="L70" s="2185"/>
      <c r="M70" s="2123">
        <v>2</v>
      </c>
      <c r="N70" s="2377"/>
      <c r="O70" s="2243">
        <v>2</v>
      </c>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1843</v>
      </c>
      <c r="B79" s="2131" t="s">
        <v>3280</v>
      </c>
      <c r="H79" s="2254"/>
      <c r="I79" s="2118"/>
      <c r="J79" s="2118"/>
      <c r="K79" s="2118"/>
      <c r="L79" s="2118"/>
      <c r="M79" s="2123" t="s">
        <v>1164</v>
      </c>
      <c r="N79" s="2254"/>
      <c r="O79" s="2414">
        <v>0</v>
      </c>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74.400000000000006" customHeight="1" thickTop="1" thickBot="1">
      <c r="A81" s="3931" t="s">
        <v>7109</v>
      </c>
      <c r="B81" s="3932"/>
      <c r="C81" s="3932"/>
      <c r="D81" s="3932"/>
      <c r="E81" s="3932"/>
      <c r="F81" s="3932"/>
      <c r="G81" s="3932"/>
      <c r="H81" s="3932"/>
      <c r="I81" s="3932"/>
      <c r="J81" s="3932"/>
      <c r="K81" s="3932"/>
      <c r="L81" s="3932"/>
      <c r="M81" s="3932"/>
      <c r="N81" s="3932"/>
      <c r="O81" s="3932"/>
      <c r="P81" s="3933"/>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4</v>
      </c>
      <c r="P86" s="2266">
        <f>IF($F$36="New Supply",MAX(P94,P97),0)</f>
        <v>0</v>
      </c>
      <c r="Q86" s="2203" t="s">
        <v>416</v>
      </c>
      <c r="R86" s="2267"/>
      <c r="S86" s="2271" t="s">
        <v>6264</v>
      </c>
      <c r="T86" s="2271" t="s">
        <v>6145</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3934" t="s">
        <v>3216</v>
      </c>
      <c r="G88" s="3934"/>
      <c r="H88" s="3934"/>
      <c r="I88" s="3934"/>
      <c r="J88" s="3934" t="s">
        <v>3217</v>
      </c>
      <c r="K88" s="3934"/>
      <c r="L88" s="3934"/>
      <c r="M88" s="3934"/>
      <c r="N88" s="2254"/>
      <c r="O88" s="4093" t="s">
        <v>6846</v>
      </c>
      <c r="P88" s="4093"/>
      <c r="R88" s="2157"/>
      <c r="S88" s="2275">
        <v>0.5</v>
      </c>
      <c r="T88" s="2275">
        <v>4.5</v>
      </c>
      <c r="U88" s="2267"/>
    </row>
    <row r="89" spans="1:21" ht="15.9" customHeight="1">
      <c r="B89" s="2272"/>
      <c r="C89" s="2420" t="s">
        <v>6847</v>
      </c>
      <c r="F89" s="3942">
        <v>33.535499999999999</v>
      </c>
      <c r="G89" s="3943"/>
      <c r="H89" s="3944"/>
      <c r="I89" s="3945"/>
      <c r="J89" s="3942">
        <v>-84.368314999999996</v>
      </c>
      <c r="K89" s="3943"/>
      <c r="L89" s="3944"/>
      <c r="M89" s="3945"/>
      <c r="N89" s="2120"/>
      <c r="O89" s="4094"/>
      <c r="P89" s="4094"/>
      <c r="R89" s="2274" t="s">
        <v>6670</v>
      </c>
      <c r="S89" s="2280">
        <v>1</v>
      </c>
      <c r="T89" s="2280">
        <v>4</v>
      </c>
      <c r="U89" s="2267"/>
    </row>
    <row r="90" spans="1:21" ht="15.9" customHeight="1">
      <c r="A90" s="2272"/>
      <c r="B90" s="2158"/>
      <c r="C90" s="2420" t="s">
        <v>6848</v>
      </c>
      <c r="F90" s="3953">
        <v>33.528007000000002</v>
      </c>
      <c r="G90" s="3954"/>
      <c r="H90" s="3955"/>
      <c r="I90" s="3956"/>
      <c r="J90" s="3953">
        <v>-84.363426000000004</v>
      </c>
      <c r="K90" s="3954"/>
      <c r="L90" s="3955"/>
      <c r="M90" s="3956"/>
      <c r="N90" s="2254"/>
      <c r="O90" s="2276">
        <v>0.7</v>
      </c>
      <c r="P90" s="2277"/>
      <c r="R90" s="2278"/>
      <c r="S90" s="2281">
        <v>0.25</v>
      </c>
      <c r="T90" s="2281">
        <v>3</v>
      </c>
      <c r="U90" s="2267"/>
    </row>
    <row r="91" spans="1:21" ht="15.9" customHeight="1">
      <c r="A91" s="2158"/>
      <c r="B91" s="3951" t="s">
        <v>6885</v>
      </c>
      <c r="C91" s="3951"/>
      <c r="D91" s="3951"/>
      <c r="E91" s="3951"/>
      <c r="F91" s="2139" t="s">
        <v>6849</v>
      </c>
      <c r="G91" s="3927" t="s">
        <v>1672</v>
      </c>
      <c r="H91" s="3927"/>
      <c r="I91" s="3927"/>
      <c r="J91" s="3927" t="s">
        <v>6882</v>
      </c>
      <c r="K91" s="3927"/>
      <c r="L91" s="3927"/>
      <c r="M91" s="3927"/>
      <c r="N91" s="3927"/>
      <c r="O91" s="3927"/>
      <c r="P91" s="3927"/>
      <c r="R91" s="2279"/>
      <c r="S91" s="2275">
        <v>0.5</v>
      </c>
      <c r="T91" s="2275">
        <v>2</v>
      </c>
      <c r="U91" s="2267"/>
    </row>
    <row r="92" spans="1:21" ht="15.9" customHeight="1">
      <c r="A92" s="2158"/>
      <c r="B92" s="4058" t="s">
        <v>7047</v>
      </c>
      <c r="C92" s="4058"/>
      <c r="D92" s="4058"/>
      <c r="E92" s="4058"/>
      <c r="F92" s="2416">
        <v>4048485000</v>
      </c>
      <c r="G92" s="3952" t="s">
        <v>7049</v>
      </c>
      <c r="H92" s="3952"/>
      <c r="I92" s="3952"/>
      <c r="J92" s="3952" t="s">
        <v>7048</v>
      </c>
      <c r="K92" s="3952"/>
      <c r="L92" s="3952"/>
      <c r="M92" s="3952"/>
      <c r="N92" s="3952"/>
      <c r="O92" s="3952"/>
      <c r="P92" s="3952"/>
      <c r="R92" s="2274" t="s">
        <v>6671</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3238</v>
      </c>
      <c r="F94" s="2260"/>
      <c r="M94" s="2124">
        <v>6</v>
      </c>
      <c r="N94" s="2214"/>
      <c r="O94" s="2284">
        <f>IF(OR($J$36="Atlanta Metro",$J$36="Other Metro"),MIN($M94,O95+O96),0)</f>
        <v>4</v>
      </c>
      <c r="P94" s="2284">
        <f>IF(OR($J$36="Atlanta Metro",$J$36="Other Metro"),MIN($M94,P95+P96),0)</f>
        <v>0</v>
      </c>
      <c r="Q94" s="2203"/>
    </row>
    <row r="95" spans="1:21" s="2157" customFormat="1" ht="32.1" customHeight="1">
      <c r="B95" s="2285" t="s">
        <v>1844</v>
      </c>
      <c r="C95" s="3848" t="s">
        <v>6877</v>
      </c>
      <c r="D95" s="3848"/>
      <c r="E95" s="3848"/>
      <c r="F95" s="3848"/>
      <c r="G95" s="3848"/>
      <c r="H95" s="3848"/>
      <c r="I95" s="3848"/>
      <c r="J95" s="3848"/>
      <c r="K95" s="3848"/>
      <c r="L95" s="3848"/>
      <c r="M95" s="2286">
        <v>6</v>
      </c>
      <c r="N95" s="2413"/>
      <c r="O95" s="2287"/>
      <c r="P95" s="2288"/>
      <c r="S95" s="2305"/>
    </row>
    <row r="96" spans="1:21" s="2157" customFormat="1" ht="15.9" customHeight="1">
      <c r="A96" s="2210" t="s">
        <v>1275</v>
      </c>
      <c r="B96" s="2285" t="s">
        <v>1846</v>
      </c>
      <c r="C96" s="2121" t="s">
        <v>6878</v>
      </c>
      <c r="D96" s="2121"/>
      <c r="E96" s="2121"/>
      <c r="F96" s="2121"/>
      <c r="G96" s="2121"/>
      <c r="H96" s="2121"/>
      <c r="I96" s="2121"/>
      <c r="J96" s="3915"/>
      <c r="K96" s="3915"/>
      <c r="L96" s="3915"/>
      <c r="M96" s="2123">
        <v>5</v>
      </c>
      <c r="N96" s="2144"/>
      <c r="O96" s="2258">
        <v>4</v>
      </c>
      <c r="P96" s="2259"/>
    </row>
    <row r="97" spans="1:21" s="2157" customFormat="1" ht="15.9"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6883</v>
      </c>
      <c r="D100" s="3848"/>
      <c r="E100" s="3848"/>
      <c r="F100" s="3848"/>
      <c r="G100" s="3848"/>
      <c r="H100" s="3848"/>
      <c r="I100" s="3848"/>
      <c r="J100" s="3848"/>
      <c r="K100" s="3848"/>
      <c r="L100" s="3848"/>
      <c r="M100" s="2286">
        <v>2</v>
      </c>
      <c r="N100" s="2413"/>
      <c r="O100" s="2418"/>
      <c r="P100" s="2419"/>
    </row>
    <row r="101" spans="1:21" ht="15.9" customHeight="1" thickBot="1">
      <c r="A101" s="2121"/>
      <c r="B101" s="2260" t="s">
        <v>3241</v>
      </c>
      <c r="C101" s="2121"/>
      <c r="D101" s="2121"/>
      <c r="E101" s="2121"/>
      <c r="F101" s="2121"/>
      <c r="G101" s="2121"/>
      <c r="H101" s="2121"/>
      <c r="K101" s="2121"/>
      <c r="M101" s="2123"/>
      <c r="O101" s="2133"/>
    </row>
    <row r="102" spans="1:21" ht="31.5" customHeight="1" thickTop="1" thickBot="1">
      <c r="A102" s="3931" t="s">
        <v>7073</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 customHeight="1" thickBot="1">
      <c r="A106" s="2142" t="s">
        <v>720</v>
      </c>
      <c r="B106" s="2143" t="s">
        <v>6149</v>
      </c>
      <c r="C106" s="2161"/>
      <c r="D106" s="2161"/>
      <c r="E106" s="2161"/>
      <c r="G106" s="2124"/>
      <c r="H106" s="2305"/>
      <c r="M106" s="2124">
        <v>3</v>
      </c>
      <c r="N106" s="2250"/>
      <c r="O106" s="2446">
        <v>1</v>
      </c>
      <c r="P106" s="2447"/>
      <c r="Q106" s="2242" t="str">
        <f>IF(OR($O106&lt;=$M106,$O106=0,$O106=""),"","*CHECK!*")</f>
        <v/>
      </c>
      <c r="R106" s="2303" t="s">
        <v>416</v>
      </c>
      <c r="S106" s="2305"/>
    </row>
    <row r="107" spans="1:21" ht="23.25" customHeight="1">
      <c r="B107" s="2434"/>
      <c r="C107" s="2434"/>
      <c r="D107" s="2434"/>
      <c r="E107" s="2433"/>
      <c r="F107" s="3964" t="s">
        <v>6908</v>
      </c>
      <c r="G107" s="3964"/>
      <c r="H107" s="3964" t="s">
        <v>6909</v>
      </c>
      <c r="I107" s="3964"/>
      <c r="J107" s="3966" t="s">
        <v>6935</v>
      </c>
      <c r="K107" s="3967"/>
      <c r="L107" s="4095" t="s">
        <v>6888</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 customHeight="1">
      <c r="B109" s="2435" t="s">
        <v>6630</v>
      </c>
      <c r="C109" s="2436"/>
      <c r="D109" s="2433"/>
      <c r="E109" s="2433"/>
      <c r="F109" s="3965"/>
      <c r="G109" s="3965"/>
      <c r="H109" s="3965"/>
      <c r="I109" s="3965"/>
      <c r="J109" s="3970"/>
      <c r="K109" s="3971"/>
      <c r="L109" s="3965"/>
      <c r="M109" s="3965"/>
      <c r="N109" s="3965"/>
      <c r="O109" s="4097"/>
      <c r="P109" s="2304"/>
    </row>
    <row r="110" spans="1:21" ht="15.9" customHeight="1">
      <c r="B110" s="3957" t="s">
        <v>7050</v>
      </c>
      <c r="C110" s="3958"/>
      <c r="D110" s="3958"/>
      <c r="E110" s="3959"/>
      <c r="F110" s="3960" t="s">
        <v>2652</v>
      </c>
      <c r="G110" s="3961"/>
      <c r="H110" s="3960" t="s">
        <v>2649</v>
      </c>
      <c r="I110" s="3961"/>
      <c r="J110" s="3962" t="s">
        <v>2649</v>
      </c>
      <c r="K110" s="3963"/>
      <c r="L110" s="3962" t="s">
        <v>2649</v>
      </c>
      <c r="M110" s="4092"/>
      <c r="N110" s="4092"/>
      <c r="O110" s="3963"/>
      <c r="P110" s="2257"/>
    </row>
    <row r="111" spans="1:21" ht="15.9" customHeight="1">
      <c r="B111" s="3972" t="s">
        <v>7051</v>
      </c>
      <c r="C111" s="3973"/>
      <c r="D111" s="3973"/>
      <c r="E111" s="3974"/>
      <c r="F111" s="3975" t="s">
        <v>2652</v>
      </c>
      <c r="G111" s="3976"/>
      <c r="H111" s="3975" t="s">
        <v>2652</v>
      </c>
      <c r="I111" s="3976"/>
      <c r="J111" s="3977" t="s">
        <v>2652</v>
      </c>
      <c r="K111" s="3978"/>
      <c r="L111" s="3977" t="s">
        <v>2652</v>
      </c>
      <c r="M111" s="4091"/>
      <c r="N111" s="4091"/>
      <c r="O111" s="3978"/>
      <c r="P111" s="2270"/>
    </row>
    <row r="112" spans="1:21" ht="15.9" customHeight="1">
      <c r="B112" s="3972" t="s">
        <v>7052</v>
      </c>
      <c r="C112" s="3973"/>
      <c r="D112" s="3973"/>
      <c r="E112" s="3974"/>
      <c r="F112" s="3975" t="s">
        <v>2652</v>
      </c>
      <c r="G112" s="3976"/>
      <c r="H112" s="3975" t="s">
        <v>2652</v>
      </c>
      <c r="I112" s="3976"/>
      <c r="J112" s="3977" t="s">
        <v>2652</v>
      </c>
      <c r="K112" s="3978"/>
      <c r="L112" s="3977" t="s">
        <v>2649</v>
      </c>
      <c r="M112" s="4091"/>
      <c r="N112" s="4091"/>
      <c r="O112" s="3978"/>
      <c r="P112" s="2270"/>
    </row>
    <row r="113" spans="1:21" ht="15.9" customHeight="1">
      <c r="B113" s="3972"/>
      <c r="C113" s="3973"/>
      <c r="D113" s="3973"/>
      <c r="E113" s="3974"/>
      <c r="F113" s="3975"/>
      <c r="G113" s="3976"/>
      <c r="H113" s="3975"/>
      <c r="I113" s="3976"/>
      <c r="J113" s="3977"/>
      <c r="K113" s="3978"/>
      <c r="L113" s="3977"/>
      <c r="M113" s="4091"/>
      <c r="N113" s="4091"/>
      <c r="O113" s="3978"/>
      <c r="P113" s="2270"/>
    </row>
    <row r="114" spans="1:21" ht="15.9" customHeight="1">
      <c r="B114" s="3972"/>
      <c r="C114" s="3973"/>
      <c r="D114" s="3973"/>
      <c r="E114" s="3974"/>
      <c r="F114" s="3975"/>
      <c r="G114" s="3976"/>
      <c r="H114" s="3975"/>
      <c r="I114" s="3976"/>
      <c r="J114" s="3977"/>
      <c r="K114" s="3978"/>
      <c r="L114" s="3977"/>
      <c r="M114" s="4091"/>
      <c r="N114" s="4091"/>
      <c r="O114" s="3978"/>
      <c r="P114" s="2270"/>
    </row>
    <row r="115" spans="1:21" ht="15.9" customHeight="1">
      <c r="B115" s="3979"/>
      <c r="C115" s="3980"/>
      <c r="D115" s="3980"/>
      <c r="E115" s="3981"/>
      <c r="F115" s="3982"/>
      <c r="G115" s="3983"/>
      <c r="H115" s="3982"/>
      <c r="I115" s="3983"/>
      <c r="J115" s="3984"/>
      <c r="K115" s="3985"/>
      <c r="L115" s="3984"/>
      <c r="M115" s="3986"/>
      <c r="N115" s="3986"/>
      <c r="O115" s="3985"/>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46.5" customHeight="1" thickTop="1" thickBot="1">
      <c r="A117" s="3931" t="s">
        <v>7074</v>
      </c>
      <c r="B117" s="3932"/>
      <c r="C117" s="3932"/>
      <c r="D117" s="3932"/>
      <c r="E117" s="3932"/>
      <c r="F117" s="3932"/>
      <c r="G117" s="3932"/>
      <c r="H117" s="3932"/>
      <c r="I117" s="3932"/>
      <c r="J117" s="3932"/>
      <c r="K117" s="3932"/>
      <c r="L117" s="3932"/>
      <c r="M117" s="3932"/>
      <c r="N117" s="3932"/>
      <c r="O117" s="3932"/>
      <c r="P117" s="3933"/>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6886</v>
      </c>
      <c r="D125" s="2157"/>
      <c r="E125" s="2157"/>
      <c r="F125" s="2157"/>
      <c r="G125" s="2157"/>
      <c r="H125" s="2157"/>
      <c r="I125" s="2157"/>
      <c r="J125" s="2157"/>
      <c r="K125" s="2157"/>
      <c r="L125" s="2310"/>
      <c r="M125" s="3957">
        <v>5</v>
      </c>
      <c r="N125" s="3958"/>
      <c r="O125" s="3958"/>
      <c r="P125" s="3959"/>
      <c r="S125" s="2118"/>
      <c r="T125" s="2118"/>
      <c r="U125" s="2118"/>
    </row>
    <row r="126" spans="1:21" s="2121" customFormat="1" ht="15.9" customHeight="1">
      <c r="B126" s="2254"/>
      <c r="C126" s="2121" t="s">
        <v>6852</v>
      </c>
      <c r="L126" s="2254"/>
      <c r="M126" s="3972">
        <v>4</v>
      </c>
      <c r="N126" s="3973"/>
      <c r="O126" s="3973"/>
      <c r="P126" s="3974"/>
      <c r="S126" s="2118"/>
      <c r="T126" s="2118"/>
      <c r="U126" s="2118"/>
    </row>
    <row r="127" spans="1:21" s="2121" customFormat="1" ht="15.9" customHeight="1">
      <c r="B127" s="2254"/>
      <c r="C127" s="2121" t="s">
        <v>6853</v>
      </c>
      <c r="L127" s="2254"/>
      <c r="M127" s="3972">
        <v>6</v>
      </c>
      <c r="N127" s="3973"/>
      <c r="O127" s="3973"/>
      <c r="P127" s="3974"/>
      <c r="Q127" s="2312">
        <f>IF(K127="Yes",1,0)</f>
        <v>0</v>
      </c>
      <c r="S127" s="2118"/>
      <c r="T127" s="2118"/>
      <c r="U127" s="2118"/>
    </row>
    <row r="128" spans="1:21" s="2121" customFormat="1" ht="15.9" customHeight="1">
      <c r="A128" s="2254"/>
      <c r="B128" s="2254"/>
      <c r="C128" s="2121" t="s">
        <v>6854</v>
      </c>
      <c r="L128" s="2254"/>
      <c r="M128" s="3972">
        <v>37</v>
      </c>
      <c r="N128" s="3973"/>
      <c r="O128" s="3973"/>
      <c r="P128" s="3974"/>
      <c r="Q128" s="2312">
        <f>IF(K128="Yes",1,0)</f>
        <v>0</v>
      </c>
      <c r="S128" s="2118"/>
      <c r="T128" s="2118"/>
      <c r="U128" s="2118"/>
    </row>
    <row r="129" spans="1:22" s="2121" customFormat="1" ht="27" customHeight="1">
      <c r="A129" s="2254"/>
      <c r="B129" s="2254"/>
      <c r="C129" s="2121" t="s">
        <v>6891</v>
      </c>
      <c r="L129" s="2254"/>
      <c r="M129" s="3979" t="s">
        <v>7078</v>
      </c>
      <c r="N129" s="3980"/>
      <c r="O129" s="3980"/>
      <c r="P129" s="3981"/>
      <c r="Q129" s="2312"/>
      <c r="S129" s="2118"/>
      <c r="T129" s="2118"/>
      <c r="U129" s="2118"/>
      <c r="V129" s="2312"/>
    </row>
    <row r="130" spans="1:22" ht="15.9"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8" t="s">
        <v>6855</v>
      </c>
      <c r="D132" s="3848"/>
      <c r="E132" s="3848"/>
      <c r="F132" s="3848"/>
      <c r="G132" s="3848"/>
      <c r="H132" s="3848"/>
      <c r="I132" s="3848"/>
      <c r="J132" s="3848"/>
      <c r="K132" s="3848"/>
      <c r="L132" s="3848"/>
      <c r="M132" s="2286">
        <v>1</v>
      </c>
      <c r="N132" s="2310"/>
      <c r="O132" s="2314">
        <v>1</v>
      </c>
      <c r="P132" s="2315"/>
      <c r="Q132" s="2242" t="str">
        <f>IF(OR($O132=$M132,$O132=0,$O132=""),"","*CHECK!*")</f>
        <v/>
      </c>
      <c r="R132" s="2305"/>
    </row>
    <row r="133" spans="1:22" ht="30.75" customHeight="1">
      <c r="A133" s="2235"/>
      <c r="B133" s="2310"/>
      <c r="C133" s="3848" t="s">
        <v>6899</v>
      </c>
      <c r="D133" s="3848"/>
      <c r="E133" s="3848"/>
      <c r="F133" s="3848"/>
      <c r="G133" s="3848"/>
      <c r="H133" s="3848"/>
      <c r="I133" s="3848"/>
      <c r="J133" s="3848"/>
      <c r="K133" s="3848"/>
      <c r="L133" s="3848"/>
      <c r="M133" s="2286">
        <v>1</v>
      </c>
      <c r="N133" s="2310"/>
      <c r="O133" s="2316">
        <v>1</v>
      </c>
      <c r="P133" s="2317"/>
      <c r="Q133" s="2242" t="str">
        <f>IF(OR($O133=$M133,$O133=0,$O133=""),"","*CHECK!*")</f>
        <v/>
      </c>
      <c r="R133" s="2305"/>
    </row>
    <row r="134" spans="1:22" ht="15.9" customHeight="1">
      <c r="A134" s="2235"/>
      <c r="B134" s="2230"/>
      <c r="C134" s="2120" t="s">
        <v>6856</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 customHeight="1">
      <c r="A135" s="2138" t="s">
        <v>1843</v>
      </c>
      <c r="B135" s="2131" t="s">
        <v>3822</v>
      </c>
      <c r="D135" s="2121"/>
      <c r="F135" s="2318"/>
      <c r="K135" s="2319"/>
      <c r="L135" s="2232" t="str">
        <f>IF(OR($O135=$M135,$O135=0,$O135=1,$O135=""),"","* * Check Score! * *")</f>
        <v/>
      </c>
      <c r="M135" s="2123">
        <v>2</v>
      </c>
      <c r="N135" s="2254"/>
      <c r="O135" s="2414">
        <v>2</v>
      </c>
      <c r="P135" s="2415"/>
      <c r="Q135" s="2320"/>
      <c r="R135" s="2305"/>
    </row>
    <row r="136" spans="1:22" s="2121" customFormat="1" ht="15.9" customHeight="1" thickBot="1">
      <c r="B136" s="2260" t="s">
        <v>3241</v>
      </c>
      <c r="M136" s="2123"/>
      <c r="N136" s="2123"/>
      <c r="O136" s="2133"/>
      <c r="P136" s="2124"/>
    </row>
    <row r="137" spans="1:22" ht="81.75" customHeight="1" thickTop="1" thickBot="1">
      <c r="A137" s="3931" t="s">
        <v>7082</v>
      </c>
      <c r="B137" s="3932"/>
      <c r="C137" s="3932"/>
      <c r="D137" s="3932"/>
      <c r="E137" s="3932"/>
      <c r="F137" s="3932"/>
      <c r="G137" s="3932"/>
      <c r="H137" s="3932"/>
      <c r="I137" s="3932"/>
      <c r="J137" s="3932"/>
      <c r="K137" s="3932"/>
      <c r="L137" s="3932"/>
      <c r="M137" s="3932"/>
      <c r="N137" s="3932"/>
      <c r="O137" s="3932"/>
      <c r="P137" s="3933"/>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6253</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t="s">
        <v>2649</v>
      </c>
      <c r="P144" s="2257"/>
      <c r="Q144" s="2203"/>
      <c r="R144" s="2118"/>
      <c r="S144" s="2118"/>
      <c r="T144" s="2118"/>
      <c r="U144" s="2118"/>
    </row>
    <row r="145" spans="1:27" ht="33.9" customHeight="1">
      <c r="A145" s="2142"/>
      <c r="B145" s="3987" t="s">
        <v>6898</v>
      </c>
      <c r="C145" s="3987"/>
      <c r="D145" s="3987"/>
      <c r="E145" s="3987"/>
      <c r="F145" s="3987"/>
      <c r="G145" s="3987"/>
      <c r="H145" s="3987"/>
      <c r="I145" s="3987"/>
      <c r="J145" s="3987"/>
      <c r="K145" s="3987"/>
      <c r="L145" s="3987"/>
      <c r="M145" s="3987"/>
      <c r="N145" s="2124"/>
      <c r="O145" s="2325" t="s">
        <v>2649</v>
      </c>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48" customHeight="1" thickTop="1" thickBot="1">
      <c r="A147" s="3931" t="s">
        <v>7083</v>
      </c>
      <c r="B147" s="3932"/>
      <c r="C147" s="3932"/>
      <c r="D147" s="3932"/>
      <c r="E147" s="3932"/>
      <c r="F147" s="3932"/>
      <c r="G147" s="3932"/>
      <c r="H147" s="3932"/>
      <c r="I147" s="3932"/>
      <c r="J147" s="3932"/>
      <c r="K147" s="3932"/>
      <c r="L147" s="3932"/>
      <c r="M147" s="3932"/>
      <c r="N147" s="3932"/>
      <c r="O147" s="3932"/>
      <c r="P147" s="3933"/>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6255</v>
      </c>
      <c r="D154" s="2121"/>
      <c r="E154" s="2143"/>
      <c r="F154" s="2143"/>
      <c r="G154" s="2121"/>
      <c r="H154" s="2121"/>
      <c r="I154" s="2121"/>
      <c r="J154" s="3994" t="s">
        <v>3205</v>
      </c>
      <c r="K154" s="3995"/>
      <c r="L154" s="3996" t="s">
        <v>3205</v>
      </c>
      <c r="M154" s="3997"/>
      <c r="N154" s="2123"/>
      <c r="R154" s="2203"/>
      <c r="S154" s="2121"/>
    </row>
    <row r="155" spans="1:27" ht="15.9" customHeight="1">
      <c r="C155" s="2331" t="s">
        <v>6892</v>
      </c>
      <c r="J155" s="3998"/>
      <c r="K155" s="3999"/>
      <c r="L155" s="3999"/>
      <c r="M155" s="400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 customHeight="1">
      <c r="C158" s="2333" t="s">
        <v>6220</v>
      </c>
      <c r="E158" s="4001" t="s">
        <v>6219</v>
      </c>
      <c r="F158" s="4001"/>
      <c r="G158" s="4001"/>
      <c r="H158" s="4001"/>
      <c r="I158" s="2139" t="s">
        <v>6893</v>
      </c>
      <c r="J158" s="4001" t="s">
        <v>6219</v>
      </c>
      <c r="K158" s="4001"/>
      <c r="L158" s="4001"/>
      <c r="M158" s="4001"/>
      <c r="N158" s="2120"/>
      <c r="O158" s="2120"/>
      <c r="P158" s="2120"/>
    </row>
    <row r="159" spans="1:27" ht="15.9" customHeight="1">
      <c r="C159" s="2121" t="s">
        <v>6218</v>
      </c>
      <c r="E159" s="3988"/>
      <c r="F159" s="3989"/>
      <c r="G159" s="3989"/>
      <c r="H159" s="3990"/>
      <c r="I159" s="2441"/>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 customHeight="1">
      <c r="B160" s="2227"/>
      <c r="C160" s="2121" t="s">
        <v>6215</v>
      </c>
      <c r="E160" s="3988"/>
      <c r="F160" s="3989"/>
      <c r="G160" s="3989"/>
      <c r="H160" s="3990"/>
      <c r="I160" s="2442"/>
      <c r="J160" s="3991"/>
      <c r="K160" s="3992"/>
      <c r="L160" s="3992"/>
      <c r="M160" s="3993"/>
      <c r="N160" s="2120"/>
      <c r="Q160" s="2132"/>
      <c r="R160" s="2132"/>
      <c r="S160" s="2132"/>
      <c r="T160" s="2132"/>
      <c r="U160" s="2132"/>
      <c r="V160" s="2132"/>
      <c r="W160" s="2132"/>
      <c r="X160" s="2132"/>
      <c r="Y160" s="2132"/>
      <c r="Z160" s="2132"/>
      <c r="AA160" s="2334"/>
    </row>
    <row r="161" spans="1:27" ht="15.9" customHeight="1">
      <c r="C161" s="2121" t="s">
        <v>6216</v>
      </c>
      <c r="E161" s="4004"/>
      <c r="F161" s="4005"/>
      <c r="G161" s="4005"/>
      <c r="H161" s="4006"/>
      <c r="I161" s="2443"/>
      <c r="J161" s="4007"/>
      <c r="K161" s="4008"/>
      <c r="L161" s="4008"/>
      <c r="M161" s="4009"/>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15.9" customHeight="1" thickTop="1" thickBot="1">
      <c r="A165" s="3931" t="s">
        <v>7053</v>
      </c>
      <c r="B165" s="3932"/>
      <c r="C165" s="3932"/>
      <c r="D165" s="3932"/>
      <c r="E165" s="3932"/>
      <c r="F165" s="3932"/>
      <c r="G165" s="3932"/>
      <c r="H165" s="3932"/>
      <c r="I165" s="3932"/>
      <c r="J165" s="3932"/>
      <c r="K165" s="3932"/>
      <c r="L165" s="3932"/>
      <c r="M165" s="3932"/>
      <c r="N165" s="3932"/>
      <c r="O165" s="3932"/>
      <c r="P165" s="3933"/>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4035</v>
      </c>
      <c r="G171" s="2123" t="s">
        <v>3153</v>
      </c>
      <c r="H171" s="2339">
        <f>IF('Part V-Revenues &amp; Expenses'!$P$67=0,0,'Part V-Revenues &amp; Expenses'!$P$64/'Part V-Revenues &amp; Expenses'!$P$67)</f>
        <v>0.1</v>
      </c>
      <c r="K171" s="4010" t="str">
        <f>'Part V-Revenues &amp; Expenses'!$O$53</f>
        <v>40% of Units at 60% of AMI</v>
      </c>
      <c r="L171" s="401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3958</v>
      </c>
      <c r="M172" s="2123">
        <v>1</v>
      </c>
      <c r="N172" s="2254"/>
      <c r="O172" s="2314">
        <v>1</v>
      </c>
      <c r="P172" s="2315"/>
      <c r="Q172" s="2320" t="str">
        <f>IF(OR($O172=$M172,$O172=0,$O172=""),"","*CHECK!*")</f>
        <v/>
      </c>
      <c r="R172" s="2305"/>
    </row>
    <row r="173" spans="1:27" ht="15.9" customHeight="1">
      <c r="A173" s="2124" t="s">
        <v>1843</v>
      </c>
      <c r="B173" s="2227" t="s">
        <v>3813</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3263</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3264</v>
      </c>
      <c r="D182" s="2184"/>
      <c r="L182" s="2184"/>
      <c r="M182" s="4002"/>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1" t="s">
        <v>7053</v>
      </c>
      <c r="B184" s="3932"/>
      <c r="C184" s="3932"/>
      <c r="D184" s="3932"/>
      <c r="E184" s="3932"/>
      <c r="F184" s="3932"/>
      <c r="G184" s="3932"/>
      <c r="H184" s="3932"/>
      <c r="I184" s="3932"/>
      <c r="J184" s="3932"/>
      <c r="K184" s="3932"/>
      <c r="L184" s="3932"/>
      <c r="M184" s="3932"/>
      <c r="N184" s="3932"/>
      <c r="O184" s="3932"/>
      <c r="P184" s="3933"/>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6257</v>
      </c>
      <c r="C190" s="2157"/>
      <c r="D190" s="2157"/>
      <c r="E190" s="2157"/>
      <c r="F190" s="2157"/>
      <c r="G190" s="2139" t="s">
        <v>6857</v>
      </c>
      <c r="H190" s="3891" t="s">
        <v>574</v>
      </c>
      <c r="I190" s="3891"/>
      <c r="J190" s="3891"/>
      <c r="K190" s="4003" t="s">
        <v>6931</v>
      </c>
      <c r="L190" s="4003"/>
      <c r="M190" s="4003"/>
      <c r="N190" s="2310"/>
      <c r="O190" s="2346"/>
      <c r="P190" s="2347"/>
      <c r="Q190" s="2348"/>
      <c r="R190" s="2158"/>
      <c r="S190" s="2158"/>
      <c r="T190" s="2158"/>
      <c r="W190" s="2158"/>
      <c r="X190" s="2158"/>
      <c r="Y190" s="2158"/>
      <c r="Z190" s="2158"/>
      <c r="AA190" s="2158"/>
    </row>
    <row r="191" spans="1:27" ht="15.9" customHeight="1">
      <c r="A191" s="2285"/>
      <c r="B191" s="2285"/>
      <c r="D191" s="2186" t="s">
        <v>6258</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6259</v>
      </c>
      <c r="G192" s="2352"/>
      <c r="H192" s="4014"/>
      <c r="I192" s="4015"/>
      <c r="J192" s="4016"/>
      <c r="K192" s="4012"/>
      <c r="L192" s="4012"/>
      <c r="M192" s="4012"/>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15.9" customHeight="1" thickTop="1" thickBot="1">
      <c r="A195" s="3931" t="s">
        <v>7053</v>
      </c>
      <c r="B195" s="3932"/>
      <c r="C195" s="3932"/>
      <c r="D195" s="3932"/>
      <c r="E195" s="3932"/>
      <c r="F195" s="3932"/>
      <c r="G195" s="3932"/>
      <c r="H195" s="3932"/>
      <c r="I195" s="3932"/>
      <c r="J195" s="3932"/>
      <c r="K195" s="3932"/>
      <c r="L195" s="3932"/>
      <c r="M195" s="3932"/>
      <c r="N195" s="3932"/>
      <c r="O195" s="3932"/>
      <c r="P195" s="3933"/>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6939</v>
      </c>
      <c r="M201" s="2123">
        <v>5</v>
      </c>
      <c r="N201" s="2254"/>
      <c r="O201" s="2353">
        <v>5</v>
      </c>
      <c r="P201" s="2354"/>
      <c r="Q201" s="2320" t="str">
        <f>IF(OR($O201=$M201,$O201=$M201-1,$O201=0,$O201=""),"","*CHECK!*")</f>
        <v/>
      </c>
      <c r="R201" s="2305"/>
      <c r="S201" s="2118"/>
      <c r="T201" s="2118"/>
      <c r="U201" s="2118"/>
      <c r="V201" s="2118"/>
    </row>
    <row r="202" spans="1:24" s="2121" customFormat="1" ht="15.9" customHeight="1">
      <c r="A202" s="2138" t="s">
        <v>1843</v>
      </c>
      <c r="B202" s="2131" t="s">
        <v>6937</v>
      </c>
      <c r="M202" s="2123">
        <v>3</v>
      </c>
      <c r="N202" s="2254"/>
      <c r="O202" s="2240"/>
      <c r="P202" s="2241"/>
      <c r="Q202" s="2320" t="str">
        <f>IF(OR($O202=$M202,$O202=$M202-1,$O202=0,$O202=""),"","*CHECK!*")</f>
        <v/>
      </c>
      <c r="R202" s="2305"/>
    </row>
    <row r="203" spans="1:24" ht="15.9" customHeight="1">
      <c r="A203" s="2138" t="s">
        <v>698</v>
      </c>
      <c r="B203" s="2131" t="s">
        <v>6938</v>
      </c>
      <c r="G203" s="2226" t="s">
        <v>6230</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31.5" customHeight="1" thickTop="1" thickBot="1">
      <c r="A205" s="3931" t="s">
        <v>7081</v>
      </c>
      <c r="B205" s="3932"/>
      <c r="C205" s="3932"/>
      <c r="D205" s="3932"/>
      <c r="E205" s="3932"/>
      <c r="F205" s="3932"/>
      <c r="G205" s="3932"/>
      <c r="H205" s="3932"/>
      <c r="I205" s="3932"/>
      <c r="J205" s="3932"/>
      <c r="K205" s="3932"/>
      <c r="L205" s="3932"/>
      <c r="M205" s="3932"/>
      <c r="N205" s="3932"/>
      <c r="O205" s="3932"/>
      <c r="P205" s="3933"/>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6615</v>
      </c>
      <c r="D214" s="2282"/>
      <c r="E214" s="2282"/>
      <c r="G214" s="2120"/>
      <c r="K214" s="2254"/>
      <c r="M214" s="2123">
        <v>1</v>
      </c>
      <c r="N214" s="2377"/>
      <c r="O214" s="2246"/>
      <c r="P214" s="2247"/>
      <c r="R214" s="2120"/>
      <c r="T214" s="2355"/>
      <c r="U214" s="2355"/>
    </row>
    <row r="215" spans="1:22" ht="15.9"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6894</v>
      </c>
      <c r="C216" s="3987"/>
      <c r="D216" s="3987"/>
      <c r="E216" s="3987"/>
      <c r="F216" s="3987"/>
      <c r="G216" s="3987"/>
      <c r="H216" s="3987"/>
      <c r="I216" s="3987"/>
      <c r="J216" s="3987"/>
      <c r="K216" s="3987"/>
      <c r="L216" s="3987"/>
      <c r="M216" s="2123"/>
      <c r="N216" s="2254"/>
      <c r="O216" s="2358"/>
      <c r="P216" s="2359"/>
      <c r="R216" s="2232"/>
      <c r="T216" s="2355"/>
      <c r="U216" s="2355"/>
    </row>
    <row r="217" spans="1:22" ht="15.9"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6940</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6858</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7" t="s">
        <v>6895</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1" t="s">
        <v>7053</v>
      </c>
      <c r="B228" s="3932"/>
      <c r="C228" s="3932"/>
      <c r="D228" s="3932"/>
      <c r="E228" s="3932"/>
      <c r="F228" s="3932"/>
      <c r="G228" s="3932"/>
      <c r="H228" s="3932"/>
      <c r="I228" s="3932"/>
      <c r="J228" s="3932"/>
      <c r="K228" s="3932"/>
      <c r="L228" s="3932"/>
      <c r="M228" s="3932"/>
      <c r="N228" s="3932"/>
      <c r="O228" s="3932"/>
      <c r="P228" s="3933"/>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6896</v>
      </c>
      <c r="D234" s="2143"/>
      <c r="E234" s="2143"/>
      <c r="J234" s="2361"/>
      <c r="M234" s="2210"/>
      <c r="O234" s="4042" t="s">
        <v>6897</v>
      </c>
      <c r="P234" s="4042" t="s">
        <v>3151</v>
      </c>
      <c r="Q234" s="2203"/>
      <c r="R234" s="2118"/>
      <c r="S234" s="2118"/>
      <c r="T234" s="2118"/>
      <c r="U234" s="2118"/>
      <c r="V234" s="2118"/>
      <c r="W234" s="2120"/>
      <c r="X234" s="2120"/>
    </row>
    <row r="235" spans="1:24" s="2121" customFormat="1" ht="15.9" customHeight="1">
      <c r="A235" s="2142"/>
      <c r="C235" s="2121" t="s">
        <v>6692</v>
      </c>
      <c r="I235" s="4031" t="s">
        <v>2852</v>
      </c>
      <c r="J235" s="4032"/>
      <c r="K235" s="4033"/>
      <c r="L235" s="4034"/>
      <c r="M235" s="2210"/>
      <c r="O235" s="3964"/>
      <c r="P235" s="3964"/>
      <c r="Q235" s="2203"/>
      <c r="R235" s="2118"/>
      <c r="S235" s="2118"/>
      <c r="T235" s="2118"/>
      <c r="U235" s="2118"/>
      <c r="V235" s="2118"/>
      <c r="W235" s="2120"/>
      <c r="X235" s="2120"/>
    </row>
    <row r="236" spans="1:24" s="2121" customFormat="1" ht="15.9" customHeight="1">
      <c r="A236" s="2142"/>
      <c r="C236" s="2121" t="s">
        <v>6691</v>
      </c>
      <c r="I236" s="4035" t="s">
        <v>2852</v>
      </c>
      <c r="J236" s="4036"/>
      <c r="M236" s="2210"/>
      <c r="O236" s="3964"/>
      <c r="P236" s="3964"/>
      <c r="Q236" s="2203"/>
      <c r="R236" s="2118"/>
      <c r="S236" s="2118"/>
      <c r="T236" s="2118"/>
      <c r="U236" s="2118"/>
      <c r="V236" s="2118"/>
      <c r="W236" s="2120"/>
      <c r="X236" s="2120"/>
    </row>
    <row r="237" spans="1:24" s="2121" customFormat="1" ht="15.9" customHeight="1">
      <c r="A237" s="2142"/>
      <c r="C237" s="2121" t="s">
        <v>6693</v>
      </c>
      <c r="I237" s="4040" t="s">
        <v>7054</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6859</v>
      </c>
      <c r="D239" s="3987"/>
      <c r="E239" s="3987"/>
      <c r="F239" s="3987"/>
      <c r="G239" s="3987"/>
      <c r="H239" s="3987"/>
      <c r="I239" s="3987"/>
      <c r="J239" s="3987"/>
      <c r="K239" s="3987"/>
      <c r="L239" s="3987"/>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6588</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6860</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6861</v>
      </c>
      <c r="D245" s="2184"/>
      <c r="L245" s="2184"/>
      <c r="M245" s="2139"/>
      <c r="N245" s="2254"/>
      <c r="O245" s="2256" t="s">
        <v>7046</v>
      </c>
      <c r="P245" s="2257"/>
      <c r="Q245" s="2364"/>
      <c r="R245" s="2305"/>
      <c r="S245" s="2118"/>
      <c r="T245" s="2118"/>
      <c r="U245" s="2118"/>
      <c r="V245" s="2118"/>
    </row>
    <row r="246" spans="1:22" s="2157" customFormat="1" ht="30" customHeight="1">
      <c r="A246" s="2365"/>
      <c r="B246" s="2285"/>
      <c r="C246" s="3848" t="s">
        <v>6936</v>
      </c>
      <c r="D246" s="3848"/>
      <c r="E246" s="3848"/>
      <c r="F246" s="3848"/>
      <c r="G246" s="3848"/>
      <c r="H246" s="3848"/>
      <c r="I246" s="3848"/>
      <c r="J246" s="3848"/>
      <c r="K246" s="3848"/>
      <c r="L246" s="3848"/>
      <c r="M246" s="3848"/>
      <c r="N246" s="2377"/>
      <c r="O246" s="2325" t="s">
        <v>7046</v>
      </c>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48.75" customHeight="1" thickTop="1" thickBot="1">
      <c r="A248" s="3931" t="s">
        <v>7079</v>
      </c>
      <c r="B248" s="3932"/>
      <c r="C248" s="3932"/>
      <c r="D248" s="3932"/>
      <c r="E248" s="3932"/>
      <c r="F248" s="3932"/>
      <c r="G248" s="3932"/>
      <c r="H248" s="3932"/>
      <c r="I248" s="3932"/>
      <c r="J248" s="3932"/>
      <c r="K248" s="3932"/>
      <c r="L248" s="3932"/>
      <c r="M248" s="3932"/>
      <c r="N248" s="3932"/>
      <c r="O248" s="3932"/>
      <c r="P248" s="3933"/>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6585</v>
      </c>
      <c r="D254" s="2184"/>
      <c r="E254" s="2184" t="s">
        <v>6596</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5.4" customHeight="1" thickTop="1" thickBot="1">
      <c r="A257" s="3931" t="s">
        <v>7110</v>
      </c>
      <c r="B257" s="3932"/>
      <c r="C257" s="3932"/>
      <c r="D257" s="3932"/>
      <c r="E257" s="3932"/>
      <c r="F257" s="3932"/>
      <c r="G257" s="3932"/>
      <c r="H257" s="3932"/>
      <c r="I257" s="3932"/>
      <c r="J257" s="3932"/>
      <c r="K257" s="3932"/>
      <c r="L257" s="3932"/>
      <c r="M257" s="3932"/>
      <c r="N257" s="3932"/>
      <c r="O257" s="3932"/>
      <c r="P257" s="3933"/>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1841</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6900</v>
      </c>
      <c r="N264" s="2144"/>
      <c r="O264" s="2324"/>
      <c r="P264" s="2369"/>
      <c r="R264" s="2232"/>
    </row>
    <row r="265" spans="1:19" ht="15.9" customHeight="1">
      <c r="A265" s="2124" t="s">
        <v>1843</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6900</v>
      </c>
      <c r="M266" s="2124"/>
      <c r="N266" s="2144"/>
      <c r="O266" s="2324"/>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3154</v>
      </c>
      <c r="D272" s="2227"/>
      <c r="E272" s="2227"/>
      <c r="G272" s="2121"/>
      <c r="I272" s="4059" t="s">
        <v>6060</v>
      </c>
      <c r="J272" s="4033"/>
      <c r="K272" s="4033"/>
      <c r="L272" s="4034"/>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15.9" customHeight="1" thickTop="1" thickBot="1">
      <c r="A275" s="3931" t="s">
        <v>7053</v>
      </c>
      <c r="B275" s="3932"/>
      <c r="C275" s="3932"/>
      <c r="D275" s="3932"/>
      <c r="E275" s="3932"/>
      <c r="F275" s="3932"/>
      <c r="G275" s="3932"/>
      <c r="H275" s="3932"/>
      <c r="I275" s="3932"/>
      <c r="J275" s="3932"/>
      <c r="K275" s="3932"/>
      <c r="L275" s="3932"/>
      <c r="M275" s="3932"/>
      <c r="N275" s="3932"/>
      <c r="O275" s="3932"/>
      <c r="P275" s="3933"/>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 customHeight="1">
      <c r="A282" s="2313"/>
      <c r="B282" s="4025" t="s">
        <v>6862</v>
      </c>
      <c r="C282" s="4025"/>
      <c r="D282" s="4025"/>
      <c r="E282" s="4025"/>
      <c r="F282" s="4025"/>
      <c r="G282" s="4025"/>
      <c r="H282" s="4025"/>
      <c r="I282" s="4025"/>
      <c r="J282" s="4025"/>
      <c r="K282" s="4025"/>
      <c r="L282" s="4025"/>
      <c r="N282" s="2120"/>
      <c r="O282" s="2374"/>
      <c r="P282" s="2375"/>
      <c r="R282" s="2136"/>
      <c r="S282" s="2136"/>
      <c r="T282" s="2119"/>
    </row>
    <row r="283" spans="1:20" ht="15.9"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 customHeight="1">
      <c r="A284" s="2254"/>
      <c r="B284" s="2377" t="s">
        <v>1844</v>
      </c>
      <c r="C284" s="2121" t="s">
        <v>1388</v>
      </c>
      <c r="I284" s="2254"/>
      <c r="J284" s="4043"/>
      <c r="K284" s="4044"/>
      <c r="L284" s="2254"/>
      <c r="M284" s="4045"/>
      <c r="N284" s="4046"/>
      <c r="O284" s="4046"/>
      <c r="P284" s="4047"/>
      <c r="R284" s="2232"/>
    </row>
    <row r="285" spans="1:20" ht="15.9" customHeight="1">
      <c r="A285" s="2230"/>
      <c r="B285" s="2214" t="s">
        <v>1846</v>
      </c>
      <c r="C285" s="2121" t="s">
        <v>3156</v>
      </c>
      <c r="I285" s="2310"/>
      <c r="J285" s="4020"/>
      <c r="K285" s="4021"/>
      <c r="L285" s="2310"/>
      <c r="M285" s="4022"/>
      <c r="N285" s="4023"/>
      <c r="O285" s="4023"/>
      <c r="P285" s="4024"/>
      <c r="R285" s="2232"/>
    </row>
    <row r="286" spans="1:20" ht="15.9" customHeight="1">
      <c r="B286" s="2377" t="s">
        <v>2332</v>
      </c>
      <c r="C286" s="2121" t="s">
        <v>3954</v>
      </c>
      <c r="I286" s="2254"/>
      <c r="J286" s="4020"/>
      <c r="K286" s="4021"/>
      <c r="L286" s="2254"/>
      <c r="M286" s="4022"/>
      <c r="N286" s="4023"/>
      <c r="O286" s="4023"/>
      <c r="P286" s="4024"/>
      <c r="R286" s="2232"/>
    </row>
    <row r="287" spans="1:20" ht="15.9" customHeight="1">
      <c r="A287" s="2230"/>
      <c r="B287" s="2377" t="s">
        <v>1150</v>
      </c>
      <c r="C287" s="2121" t="s">
        <v>3071</v>
      </c>
      <c r="I287" s="2254"/>
      <c r="J287" s="4020"/>
      <c r="K287" s="4021"/>
      <c r="L287" s="2254"/>
      <c r="M287" s="4022"/>
      <c r="N287" s="4023"/>
      <c r="O287" s="4023"/>
      <c r="P287" s="4024"/>
      <c r="R287" s="2232"/>
    </row>
    <row r="288" spans="1:20" ht="15.9" customHeight="1">
      <c r="A288" s="2254"/>
      <c r="B288" s="2214" t="s">
        <v>1151</v>
      </c>
      <c r="C288" s="2121" t="s">
        <v>2473</v>
      </c>
      <c r="I288" s="2310"/>
      <c r="J288" s="4020"/>
      <c r="K288" s="4021"/>
      <c r="L288" s="2310"/>
      <c r="M288" s="4022"/>
      <c r="N288" s="4023"/>
      <c r="O288" s="4023"/>
      <c r="P288" s="4024"/>
      <c r="R288" s="2232"/>
    </row>
    <row r="289" spans="1:26" ht="15.9" customHeight="1">
      <c r="B289" s="2377" t="s">
        <v>1742</v>
      </c>
      <c r="C289" s="2121" t="s">
        <v>1387</v>
      </c>
      <c r="I289" s="2254"/>
      <c r="J289" s="4020"/>
      <c r="K289" s="4021"/>
      <c r="L289" s="2254"/>
      <c r="M289" s="4022"/>
      <c r="N289" s="4023"/>
      <c r="O289" s="4023"/>
      <c r="P289" s="4024"/>
      <c r="R289" s="2232"/>
    </row>
    <row r="290" spans="1:26" ht="15.9" customHeight="1">
      <c r="B290" s="2377" t="s">
        <v>473</v>
      </c>
      <c r="C290" s="2121" t="s">
        <v>6233</v>
      </c>
      <c r="I290" s="2254"/>
      <c r="J290" s="4020"/>
      <c r="K290" s="4021"/>
      <c r="L290" s="2254"/>
      <c r="M290" s="2378"/>
      <c r="N290" s="2379"/>
      <c r="O290" s="2379"/>
      <c r="P290" s="2380"/>
      <c r="R290" s="2232"/>
    </row>
    <row r="291" spans="1:26" ht="15.9" customHeight="1">
      <c r="A291" s="2230"/>
      <c r="B291" s="2377" t="s">
        <v>474</v>
      </c>
      <c r="C291" s="2121" t="s">
        <v>3155</v>
      </c>
      <c r="I291" s="2254"/>
      <c r="J291" s="4020"/>
      <c r="K291" s="4021"/>
      <c r="L291" s="2254"/>
      <c r="M291" s="4022"/>
      <c r="N291" s="4023"/>
      <c r="O291" s="4023"/>
      <c r="P291" s="4024"/>
      <c r="R291" s="2232"/>
    </row>
    <row r="292" spans="1:26" ht="15.9" customHeight="1">
      <c r="B292" s="2377" t="s">
        <v>3889</v>
      </c>
      <c r="C292" s="2121" t="s">
        <v>6863</v>
      </c>
      <c r="I292" s="2254"/>
      <c r="J292" s="4020"/>
      <c r="K292" s="4021"/>
      <c r="L292" s="2254"/>
      <c r="M292" s="4022"/>
      <c r="N292" s="4023"/>
      <c r="O292" s="4023"/>
      <c r="P292" s="4024"/>
      <c r="R292" s="2232"/>
    </row>
    <row r="293" spans="1:26" ht="15.9" customHeight="1">
      <c r="B293" s="2377" t="s">
        <v>6864</v>
      </c>
      <c r="C293" s="2121" t="s">
        <v>6901</v>
      </c>
      <c r="I293" s="2254"/>
      <c r="J293" s="4020"/>
      <c r="K293" s="4021"/>
      <c r="L293" s="2254"/>
      <c r="M293" s="4022"/>
      <c r="N293" s="4023"/>
      <c r="O293" s="4023"/>
      <c r="P293" s="4024"/>
      <c r="R293" s="2232"/>
    </row>
    <row r="294" spans="1:26" ht="15.9" customHeight="1" thickBot="1">
      <c r="B294" s="2377" t="s">
        <v>6865</v>
      </c>
      <c r="C294" s="2121" t="s">
        <v>6902</v>
      </c>
      <c r="I294" s="2254"/>
      <c r="J294" s="4020"/>
      <c r="K294" s="4021"/>
      <c r="L294" s="2254"/>
      <c r="M294" s="4068"/>
      <c r="N294" s="4069"/>
      <c r="O294" s="4069"/>
      <c r="P294" s="4070"/>
      <c r="R294" s="2232"/>
    </row>
    <row r="295" spans="1:26" ht="15.9" customHeight="1" thickBot="1">
      <c r="B295" s="2121"/>
      <c r="I295" s="2138" t="s">
        <v>2413</v>
      </c>
      <c r="J295" s="4071">
        <f>SUM(J284:K294)</f>
        <v>0</v>
      </c>
      <c r="K295" s="4072"/>
      <c r="M295" s="4071">
        <f>SUM($M284:$M294)</f>
        <v>0</v>
      </c>
      <c r="N295" s="4073"/>
      <c r="O295" s="4073"/>
      <c r="P295" s="4072"/>
      <c r="R295" s="2232"/>
    </row>
    <row r="296" spans="1:26" ht="15.9" customHeight="1">
      <c r="M296" s="2136"/>
      <c r="N296" s="2136"/>
      <c r="O296" s="2120"/>
      <c r="P296" s="2136"/>
      <c r="U296" s="3891" t="s">
        <v>6907</v>
      </c>
      <c r="V296" s="3891"/>
      <c r="W296" s="3891"/>
      <c r="X296" s="3891"/>
      <c r="Y296" s="3891"/>
      <c r="Z296" s="3891"/>
    </row>
    <row r="297" spans="1:26" ht="15.9" customHeight="1">
      <c r="A297" s="2121"/>
      <c r="B297" s="2332"/>
      <c r="C297" s="2227" t="s">
        <v>2412</v>
      </c>
      <c r="D297" s="2255"/>
      <c r="E297" s="2255"/>
      <c r="I297" s="2254" t="s">
        <v>6236</v>
      </c>
      <c r="J297" s="4060">
        <f>'Part V-Revenues &amp; Expenses'!$P$67</f>
        <v>50</v>
      </c>
      <c r="K297" s="4061"/>
      <c r="L297" s="2136"/>
      <c r="M297" s="2136"/>
      <c r="N297" s="2136"/>
      <c r="O297" s="2120"/>
      <c r="P297" s="2136"/>
      <c r="U297" s="2432" t="s">
        <v>6905</v>
      </c>
      <c r="V297" s="2432" t="s">
        <v>6906</v>
      </c>
      <c r="W297" s="2432" t="s">
        <v>6905</v>
      </c>
      <c r="X297" s="2432" t="s">
        <v>6906</v>
      </c>
      <c r="Y297" s="2432" t="s">
        <v>6905</v>
      </c>
      <c r="Z297" s="2432" t="s">
        <v>6906</v>
      </c>
    </row>
    <row r="298" spans="1:26" ht="15.9" customHeight="1">
      <c r="C298" s="2255"/>
      <c r="D298" s="2255"/>
      <c r="E298" s="2255"/>
      <c r="I298" s="2381" t="s">
        <v>6237</v>
      </c>
      <c r="J298" s="4074">
        <f>IF(J297=0,0,J295/J297)</f>
        <v>0</v>
      </c>
      <c r="K298" s="4075"/>
      <c r="M298" s="4076">
        <f>IF(J297=0,0,M295/J297)</f>
        <v>0</v>
      </c>
      <c r="N298" s="4077"/>
      <c r="O298" s="4077"/>
      <c r="P298" s="4078"/>
      <c r="S298" s="2431" t="s">
        <v>6903</v>
      </c>
      <c r="U298" s="2425">
        <v>500000</v>
      </c>
      <c r="V298" s="2426">
        <v>999999.99</v>
      </c>
      <c r="W298" s="2425">
        <v>1000000</v>
      </c>
      <c r="X298" s="2426">
        <v>1999999.99</v>
      </c>
      <c r="Y298" s="2425">
        <v>2000000</v>
      </c>
      <c r="Z298" s="2427"/>
    </row>
    <row r="299" spans="1:26" ht="15.9" customHeight="1">
      <c r="C299" s="2255"/>
      <c r="D299" s="2255"/>
      <c r="E299" s="2255"/>
      <c r="I299" s="2230" t="s">
        <v>6866</v>
      </c>
      <c r="J299" s="4060">
        <f>IF(J295&gt;=$Y$298,$Y$300,IF(J295&gt;=$W$298,$W$300,IF(J295&gt;=$U$298,$U$300,0)))</f>
        <v>0</v>
      </c>
      <c r="K299" s="4061"/>
      <c r="M299" s="4060">
        <f t="shared" ref="M299" si="0">IF(M295&gt;=$Y$298,$Y$300,IF(M295&gt;=$W$298,$W$300,IF(M295&gt;=$U$298,$U$300,0)))</f>
        <v>0</v>
      </c>
      <c r="N299" s="4062"/>
      <c r="O299" s="4062">
        <f t="shared" ref="O299" si="1">IF(O295&gt;=$Y$298,$Y$300,IF(O295&gt;=$W$298,$W$300,IF(O295&gt;=$U$298,$U$300,0)))</f>
        <v>0</v>
      </c>
      <c r="P299" s="4061"/>
      <c r="S299" s="2431" t="s">
        <v>6904</v>
      </c>
      <c r="U299" s="2428">
        <v>10000</v>
      </c>
      <c r="V299" s="2429">
        <v>19999.990000000002</v>
      </c>
      <c r="W299" s="2428">
        <v>20000</v>
      </c>
      <c r="X299" s="2429">
        <v>29999.99</v>
      </c>
      <c r="Y299" s="2428">
        <v>30000</v>
      </c>
      <c r="Z299" s="2430"/>
    </row>
    <row r="300" spans="1:26" ht="15.9" customHeight="1">
      <c r="C300" s="2255"/>
      <c r="D300" s="2255"/>
      <c r="E300" s="2255"/>
      <c r="I300" s="2230" t="s">
        <v>6238</v>
      </c>
      <c r="J300" s="4065">
        <f>IF(J298&gt;=$Y$299,$Y$300,IF(J298&gt;=$W$299,$W$300,IF(J298&gt;=$U$299,$U$300,0)))</f>
        <v>0</v>
      </c>
      <c r="K300" s="4066"/>
      <c r="L300" s="2136"/>
      <c r="M300" s="4065">
        <f>IF(M298&gt;=$Y$299,$Y$300,IF(M298&gt;=$W$299,$W$300,IF(M298&gt;=$U$299,$U$300,0)))</f>
        <v>0</v>
      </c>
      <c r="N300" s="4067"/>
      <c r="O300" s="4067"/>
      <c r="P300" s="4066"/>
      <c r="S300" s="2431" t="s">
        <v>6145</v>
      </c>
      <c r="U300" s="3885">
        <v>1</v>
      </c>
      <c r="V300" s="3886"/>
      <c r="W300" s="3885">
        <v>2</v>
      </c>
      <c r="X300" s="3886"/>
      <c r="Y300" s="3885">
        <v>3</v>
      </c>
      <c r="Z300" s="3886"/>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6867</v>
      </c>
      <c r="D303" s="3848"/>
      <c r="E303" s="3848"/>
      <c r="F303" s="3848"/>
      <c r="G303" s="3848"/>
      <c r="H303" s="3848"/>
      <c r="I303" s="3848"/>
      <c r="J303" s="3848"/>
      <c r="K303" s="3848"/>
      <c r="L303" s="3848"/>
      <c r="M303" s="3848"/>
      <c r="N303" s="2413"/>
      <c r="O303" s="2382"/>
      <c r="P303" s="2383"/>
      <c r="V303" s="2355"/>
    </row>
    <row r="304" spans="1:26" ht="15.9" customHeight="1">
      <c r="A304" s="2138"/>
      <c r="B304" s="2313"/>
      <c r="C304" s="2121" t="s">
        <v>6868</v>
      </c>
      <c r="D304" s="2121"/>
      <c r="E304" s="2121"/>
      <c r="F304" s="2121"/>
      <c r="G304" s="2121"/>
      <c r="H304" s="2121"/>
      <c r="I304" s="2121"/>
      <c r="J304" s="2121"/>
      <c r="K304" s="2121"/>
      <c r="M304" s="2121"/>
      <c r="N304" s="2144"/>
      <c r="O304" s="2269"/>
      <c r="P304" s="2270"/>
      <c r="V304" s="2355"/>
    </row>
    <row r="305" spans="1:19" ht="15.9" customHeight="1">
      <c r="B305" s="2313"/>
      <c r="C305" s="2120" t="s">
        <v>6869</v>
      </c>
      <c r="N305" s="2144"/>
      <c r="O305" s="2246"/>
      <c r="P305" s="2247"/>
    </row>
    <row r="306" spans="1:19" ht="15.9" customHeight="1" thickBot="1">
      <c r="B306" s="2260" t="s">
        <v>3241</v>
      </c>
    </row>
    <row r="307" spans="1:19" ht="15.9" customHeight="1" thickTop="1" thickBot="1">
      <c r="A307" s="3931" t="s">
        <v>7053</v>
      </c>
      <c r="B307" s="3932"/>
      <c r="C307" s="3932"/>
      <c r="D307" s="3932"/>
      <c r="E307" s="3932"/>
      <c r="F307" s="3932"/>
      <c r="G307" s="3932"/>
      <c r="H307" s="3932"/>
      <c r="I307" s="3932"/>
      <c r="J307" s="3932"/>
      <c r="K307" s="3932"/>
      <c r="L307" s="3932"/>
      <c r="M307" s="3932"/>
      <c r="N307" s="3932"/>
      <c r="O307" s="3932"/>
      <c r="P307" s="3933"/>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4059" t="s">
        <v>3886</v>
      </c>
      <c r="H313" s="4033"/>
      <c r="I313" s="4033"/>
      <c r="J313" s="4033"/>
      <c r="K313" s="4033"/>
      <c r="L313" s="4034"/>
      <c r="M313" s="2286"/>
      <c r="N313" s="2286"/>
      <c r="O313" s="2286"/>
      <c r="P313" s="2286"/>
      <c r="Q313" s="2121"/>
    </row>
    <row r="314" spans="1:19" s="2157" customFormat="1" ht="15.9" customHeight="1">
      <c r="A314" s="2211" t="s">
        <v>1841</v>
      </c>
      <c r="B314" s="2131" t="s">
        <v>3955</v>
      </c>
      <c r="M314" s="2286">
        <v>2</v>
      </c>
      <c r="N314" s="2310"/>
      <c r="O314" s="2308"/>
      <c r="P314" s="2384"/>
      <c r="Q314" s="2320" t="str">
        <f>IF(OR($O314=$M314,$O314=0,$O314=""),"","*CHECK!*")</f>
        <v/>
      </c>
      <c r="R314" s="2305"/>
    </row>
    <row r="315" spans="1:19" ht="15.9" customHeight="1">
      <c r="A315" s="2345"/>
      <c r="B315" s="4028" t="s">
        <v>3415</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 customHeight="1">
      <c r="A316" s="2385" t="s">
        <v>1843</v>
      </c>
      <c r="B316" s="2289" t="s">
        <v>3956</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931" t="s">
        <v>7053</v>
      </c>
      <c r="B318" s="3932"/>
      <c r="C318" s="3932"/>
      <c r="D318" s="3932"/>
      <c r="E318" s="3932"/>
      <c r="F318" s="3932"/>
      <c r="G318" s="3932"/>
      <c r="H318" s="3932"/>
      <c r="I318" s="3932"/>
      <c r="J318" s="3932"/>
      <c r="K318" s="3932"/>
      <c r="L318" s="3932"/>
      <c r="M318" s="3932"/>
      <c r="N318" s="3932"/>
      <c r="O318" s="3932"/>
      <c r="P318" s="3933"/>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6941</v>
      </c>
      <c r="D326" s="2143"/>
      <c r="E326" s="2143"/>
      <c r="L326" s="2232"/>
      <c r="M326" s="2124"/>
      <c r="N326" s="2123"/>
      <c r="O326" s="2387"/>
      <c r="P326" s="2354"/>
      <c r="Q326" s="2203"/>
    </row>
    <row r="327" spans="1:18" s="2121" customFormat="1" ht="15.9" customHeight="1">
      <c r="A327" s="2124" t="s">
        <v>1843</v>
      </c>
      <c r="B327" s="2131" t="s">
        <v>6942</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6609</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31.5" customHeight="1" thickTop="1" thickBot="1">
      <c r="A340" s="3931" t="s">
        <v>7080</v>
      </c>
      <c r="B340" s="3932"/>
      <c r="C340" s="3932"/>
      <c r="D340" s="3932"/>
      <c r="E340" s="3932"/>
      <c r="F340" s="3932"/>
      <c r="G340" s="3932"/>
      <c r="H340" s="3932"/>
      <c r="I340" s="3932"/>
      <c r="J340" s="3932"/>
      <c r="K340" s="3932"/>
      <c r="L340" s="3932"/>
      <c r="M340" s="3932"/>
      <c r="N340" s="3932"/>
      <c r="O340" s="3932"/>
      <c r="P340" s="3933"/>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15.9" customHeight="1" thickTop="1" thickBot="1">
      <c r="A347" s="3931" t="s">
        <v>7053</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6915</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6870</v>
      </c>
      <c r="D353" s="2143"/>
      <c r="E353" s="2143"/>
      <c r="F353" s="2136"/>
      <c r="L353" s="2320"/>
      <c r="M353" s="2124"/>
      <c r="N353" s="2123"/>
      <c r="O353" s="2324"/>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931" t="s">
        <v>7053</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15.9" customHeight="1" thickTop="1" thickBot="1">
      <c r="A369" s="3931" t="s">
        <v>7053</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6932</v>
      </c>
      <c r="E376" s="2121"/>
      <c r="F376" s="2121"/>
      <c r="G376" s="2121" t="s">
        <v>6223</v>
      </c>
      <c r="H376" s="2121"/>
      <c r="I376" s="2121"/>
      <c r="J376" s="2121" t="s">
        <v>575</v>
      </c>
      <c r="L376" s="2139" t="s">
        <v>6933</v>
      </c>
      <c r="M376" s="3891" t="s">
        <v>6943</v>
      </c>
      <c r="N376" s="3891"/>
      <c r="O376" s="3891"/>
      <c r="P376" s="3891"/>
      <c r="Q376" s="2320"/>
    </row>
    <row r="377" spans="1:18" ht="15.9"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c r="A385" s="2120">
        <v>9</v>
      </c>
      <c r="B385" s="3845"/>
      <c r="C385" s="3845"/>
      <c r="D385" s="3845"/>
      <c r="E385" s="3845"/>
      <c r="F385" s="3845"/>
      <c r="G385" s="3845"/>
      <c r="H385" s="3845"/>
      <c r="I385" s="3845"/>
      <c r="J385" s="3845"/>
      <c r="K385" s="3845"/>
      <c r="L385" s="2452"/>
      <c r="M385" s="4088"/>
      <c r="N385" s="4089"/>
      <c r="O385" s="4089"/>
      <c r="P385" s="4090"/>
    </row>
    <row r="386" spans="1:19" ht="15.9"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931" t="s">
        <v>7053</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6923</v>
      </c>
      <c r="Q395" s="2320" t="str">
        <f>IF(OR($O395=$M395,$O395=0,$O395=""),"","*CHECK!*")</f>
        <v/>
      </c>
      <c r="R395" s="2305"/>
    </row>
    <row r="396" spans="1:19" ht="147" customHeight="1">
      <c r="A396" s="2345"/>
      <c r="B396" s="4028" t="s">
        <v>6924</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 customHeight="1">
      <c r="A397" s="2385" t="s">
        <v>1843</v>
      </c>
      <c r="B397" s="2289" t="s">
        <v>6925</v>
      </c>
      <c r="Q397" s="2320" t="str">
        <f>IF(OR($O397=$M397,$O397=0,$O397=""),"","*CHECK!*")</f>
        <v/>
      </c>
      <c r="R397" s="2305"/>
    </row>
    <row r="398" spans="1:19" ht="147" customHeight="1">
      <c r="A398" s="2345"/>
      <c r="B398" s="4028" t="s">
        <v>6926</v>
      </c>
      <c r="C398" s="4029"/>
      <c r="D398" s="4029"/>
      <c r="E398" s="4029"/>
      <c r="F398" s="4029"/>
      <c r="G398" s="4029"/>
      <c r="H398" s="4029"/>
      <c r="I398" s="4029"/>
      <c r="J398" s="4029"/>
      <c r="K398" s="4029"/>
      <c r="L398" s="4029"/>
      <c r="M398" s="4029"/>
      <c r="N398" s="4029"/>
      <c r="O398" s="4029"/>
      <c r="P398" s="4030"/>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931" t="s">
        <v>7053</v>
      </c>
      <c r="B400" s="3932"/>
      <c r="C400" s="3932"/>
      <c r="D400" s="3932"/>
      <c r="E400" s="3932"/>
      <c r="F400" s="3932"/>
      <c r="G400" s="3932"/>
      <c r="H400" s="3932"/>
      <c r="I400" s="3932"/>
      <c r="J400" s="3932"/>
      <c r="K400" s="3932"/>
      <c r="L400" s="3932"/>
      <c r="M400" s="3932"/>
      <c r="N400" s="3932"/>
      <c r="O400" s="3932"/>
      <c r="P400" s="3933"/>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 customHeight="1" thickBot="1">
      <c r="Q403" s="4063" t="s">
        <v>6949</v>
      </c>
      <c r="R403" s="4063"/>
      <c r="S403" s="4063"/>
      <c r="T403" s="4063"/>
      <c r="U403" s="4063"/>
      <c r="V403" s="4063"/>
      <c r="W403" s="4063"/>
      <c r="X403" s="4063"/>
      <c r="Y403" s="4063"/>
      <c r="Z403" s="4063"/>
      <c r="AA403" s="4063"/>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70</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6871</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2" customHeight="1">
      <c r="A408" s="4028" t="s">
        <v>7111</v>
      </c>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6563</v>
      </c>
      <c r="BC415" s="4084"/>
      <c r="BD415" s="4084"/>
      <c r="BE415" s="4084"/>
      <c r="BF415" s="4084"/>
      <c r="BG415" s="4084"/>
      <c r="BH415" s="4084"/>
      <c r="BI415" s="4084"/>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6564</v>
      </c>
      <c r="AZ416" s="4081"/>
      <c r="BA416" s="4081"/>
      <c r="BB416" s="4081"/>
      <c r="BC416" s="4081"/>
      <c r="BD416" s="4081"/>
      <c r="BE416" s="4082"/>
      <c r="BF416" s="4080" t="s">
        <v>6565</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8" t="s">
        <v>6125</v>
      </c>
      <c r="AH418" s="3929"/>
      <c r="AI418" s="3916" t="s">
        <v>6506</v>
      </c>
      <c r="AJ418" s="3917"/>
      <c r="AK418" s="3917"/>
      <c r="AL418" s="3917"/>
      <c r="AM418" s="3918"/>
      <c r="AN418" s="3930" t="s">
        <v>6138</v>
      </c>
      <c r="AO418" s="3930"/>
      <c r="AP418" s="3930"/>
      <c r="AQ418" s="3930"/>
      <c r="AR418" s="2397"/>
      <c r="AS418" s="2466"/>
      <c r="AT418" s="2465" t="s">
        <v>6137</v>
      </c>
      <c r="AU418" s="2466"/>
      <c r="AV418" s="2466"/>
      <c r="AW418" s="2466"/>
      <c r="AX418" s="2397"/>
      <c r="AY418" s="3916" t="s">
        <v>6125</v>
      </c>
      <c r="AZ418" s="3918"/>
      <c r="BA418" s="3916" t="s">
        <v>6506</v>
      </c>
      <c r="BB418" s="3917"/>
      <c r="BC418" s="3917"/>
      <c r="BD418" s="3917"/>
      <c r="BE418" s="3918"/>
      <c r="BF418" s="4083" t="s">
        <v>6125</v>
      </c>
      <c r="BG418" s="4083"/>
      <c r="BH418" s="4083" t="s">
        <v>6506</v>
      </c>
      <c r="BI418" s="4083"/>
      <c r="BJ418" s="4083"/>
      <c r="BK418" s="4083"/>
      <c r="BL418" s="4083"/>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6913</v>
      </c>
      <c r="AK419" s="2467" t="s">
        <v>6546</v>
      </c>
      <c r="AL419" s="2467" t="s">
        <v>6547</v>
      </c>
      <c r="AM419" s="2467" t="s">
        <v>6548</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6945</v>
      </c>
      <c r="BA419" s="2467" t="s">
        <v>6945</v>
      </c>
      <c r="BB419" s="2467" t="s">
        <v>6929</v>
      </c>
      <c r="BC419" s="2467" t="s">
        <v>6546</v>
      </c>
      <c r="BD419" s="2467" t="s">
        <v>6547</v>
      </c>
      <c r="BE419" s="2467" t="s">
        <v>6548</v>
      </c>
      <c r="BF419" s="2467">
        <v>0.09</v>
      </c>
      <c r="BG419" s="2467" t="s">
        <v>6945</v>
      </c>
      <c r="BH419" s="2467" t="s">
        <v>6945</v>
      </c>
      <c r="BI419" s="2467" t="s">
        <v>6929</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4</v>
      </c>
      <c r="AZ424" s="2497">
        <f>O86</f>
        <v>4</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19" t="s">
        <v>6562</v>
      </c>
      <c r="AO425" s="3920"/>
      <c r="AP425" s="3920"/>
      <c r="AQ425" s="3920"/>
      <c r="AR425" s="2397"/>
      <c r="AS425" s="2468" t="s">
        <v>720</v>
      </c>
      <c r="AT425" s="2492" t="s">
        <v>3339</v>
      </c>
      <c r="AU425" s="2493"/>
      <c r="AV425" s="2493"/>
      <c r="AW425" s="2493"/>
      <c r="AX425" s="2493"/>
      <c r="AY425" s="2494">
        <f>O106</f>
        <v>1</v>
      </c>
      <c r="AZ425" s="2486">
        <f>O106</f>
        <v>1</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3395</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6947</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6916</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70</v>
      </c>
      <c r="AZ449" s="2542">
        <f>IF(AND($O$36="4%",($C$36-$A$36)&gt;0),(SUM(AZ420:AZ447)-($C$36-$A$36)),SUM(AZ420:AZ447))</f>
        <v>62</v>
      </c>
      <c r="BA449" s="2542">
        <f t="shared" ref="BA449:BB449" si="3">IF(AND($O$36="4%",($C$36-$A$36)&gt;0),(SUM(BA420:BA447)-($C$36-$A$36)),SUM(BA420:BA447))</f>
        <v>28</v>
      </c>
      <c r="BB449" s="2542">
        <f t="shared" si="3"/>
        <v>28</v>
      </c>
      <c r="BC449" s="2542">
        <f t="shared" ref="BC449:BL449" si="4">SUM(BC420:BC447)</f>
        <v>30</v>
      </c>
      <c r="BD449" s="2542">
        <f t="shared" si="4"/>
        <v>30</v>
      </c>
      <c r="BE449" s="2542">
        <f t="shared" si="4"/>
        <v>30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00000000-0002-0000-0C00-000002000000}"/>
    <dataValidation type="list" allowBlank="1" showInputMessage="1" showErrorMessage="1" sqref="P120:P121 P372:P373 P321:P322 P140:P141 P310:P311 P330:P331 P343:P344 P350:P351 P356:P357 AQ434:AQ435 O353:P353 P363:P364 P392:P393 AQ427:AQ429" xr:uid="{00000000-0002-0000-0C00-000003000000}">
      <formula1>"Yes, No"</formula1>
    </dataValidation>
    <dataValidation type="whole" operator="lessThanOrEqual" allowBlank="1" showInputMessage="1" showErrorMessage="1" sqref="P69" xr:uid="{00000000-0002-0000-0C00-000004000000}">
      <formula1>$M69</formula1>
    </dataValidation>
    <dataValidation type="list" allowBlank="1" showInputMessage="1" showErrorMessage="1" sqref="J63 J53 J55 J57 J59 J61 O53:P63 P13:P32 P45 F52:F63" xr:uid="{00000000-0002-0000-0C00-000005000000}">
      <formula1>"0,1"</formula1>
    </dataValidation>
    <dataValidation type="whole" operator="equal" allowBlank="1" showErrorMessage="1" errorTitle="Incorrect Point Value Entered" error="Please re-check the point value for this criterion." sqref="O69:O70 O72" xr:uid="{00000000-0002-0000-0C00-000006000000}">
      <formula1>$M69</formula1>
    </dataValidation>
    <dataValidation type="decimal" operator="lessThanOrEqual" allowBlank="1" showInputMessage="1" showErrorMessage="1" sqref="O78:P78 O106:P106 O95:P95" xr:uid="{00000000-0002-0000-0C00-000007000000}">
      <formula1>$M78</formula1>
    </dataValidation>
    <dataValidation type="list" allowBlank="1" showInputMessage="1" showErrorMessage="1" sqref="E161 J161" xr:uid="{00000000-0002-0000-0C00-000008000000}">
      <formula1>"Above 60th Percentile/Below 80th Percentile, At or Above 80th Percentile, At or Below 60th Percentile"</formula1>
    </dataValidation>
    <dataValidation type="list" allowBlank="1" showInputMessage="1" showErrorMessage="1" sqref="I159:I161" xr:uid="{00000000-0002-0000-0C00-000009000000}">
      <formula1>"2020, 2021"</formula1>
    </dataValidation>
    <dataValidation type="whole" operator="equal" allowBlank="1" showInputMessage="1" showErrorMessage="1" sqref="P99:P100" xr:uid="{00000000-0002-0000-0C00-00000A000000}">
      <formula1>$M99</formula1>
    </dataValidation>
    <dataValidation type="list" allowBlank="1" showInputMessage="1" showErrorMessage="1" sqref="O345 P352" xr:uid="{00000000-0002-0000-0C00-00000B000000}">
      <formula1>"2, 4, 6"</formula1>
    </dataValidation>
    <dataValidation type="list" allowBlank="1" showInputMessage="1" showErrorMessage="1" sqref="O358:P358" xr:uid="{00000000-0002-0000-0C00-00000C000000}">
      <formula1>"2, 3, 4"</formula1>
    </dataValidation>
    <dataValidation type="list" allowBlank="1" showInputMessage="1" showErrorMessage="1" sqref="O366:P366 O375:P375" xr:uid="{00000000-0002-0000-0C00-00000D000000}">
      <formula1>"4, 6"</formula1>
    </dataValidation>
    <dataValidation type="list" allowBlank="1" showInputMessage="1" showErrorMessage="1" sqref="O387:P387 O367:P367" xr:uid="{00000000-0002-0000-0C00-00000E000000}">
      <formula1>"2, 4"</formula1>
    </dataValidation>
    <dataValidation type="list" allowBlank="1" showInputMessage="1" showErrorMessage="1" sqref="O96:P96" xr:uid="{00000000-0002-0000-0C00-00000F000000}">
      <formula1>"4, 4.5, 5"</formula1>
    </dataValidation>
    <dataValidation type="list" allowBlank="1" showInputMessage="1" showErrorMessage="1" sqref="O98:P98" xr:uid="{00000000-0002-0000-0C00-000010000000}">
      <formula1>"1,2,3"</formula1>
    </dataValidation>
    <dataValidation type="list" allowBlank="1" showInputMessage="1" showErrorMessage="1" sqref="I237:L237" xr:uid="{00000000-0002-0000-0C00-000011000000}">
      <formula1>"Select Certification, GDOAS Minority Business Enterprise Certification, GDOT Disadvantaged Business Enterprise, NMSDC, TBD (only if Option A)"</formula1>
    </dataValidation>
    <dataValidation type="list" allowBlank="1" showInputMessage="1" showErrorMessage="1" sqref="F36:I37" xr:uid="{00000000-0002-0000-0C00-000012000000}">
      <formula1>"&lt;&lt; Select Activity Type &gt;&gt;, New Supply, Preservation"</formula1>
    </dataValidation>
    <dataValidation type="list" allowBlank="1" showInputMessage="1" showErrorMessage="1" sqref="J36:M37" xr:uid="{00000000-0002-0000-0C00-000013000000}">
      <formula1>"&lt;&lt; Select Pool &gt;&gt;, Rural, Other Metro, Atlanta Metro, N/A-4%"</formula1>
    </dataValidation>
    <dataValidation type="list" allowBlank="1" showInputMessage="1" showErrorMessage="1" sqref="J154:M154" xr:uid="{00000000-0002-0000-0C00-000014000000}">
      <formula1>"&lt;&lt; Select &gt;&gt;,Site Census Tract, Other Census Tract"</formula1>
    </dataValidation>
    <dataValidation type="list" allowBlank="1" showInputMessage="1" showErrorMessage="1" sqref="P345" xr:uid="{00000000-0002-0000-0C00-000015000000}">
      <formula1>"0, 2, 4, 6"</formula1>
    </dataValidation>
    <dataValidation type="list" allowBlank="1" showInputMessage="1" showErrorMessage="1" sqref="J159:J160 E159:E160" xr:uid="{00000000-0002-0000-0C00-000016000000}">
      <formula1>"Above 60th Percentile, At or Below 60th Percentile"</formula1>
    </dataValidation>
    <dataValidation type="list" allowBlank="1" showInputMessage="1" showErrorMessage="1" sqref="O239:P239" xr:uid="{00000000-0002-0000-0C00-000017000000}">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dimension ref="A1:Z49"/>
  <sheetViews>
    <sheetView showGridLines="0" workbookViewId="0">
      <selection activeCell="A5" sqref="A5:M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6928</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3189</v>
      </c>
      <c r="C13" s="4107"/>
      <c r="D13" s="4107"/>
      <c r="E13" s="4107"/>
      <c r="F13" s="4107"/>
      <c r="G13" s="4107"/>
      <c r="H13" s="4107"/>
      <c r="I13" s="4107"/>
      <c r="J13" s="4107"/>
      <c r="K13" s="4107"/>
      <c r="L13" s="4107"/>
      <c r="M13" s="4107"/>
      <c r="U13" s="809" t="s">
        <v>6271</v>
      </c>
    </row>
    <row r="14" spans="1:26" ht="47.25" customHeight="1">
      <c r="A14" s="815" t="s">
        <v>1615</v>
      </c>
      <c r="B14" s="4107" t="s">
        <v>3190</v>
      </c>
      <c r="C14" s="4107"/>
      <c r="D14" s="4107"/>
      <c r="E14" s="4107"/>
      <c r="F14" s="4107"/>
      <c r="G14" s="4107"/>
      <c r="H14" s="4107"/>
      <c r="I14" s="4107"/>
      <c r="J14" s="4107"/>
      <c r="K14" s="4107"/>
      <c r="L14" s="4107"/>
      <c r="M14" s="4107"/>
    </row>
    <row r="15" spans="1:26" ht="117" customHeight="1">
      <c r="A15" s="815" t="s">
        <v>1616</v>
      </c>
      <c r="B15" s="4107" t="s">
        <v>3191</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3192</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3088</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3089</v>
      </c>
      <c r="C25" s="4107"/>
      <c r="D25" s="4107"/>
      <c r="E25" s="4107"/>
      <c r="F25" s="4107"/>
      <c r="G25" s="4107"/>
      <c r="H25" s="4107"/>
      <c r="I25" s="4107"/>
      <c r="J25" s="4107"/>
      <c r="K25" s="4107"/>
      <c r="L25" s="4107"/>
      <c r="M25" s="4107"/>
    </row>
    <row r="26" spans="1:13" ht="31.5" customHeight="1">
      <c r="A26" s="815" t="s">
        <v>1375</v>
      </c>
      <c r="B26" s="4107" t="s">
        <v>3090</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4" t="s">
        <v>868</v>
      </c>
      <c r="I41" s="4104"/>
      <c r="J41" s="4104"/>
      <c r="K41" s="4104"/>
      <c r="L41" s="4104"/>
      <c r="M41" s="4104"/>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7" t="str">
        <f>'Part I-Project Identification'!F25</f>
        <v>Westchester Village</v>
      </c>
      <c r="E3" s="4128"/>
      <c r="F3" s="4128"/>
      <c r="G3" s="4128"/>
      <c r="H3" s="4128"/>
      <c r="I3" s="4128"/>
      <c r="J3" s="4129" t="s">
        <v>6171</v>
      </c>
      <c r="K3" s="4130"/>
    </row>
    <row r="4" spans="1:11" ht="15" customHeight="1">
      <c r="A4" s="1332" t="s">
        <v>3969</v>
      </c>
      <c r="B4" s="1333"/>
      <c r="C4" s="1334"/>
      <c r="D4" s="4131"/>
      <c r="E4" s="4132"/>
      <c r="F4" s="4132"/>
      <c r="G4" s="4132"/>
      <c r="H4" s="4132"/>
      <c r="I4" s="4132"/>
      <c r="J4" s="4133" t="s">
        <v>4010</v>
      </c>
      <c r="K4" s="4134"/>
    </row>
    <row r="5" spans="1:11" ht="15" customHeight="1" thickBot="1">
      <c r="A5" s="1335" t="s">
        <v>3970</v>
      </c>
      <c r="B5" s="1336"/>
      <c r="C5" s="1337"/>
      <c r="D5" s="4137"/>
      <c r="E5" s="4138"/>
      <c r="F5" s="4138"/>
      <c r="G5" s="4138"/>
      <c r="H5" s="4138"/>
      <c r="I5" s="4138"/>
      <c r="J5" s="4135"/>
      <c r="K5" s="4136"/>
    </row>
    <row r="6" spans="1:11" ht="9" customHeight="1" thickBot="1">
      <c r="E6" s="1327"/>
    </row>
    <row r="7" spans="1:11">
      <c r="A7" s="4119" t="s">
        <v>3972</v>
      </c>
      <c r="B7" s="4120"/>
      <c r="C7" s="4120"/>
      <c r="D7" s="4120"/>
      <c r="E7" s="4120"/>
      <c r="F7" s="4120"/>
      <c r="G7" s="4120"/>
      <c r="H7" s="4120"/>
      <c r="I7" s="4120"/>
      <c r="J7" s="4120"/>
      <c r="K7" s="4121"/>
    </row>
    <row r="8" spans="1:11" ht="14.25" customHeight="1">
      <c r="A8" s="1333"/>
      <c r="B8" s="1333"/>
      <c r="C8" s="1567">
        <v>1</v>
      </c>
      <c r="D8" s="1352" t="s">
        <v>3973</v>
      </c>
      <c r="E8" s="1352"/>
      <c r="F8" s="1352"/>
      <c r="G8" s="1352"/>
      <c r="H8" s="1352"/>
      <c r="I8" s="1352"/>
      <c r="J8" s="4117"/>
      <c r="K8" s="4118"/>
    </row>
    <row r="9" spans="1:11" ht="7.2" customHeight="1">
      <c r="A9" s="4122"/>
      <c r="B9" s="4122"/>
      <c r="C9" s="4122"/>
      <c r="D9" s="4123"/>
      <c r="E9" s="4123"/>
      <c r="F9" s="4123"/>
      <c r="G9" s="4123"/>
      <c r="H9" s="4123"/>
      <c r="I9" s="4123"/>
      <c r="J9" s="4123"/>
      <c r="K9" s="1353"/>
    </row>
    <row r="10" spans="1:11">
      <c r="A10" s="4124" t="s">
        <v>3974</v>
      </c>
      <c r="B10" s="4125"/>
      <c r="C10" s="4125"/>
      <c r="D10" s="4125"/>
      <c r="E10" s="4125"/>
      <c r="F10" s="4125"/>
      <c r="G10" s="4125"/>
      <c r="H10" s="4125"/>
      <c r="I10" s="4125"/>
      <c r="J10" s="4125"/>
      <c r="K10" s="4126"/>
    </row>
    <row r="11" spans="1:11" ht="14.25" customHeight="1">
      <c r="A11" s="1333"/>
      <c r="B11" s="1333"/>
      <c r="C11" s="1567">
        <v>2</v>
      </c>
      <c r="D11" s="1352" t="s">
        <v>3975</v>
      </c>
      <c r="E11" s="1354"/>
      <c r="F11" s="1354"/>
      <c r="G11" s="1354"/>
      <c r="H11" s="1354"/>
      <c r="I11" s="1354"/>
      <c r="J11" s="4115"/>
      <c r="K11" s="4116"/>
    </row>
    <row r="12" spans="1:11" ht="7.2" customHeight="1">
      <c r="A12" s="4122"/>
      <c r="B12" s="4122"/>
      <c r="C12" s="4122"/>
      <c r="D12" s="4123"/>
      <c r="E12" s="4123"/>
      <c r="F12" s="4123"/>
      <c r="G12" s="4123"/>
      <c r="H12" s="4123"/>
      <c r="I12" s="4123"/>
      <c r="J12" s="4123"/>
      <c r="K12" s="1355"/>
    </row>
    <row r="13" spans="1:11">
      <c r="A13" s="4124" t="s">
        <v>3976</v>
      </c>
      <c r="B13" s="4125"/>
      <c r="C13" s="4125"/>
      <c r="D13" s="4125"/>
      <c r="E13" s="4125"/>
      <c r="F13" s="4125"/>
      <c r="G13" s="4125"/>
      <c r="H13" s="4125"/>
      <c r="I13" s="4125"/>
      <c r="J13" s="4125"/>
      <c r="K13" s="4126"/>
    </row>
    <row r="14" spans="1:11" ht="14.25" customHeight="1">
      <c r="A14" s="1333"/>
      <c r="B14" s="1333"/>
      <c r="C14" s="1568">
        <v>3</v>
      </c>
      <c r="D14" s="1356" t="s">
        <v>3977</v>
      </c>
      <c r="E14" s="1356"/>
      <c r="F14" s="1356"/>
      <c r="G14" s="1356"/>
      <c r="H14" s="1356"/>
      <c r="I14" s="1356"/>
      <c r="J14" s="4113"/>
      <c r="K14" s="4114"/>
    </row>
    <row r="15" spans="1:11" ht="14.25" customHeight="1">
      <c r="A15" s="1333"/>
      <c r="B15" s="1333"/>
      <c r="C15" s="1569">
        <v>4</v>
      </c>
      <c r="D15" s="1333" t="s">
        <v>3978</v>
      </c>
      <c r="E15" s="1333"/>
      <c r="F15" s="1333"/>
      <c r="G15" s="1333"/>
      <c r="H15" s="1333"/>
      <c r="I15" s="1333"/>
      <c r="J15" s="4111"/>
      <c r="K15" s="4112"/>
    </row>
    <row r="16" spans="1:11" ht="14.25" customHeight="1">
      <c r="A16" s="1333"/>
      <c r="B16" s="1333"/>
      <c r="C16" s="1569">
        <v>5</v>
      </c>
      <c r="D16" s="1333" t="s">
        <v>3979</v>
      </c>
      <c r="E16" s="1333"/>
      <c r="F16" s="1333"/>
      <c r="G16" s="1333"/>
      <c r="H16" s="1333"/>
      <c r="I16" s="1333"/>
      <c r="J16" s="4111"/>
      <c r="K16" s="4112"/>
    </row>
    <row r="17" spans="1:13" ht="14.25" customHeight="1">
      <c r="A17" s="1333"/>
      <c r="B17" s="1333"/>
      <c r="C17" s="1570">
        <v>6</v>
      </c>
      <c r="D17" s="1336" t="s">
        <v>3980</v>
      </c>
      <c r="E17" s="1336"/>
      <c r="F17" s="1336"/>
      <c r="G17" s="1336"/>
      <c r="H17" s="1336"/>
      <c r="I17" s="1336"/>
      <c r="J17" s="4188"/>
      <c r="K17" s="4189"/>
    </row>
    <row r="18" spans="1:13" ht="7.2" customHeight="1">
      <c r="A18" s="4122"/>
      <c r="B18" s="4122"/>
      <c r="C18" s="4122"/>
      <c r="D18" s="4123"/>
      <c r="E18" s="4123"/>
      <c r="F18" s="4123"/>
      <c r="G18" s="4123"/>
      <c r="H18" s="4123"/>
      <c r="I18" s="4123"/>
      <c r="J18" s="4123"/>
      <c r="K18" s="1355"/>
    </row>
    <row r="19" spans="1:13" ht="14.25" customHeight="1">
      <c r="A19" s="1333"/>
      <c r="B19" s="1333"/>
      <c r="C19" s="1568">
        <v>7</v>
      </c>
      <c r="D19" s="1356" t="s">
        <v>3981</v>
      </c>
      <c r="E19" s="1356"/>
      <c r="F19" s="1356"/>
      <c r="G19" s="1356"/>
      <c r="H19" s="1356"/>
      <c r="I19" s="1356"/>
      <c r="J19" s="4186" t="str">
        <f>IF(J17="No",J14-J15,IF(J17="Yes",J14-J15-J16,"Error"))</f>
        <v>Error</v>
      </c>
      <c r="K19" s="4187"/>
    </row>
    <row r="20" spans="1:13" ht="14.25" customHeight="1">
      <c r="A20" s="1333"/>
      <c r="B20" s="1333"/>
      <c r="C20" s="1570">
        <v>8</v>
      </c>
      <c r="D20" s="1336" t="s">
        <v>3982</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567">
        <v>9</v>
      </c>
      <c r="D22" s="1357" t="s">
        <v>3983</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4014</v>
      </c>
      <c r="B30" s="4145"/>
      <c r="C30" s="4145"/>
      <c r="D30" s="4145"/>
      <c r="E30" s="4145"/>
      <c r="F30" s="4145"/>
      <c r="G30" s="4145"/>
      <c r="H30" s="4145"/>
      <c r="I30" s="4145"/>
      <c r="J30" s="4145"/>
      <c r="K30" s="4146"/>
    </row>
    <row r="31" spans="1:13">
      <c r="B31" s="4147" t="s">
        <v>6171</v>
      </c>
      <c r="C31" s="4147"/>
      <c r="D31" s="4147"/>
      <c r="E31" s="4147"/>
      <c r="F31" s="4147"/>
      <c r="G31" s="4148" t="s">
        <v>3985</v>
      </c>
      <c r="H31" s="4149"/>
      <c r="I31" s="4149"/>
      <c r="J31" s="4149"/>
      <c r="K31" s="4150"/>
    </row>
    <row r="32" spans="1:13" ht="56.25" customHeight="1">
      <c r="A32" s="1351"/>
      <c r="B32" s="1369" t="s">
        <v>4013</v>
      </c>
      <c r="C32" s="1370" t="s">
        <v>4009</v>
      </c>
      <c r="D32" s="1370" t="s">
        <v>4008</v>
      </c>
      <c r="E32" s="4151" t="s">
        <v>6099</v>
      </c>
      <c r="F32" s="4152"/>
      <c r="G32" s="1371" t="s">
        <v>3986</v>
      </c>
      <c r="H32" s="1371" t="s">
        <v>3987</v>
      </c>
      <c r="J32" s="1371" t="s">
        <v>3988</v>
      </c>
      <c r="K32" s="1371" t="s">
        <v>3989</v>
      </c>
      <c r="L32" s="4139" t="s">
        <v>3990</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3991</v>
      </c>
      <c r="H52" s="1372" t="e">
        <f>SUM(H33:H51)</f>
        <v>#VALUE!</v>
      </c>
      <c r="I52" s="1356"/>
      <c r="J52" s="1362" t="s">
        <v>3992</v>
      </c>
      <c r="K52" s="1358" t="e">
        <f>SUM(K33:K51)</f>
        <v>#VALUE!</v>
      </c>
      <c r="L52" s="4139"/>
      <c r="M52" s="4139"/>
    </row>
    <row r="53" spans="1:13" ht="15" customHeight="1">
      <c r="B53" s="1363"/>
      <c r="C53" s="4158" t="s">
        <v>3993</v>
      </c>
      <c r="D53" s="4158"/>
      <c r="E53" s="4158"/>
      <c r="F53" s="4158"/>
      <c r="G53" s="4158"/>
      <c r="H53" s="4158"/>
      <c r="I53" s="4158"/>
      <c r="J53" s="4159"/>
      <c r="K53" s="1364" t="str">
        <f>IF(J17="no",0,IF(J17="yes",J16,"Error"))</f>
        <v>Error</v>
      </c>
      <c r="L53" s="4139"/>
      <c r="M53" s="4139"/>
    </row>
    <row r="54" spans="1:13" ht="15" customHeight="1" thickBot="1">
      <c r="B54" s="1363"/>
      <c r="C54" s="4160" t="s">
        <v>3994</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4" t="s">
        <v>4012</v>
      </c>
      <c r="F57" s="4165"/>
      <c r="G57" s="4166" t="s">
        <v>3997</v>
      </c>
      <c r="H57" s="4167"/>
      <c r="I57" s="4164" t="s">
        <v>4011</v>
      </c>
      <c r="J57" s="4165"/>
      <c r="K57" s="4168"/>
    </row>
    <row r="58" spans="1:13" ht="15" customHeight="1">
      <c r="A58" s="1465"/>
      <c r="B58" s="1381"/>
      <c r="C58" s="1359">
        <f>SUMIF(C33:C51, "0", H33:H51)</f>
        <v>0</v>
      </c>
      <c r="D58" s="1484">
        <f t="shared" ref="D58:D63" si="4">ROUNDUP(C58*1.1,0)</f>
        <v>0</v>
      </c>
      <c r="E58" s="4170" t="s">
        <v>3998</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3999</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4000</v>
      </c>
      <c r="F63" s="4180"/>
      <c r="G63" s="4172">
        <f>'DCA Underwriting Assumptions'!H133</f>
        <v>316236</v>
      </c>
      <c r="H63" s="4173"/>
      <c r="I63" s="4181">
        <f t="shared" si="5"/>
        <v>0</v>
      </c>
      <c r="J63" s="4181"/>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3"/>
      <c r="B65" s="4163"/>
      <c r="C65" s="4163"/>
      <c r="D65" s="4163"/>
      <c r="E65" s="4163"/>
      <c r="F65" s="4163"/>
      <c r="G65" s="4163"/>
      <c r="H65" s="4163"/>
      <c r="I65" s="4163"/>
      <c r="J65" s="4163"/>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78" t="s">
        <v>4007</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0E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0E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Westchester Village, Jonesboro, Clayton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6531</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6530</v>
      </c>
      <c r="M5" s="1807" t="str">
        <f>'Part I-Project Identification'!$F$12</f>
        <v>9% Credit Competitive Round only</v>
      </c>
      <c r="N5" s="1808"/>
      <c r="O5" s="1809"/>
      <c r="P5" s="4283"/>
      <c r="Q5" s="4194"/>
      <c r="R5" s="1604"/>
      <c r="S5" s="1604"/>
    </row>
    <row r="6" spans="1:19" ht="17.25" customHeight="1">
      <c r="A6" s="96" t="s">
        <v>6529</v>
      </c>
      <c r="I6" s="490"/>
      <c r="J6" s="490"/>
      <c r="K6" s="4278" t="s">
        <v>3281</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6"/>
      <c r="Q27" s="4205"/>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6641</v>
      </c>
      <c r="C35" s="4"/>
      <c r="D35" s="4"/>
      <c r="E35" s="887"/>
      <c r="F35" s="887"/>
      <c r="H35" s="887"/>
      <c r="J35" s="3060" t="s">
        <v>6465</v>
      </c>
      <c r="K35" s="3061"/>
      <c r="L35" s="3062"/>
      <c r="M35" s="147" t="s">
        <v>1647</v>
      </c>
      <c r="N35" s="4369"/>
      <c r="O35" s="4370"/>
      <c r="P35" s="4370"/>
      <c r="Q35" s="4371"/>
    </row>
    <row r="36" spans="1:31" ht="12.75" customHeight="1">
      <c r="A36" s="2"/>
      <c r="B36" s="108" t="s">
        <v>6640</v>
      </c>
      <c r="C36" s="4"/>
      <c r="D36" s="4"/>
      <c r="E36" s="887"/>
      <c r="F36" s="887"/>
      <c r="G36" s="1664"/>
      <c r="H36" s="887"/>
      <c r="J36" s="3060" t="s">
        <v>6466</v>
      </c>
      <c r="K36" s="3061"/>
      <c r="L36" s="3062"/>
      <c r="M36" s="147" t="s">
        <v>1647</v>
      </c>
      <c r="N36" s="4369"/>
      <c r="O36" s="4370"/>
      <c r="P36" s="4370"/>
      <c r="Q36" s="437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6"/>
      <c r="Q40" s="4205"/>
    </row>
    <row r="41" spans="1:31" ht="1.5" customHeight="1"/>
    <row r="42" spans="1:31" ht="12" customHeight="1">
      <c r="A42" s="110" t="s">
        <v>1841</v>
      </c>
      <c r="B42" s="4198" t="s">
        <v>3784</v>
      </c>
      <c r="C42" s="4198"/>
      <c r="D42" s="4198"/>
      <c r="E42" s="4198"/>
      <c r="F42" s="4198"/>
      <c r="G42" s="4198"/>
      <c r="H42" s="4198"/>
      <c r="I42" s="4198"/>
      <c r="J42" s="4198"/>
      <c r="K42" s="115"/>
      <c r="L42" s="347" t="s">
        <v>2580</v>
      </c>
      <c r="M42" s="1203">
        <v>2</v>
      </c>
      <c r="N42" s="108" t="s">
        <v>4021</v>
      </c>
      <c r="P42" s="4238"/>
      <c r="Q42" s="4250"/>
    </row>
    <row r="43" spans="1:31" ht="12" customHeight="1">
      <c r="A43" s="110"/>
      <c r="B43" s="4198"/>
      <c r="C43" s="4198"/>
      <c r="D43" s="4198"/>
      <c r="E43" s="4198"/>
      <c r="F43" s="4198"/>
      <c r="G43" s="4198"/>
      <c r="H43" s="4198"/>
      <c r="I43" s="4198"/>
      <c r="J43" s="4198"/>
      <c r="K43" s="115"/>
      <c r="L43" s="347" t="s">
        <v>3788</v>
      </c>
      <c r="M43" s="1204">
        <v>4</v>
      </c>
      <c r="O43" s="111"/>
      <c r="P43" s="4239"/>
      <c r="Q43" s="4251"/>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1"/>
      <c r="M50" s="4262"/>
      <c r="N50" s="4262"/>
      <c r="O50" s="4262"/>
      <c r="P50" s="4262"/>
      <c r="Q50" s="4263"/>
    </row>
    <row r="51" spans="1:31" ht="12.75" customHeight="1">
      <c r="A51" s="112"/>
      <c r="B51" s="372" t="s">
        <v>1448</v>
      </c>
      <c r="C51" s="4198" t="s">
        <v>3794</v>
      </c>
      <c r="D51" s="4198"/>
      <c r="E51" s="4198"/>
      <c r="F51" s="4198"/>
      <c r="G51" s="4198"/>
      <c r="H51" s="4198"/>
      <c r="I51" s="4198"/>
      <c r="J51" s="4198"/>
      <c r="K51" s="4198"/>
      <c r="L51" s="4198"/>
      <c r="M51" s="413"/>
      <c r="N51" s="108" t="s">
        <v>4026</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3946</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3949</v>
      </c>
      <c r="D84" s="4198"/>
      <c r="E84" s="4198"/>
      <c r="F84" s="4198"/>
      <c r="G84" s="4198"/>
      <c r="H84" s="4198"/>
      <c r="I84" s="4198"/>
      <c r="J84" s="4198"/>
      <c r="K84" s="4198"/>
      <c r="L84" s="4198"/>
      <c r="M84" s="4198"/>
      <c r="N84" s="4198"/>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6532</v>
      </c>
      <c r="O92" s="101" t="s">
        <v>1731</v>
      </c>
      <c r="P92" s="4216"/>
      <c r="Q92" s="4205"/>
      <c r="R92" s="860" t="s">
        <v>6519</v>
      </c>
    </row>
    <row r="93" spans="1:31" ht="6.6" customHeight="1"/>
    <row r="94" spans="1:31">
      <c r="A94" s="40" t="s">
        <v>1841</v>
      </c>
      <c r="B94" s="29" t="s">
        <v>6186</v>
      </c>
      <c r="D94" s="103"/>
      <c r="E94" s="103"/>
      <c r="F94" s="103"/>
      <c r="G94" s="103"/>
      <c r="H94" s="103"/>
      <c r="I94" s="35"/>
      <c r="J94" s="35"/>
      <c r="K94" s="48" t="s">
        <v>1841</v>
      </c>
      <c r="L94" s="4348"/>
      <c r="M94" s="4348"/>
      <c r="N94" s="4348"/>
      <c r="O94" s="4348"/>
      <c r="P94" s="4349"/>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6"/>
      <c r="Q130" s="4205"/>
      <c r="R130" s="860" t="s">
        <v>6519</v>
      </c>
    </row>
    <row r="131" spans="1:31" ht="12" customHeight="1">
      <c r="A131" s="40" t="s">
        <v>1841</v>
      </c>
      <c r="B131" s="113" t="s">
        <v>1614</v>
      </c>
      <c r="C131" s="29" t="s">
        <v>6534</v>
      </c>
      <c r="D131" s="29"/>
      <c r="E131" s="29"/>
      <c r="F131" s="29"/>
      <c r="G131" s="29"/>
      <c r="K131" s="29" t="s">
        <v>2460</v>
      </c>
      <c r="M131" s="4240"/>
      <c r="N131" s="4241"/>
      <c r="O131" s="49" t="s">
        <v>1614</v>
      </c>
      <c r="P131" s="74"/>
      <c r="Q131" s="417"/>
    </row>
    <row r="132" spans="1:31" ht="12" customHeight="1">
      <c r="A132" s="40"/>
      <c r="B132" s="113" t="s">
        <v>1615</v>
      </c>
      <c r="C132" s="29" t="s">
        <v>4055</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6840</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6192</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3233</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3799</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3234</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3832</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6532</v>
      </c>
      <c r="O151" s="101" t="s">
        <v>1731</v>
      </c>
      <c r="P151" s="4216"/>
      <c r="Q151" s="4205"/>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3235</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3306</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6"/>
      <c r="Q169" s="4205"/>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3240</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6"/>
      <c r="Q177" s="4205"/>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6193</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50</v>
      </c>
      <c r="P197" s="4225" t="s">
        <v>3855</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3401</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7" t="s">
        <v>950</v>
      </c>
      <c r="D202" s="4248"/>
      <c r="E202" s="4248"/>
      <c r="F202" s="4248"/>
      <c r="G202" s="4249"/>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6743</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6739</v>
      </c>
      <c r="L217" s="1326" t="str">
        <f>'Part I-Project Identification'!$P$25</f>
        <v>Yes</v>
      </c>
      <c r="M217" s="887"/>
      <c r="O217" s="101" t="s">
        <v>1731</v>
      </c>
      <c r="P217" s="4216"/>
      <c r="Q217" s="4205"/>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6115</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6195</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6206</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6207</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3245</v>
      </c>
      <c r="C246" s="4358"/>
      <c r="D246" s="4358"/>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6502</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4030</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4056</v>
      </c>
      <c r="D260" s="4198"/>
      <c r="E260" s="4198"/>
      <c r="F260" s="4198"/>
      <c r="G260" s="4198"/>
      <c r="H260" s="4198"/>
      <c r="I260" s="4198"/>
      <c r="J260" s="4198"/>
      <c r="K260" s="4198"/>
      <c r="L260" s="4198"/>
      <c r="M260" s="4198"/>
      <c r="N260" s="4198"/>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6120</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3847</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3337</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6656</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6657</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6201</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6204</v>
      </c>
      <c r="E288" s="4198"/>
      <c r="F288" s="4198"/>
      <c r="G288" s="4198"/>
      <c r="H288" s="4198"/>
      <c r="I288" s="108"/>
      <c r="J288" s="4257" t="s">
        <v>3266</v>
      </c>
      <c r="K288" s="4225"/>
      <c r="L288" s="4225"/>
      <c r="M288" s="4270" t="s">
        <v>3247</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3387</v>
      </c>
      <c r="K290" s="1595"/>
      <c r="L290" s="795" t="str">
        <f>IF(K290&lt;M290,"Check!!!","")</f>
        <v>Check!!!</v>
      </c>
      <c r="M290" s="1597">
        <f>ROUNDUP('Part V-Revenues &amp; Expenses'!$P$67*'Part VII-Threshold Criteria OLD'!N290,0)</f>
        <v>3</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6205</v>
      </c>
      <c r="E291" s="4198"/>
      <c r="F291" s="4198"/>
      <c r="G291" s="4198"/>
      <c r="H291" s="4198"/>
      <c r="I291" s="370" t="s">
        <v>3388</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6740</v>
      </c>
      <c r="D293" s="4198"/>
      <c r="E293" s="4198"/>
      <c r="F293" s="4198"/>
      <c r="G293" s="4198"/>
      <c r="H293" s="4198"/>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6718</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6658</v>
      </c>
      <c r="D299" s="4198"/>
      <c r="E299" s="4198"/>
      <c r="F299" s="4198"/>
      <c r="G299" s="4198"/>
      <c r="H299" s="4198"/>
      <c r="I299" s="4198"/>
      <c r="J299" s="4198"/>
      <c r="K299" s="4198"/>
      <c r="L299" s="4198"/>
      <c r="M299" s="4198"/>
      <c r="N299" s="4198"/>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3833</v>
      </c>
      <c r="D300" s="4198"/>
      <c r="E300" s="4198"/>
      <c r="F300" s="4198"/>
      <c r="G300" s="4198"/>
      <c r="H300" s="4198"/>
      <c r="I300" s="4198"/>
      <c r="J300" s="4198"/>
      <c r="K300" s="4198"/>
      <c r="L300" s="4198"/>
      <c r="M300" s="4198"/>
      <c r="N300" s="4198"/>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3169</v>
      </c>
      <c r="D301" s="4198"/>
      <c r="E301" s="4198"/>
      <c r="F301" s="4198"/>
      <c r="G301" s="4198"/>
      <c r="H301" s="4198"/>
      <c r="I301" s="4198"/>
      <c r="J301" s="4198"/>
      <c r="K301" s="4198"/>
      <c r="L301" s="4198"/>
      <c r="M301" s="4198"/>
      <c r="N301" s="4198"/>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3170</v>
      </c>
      <c r="D302" s="4198"/>
      <c r="E302" s="4198"/>
      <c r="F302" s="4198"/>
      <c r="G302" s="4198"/>
      <c r="H302" s="4198"/>
      <c r="I302" s="4198"/>
      <c r="J302" s="4198"/>
      <c r="K302" s="4198"/>
      <c r="L302" s="4198"/>
      <c r="M302" s="4198"/>
      <c r="N302" s="4198"/>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6667</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7" t="s">
        <v>6122</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6123</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16"/>
      <c r="Q326" s="4205"/>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16" t="s">
        <v>1646</v>
      </c>
      <c r="O329" s="4317"/>
      <c r="P329" s="4318" t="s">
        <v>1646</v>
      </c>
      <c r="Q329" s="4319"/>
    </row>
    <row r="330" spans="1:256" ht="11.7" customHeight="1">
      <c r="A330" s="40" t="s">
        <v>1962</v>
      </c>
      <c r="B330" s="44" t="s">
        <v>6537</v>
      </c>
      <c r="O330" s="48" t="s">
        <v>1962</v>
      </c>
      <c r="P330" s="1400"/>
      <c r="Q330" s="1399"/>
    </row>
    <row r="331" spans="1:256" ht="11.7" customHeight="1">
      <c r="A331" s="110" t="s">
        <v>1612</v>
      </c>
      <c r="B331" s="44" t="s">
        <v>6538</v>
      </c>
      <c r="N331" s="128" t="s">
        <v>1612</v>
      </c>
      <c r="O331" s="4310" t="s">
        <v>2559</v>
      </c>
      <c r="P331" s="4311"/>
      <c r="Q331" s="4312"/>
    </row>
    <row r="332" spans="1:256" ht="11.7" customHeight="1">
      <c r="A332" s="110" t="s">
        <v>1613</v>
      </c>
      <c r="B332" s="67" t="s">
        <v>2170</v>
      </c>
      <c r="N332" s="128" t="s">
        <v>1613</v>
      </c>
      <c r="O332" s="4267" t="s">
        <v>2559</v>
      </c>
      <c r="P332" s="4268"/>
      <c r="Q332" s="426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8" t="s">
        <v>6685</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50</v>
      </c>
      <c r="F343" s="29" t="s">
        <v>3894</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6686</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50</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6687</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50</v>
      </c>
      <c r="F348" s="29" t="s">
        <v>3894</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3359</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3360</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3351</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3352</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3354</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8" t="s">
        <v>3356</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3357</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7"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3202</v>
      </c>
      <c r="G374" s="889"/>
      <c r="H374" s="889"/>
      <c r="I374" s="889"/>
      <c r="J374" s="33" t="s">
        <v>3203</v>
      </c>
      <c r="L374" s="889"/>
      <c r="M374" s="4336">
        <f>'Part II-Sources of Funds'!I6</f>
        <v>0</v>
      </c>
      <c r="N374" s="4337"/>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0"/>
      <c r="Q391" s="4351"/>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8"/>
      <c r="Q395" s="4296"/>
    </row>
    <row r="396" spans="1:31" ht="12" customHeight="1">
      <c r="A396" s="40"/>
      <c r="D396" s="29" t="s">
        <v>6501</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6151</v>
      </c>
      <c r="D400" s="4198"/>
      <c r="E400" s="4198"/>
      <c r="F400" s="4198"/>
      <c r="G400" s="29" t="s">
        <v>3943</v>
      </c>
      <c r="J400" s="718"/>
      <c r="K400" s="426"/>
      <c r="M400" s="29" t="s">
        <v>6225</v>
      </c>
      <c r="P400" s="1760"/>
      <c r="Q400" s="1761"/>
    </row>
    <row r="401" spans="1:44" ht="12" customHeight="1">
      <c r="A401" s="40"/>
      <c r="C401" s="4198"/>
      <c r="D401" s="4198"/>
      <c r="E401" s="4198"/>
      <c r="F401" s="4198"/>
      <c r="G401" s="29" t="s">
        <v>6224</v>
      </c>
      <c r="J401" s="719"/>
      <c r="K401" s="427"/>
      <c r="M401" s="29" t="s">
        <v>6226</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6181</v>
      </c>
      <c r="J403" s="4257" t="s">
        <v>6182</v>
      </c>
      <c r="K403" s="4257" t="s">
        <v>6184</v>
      </c>
      <c r="L403" s="4257"/>
      <c r="M403" s="4257"/>
      <c r="N403" s="4338" t="s">
        <v>6183</v>
      </c>
      <c r="O403" s="48"/>
      <c r="P403" s="4190" t="s">
        <v>6697</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6295</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6296</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3" t="s">
        <v>6229</v>
      </c>
      <c r="E416" s="352" t="s">
        <v>2263</v>
      </c>
      <c r="F416" s="44" t="s">
        <v>3288</v>
      </c>
      <c r="G416" s="4352"/>
      <c r="H416" s="4353"/>
      <c r="I416" s="4353"/>
      <c r="J416" s="4353"/>
      <c r="K416" s="4354"/>
      <c r="L416" s="352"/>
    </row>
    <row r="417" spans="1:31" ht="12" customHeight="1">
      <c r="B417" s="115"/>
      <c r="D417" s="4373"/>
      <c r="E417" s="352" t="s">
        <v>3940</v>
      </c>
      <c r="F417" s="44" t="s">
        <v>3941</v>
      </c>
      <c r="G417" s="4327" t="s">
        <v>3205</v>
      </c>
      <c r="H417" s="4328"/>
      <c r="I417" s="4329"/>
      <c r="J417" s="44" t="s">
        <v>3802</v>
      </c>
      <c r="K417" s="115"/>
      <c r="M417" s="4352"/>
      <c r="N417" s="4353"/>
      <c r="O417" s="4353"/>
      <c r="P417" s="4353"/>
      <c r="Q417" s="4354"/>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44"/>
      <c r="C419" s="4345"/>
      <c r="D419" s="4345"/>
      <c r="E419" s="4345"/>
      <c r="F419" s="4345"/>
      <c r="G419" s="4345"/>
      <c r="H419" s="4345"/>
      <c r="I419" s="4345"/>
      <c r="J419" s="4345"/>
      <c r="K419" s="4345"/>
      <c r="L419" s="4345"/>
      <c r="M419" s="4345"/>
      <c r="N419" s="4345"/>
      <c r="O419" s="4345"/>
      <c r="P419" s="4345"/>
      <c r="Q419" s="434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4034</v>
      </c>
      <c r="C421" s="4198"/>
      <c r="D421" s="4198"/>
      <c r="E421" s="4198"/>
      <c r="F421" s="4198"/>
      <c r="G421" s="4198"/>
      <c r="H421" s="4198"/>
      <c r="I421" s="4198"/>
      <c r="J421" s="4198"/>
      <c r="K421" s="4198"/>
      <c r="L421" s="4198"/>
      <c r="M421" s="4198"/>
      <c r="N421" s="4198"/>
    </row>
    <row r="422" spans="1:31" s="115" customFormat="1" ht="45" customHeight="1">
      <c r="B422" s="4198" t="s">
        <v>6543</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3240</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6"/>
      <c r="Q428" s="4205"/>
    </row>
    <row r="429" spans="1:31" ht="14.1" customHeight="1">
      <c r="B429" s="66" t="s">
        <v>3897</v>
      </c>
      <c r="C429" s="4"/>
      <c r="D429" s="66"/>
      <c r="E429" s="887"/>
      <c r="F429" s="887"/>
      <c r="G429" s="887"/>
      <c r="H429" s="887"/>
    </row>
    <row r="430" spans="1:31" s="102" customFormat="1" ht="21.75" customHeight="1">
      <c r="A430" s="110" t="s">
        <v>1841</v>
      </c>
      <c r="B430" s="4198" t="s">
        <v>3312</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3311</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3867</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3869</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3870</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3313</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3918</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3919</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3952</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F00-000000000000}">
      <formula1>"&lt;&lt;Select&gt;&gt;, Substantial Gut Rehab, Historic Preservation, Pre-Application Waiver"</formula1>
    </dataValidation>
    <dataValidation type="list" allowBlank="1" showInputMessage="1" showErrorMessage="1" sqref="P210" xr:uid="{00000000-0002-0000-0F00-000001000000}">
      <formula1>"Agree, Disagree, N/A"</formula1>
    </dataValidation>
    <dataValidation type="list" allowBlank="1" showInputMessage="1" showErrorMessage="1" sqref="P160:P161 Q49 Q46 P101:Q101" xr:uid="{00000000-0002-0000-0F00-000002000000}">
      <formula1>"Yes, No, N/Ap"</formula1>
    </dataValidation>
    <dataValidation type="list" allowBlank="1" showInputMessage="1" showErrorMessage="1" sqref="P6:Q6" xr:uid="{00000000-0002-0000-0F00-000003000000}">
      <formula1>"PASS, FAIL, W/DRWN"</formula1>
    </dataValidation>
    <dataValidation type="list" allowBlank="1" showInputMessage="1" showErrorMessage="1" sqref="M133:N133" xr:uid="{00000000-0002-0000-0F00-000004000000}">
      <formula1>"&lt;&lt;Select&gt;&gt;, Warranty Deed, Purchase Contract, Ground lease/Option, RFP Selection, Other (see comments)"</formula1>
    </dataValidation>
    <dataValidation type="list" allowBlank="1" showInputMessage="1" showErrorMessage="1" sqref="P133:Q133" xr:uid="{00000000-0002-0000-0F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F00-000006000000}">
      <formula1>"Yes, No, N/A"</formula1>
    </dataValidation>
    <dataValidation type="list" allowBlank="1" showInputMessage="1" showErrorMessage="1" sqref="K192" xr:uid="{00000000-0002-0000-0F00-000007000000}">
      <formula1>"&lt;&lt;Select&gt;&gt;, Room, Building"</formula1>
    </dataValidation>
    <dataValidation type="list" allowBlank="1" showInputMessage="1" showErrorMessage="1" sqref="G314:N314" xr:uid="{00000000-0002-0000-0F00-000008000000}">
      <formula1>$K$494:$K$498</formula1>
    </dataValidation>
    <dataValidation type="list" allowBlank="1" showInputMessage="1" showErrorMessage="1" sqref="G315:N315" xr:uid="{00000000-0002-0000-0F00-000009000000}">
      <formula1>$K$489:$K$491</formula1>
    </dataValidation>
    <dataValidation type="list" allowBlank="1" showInputMessage="1" showErrorMessage="1" sqref="N123:Q123" xr:uid="{00000000-0002-0000-0F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F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F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F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F00-00000E000000}">
      <formula1>"Yes, No"</formula1>
    </dataValidation>
    <dataValidation type="list" allowBlank="1" showInputMessage="1" showErrorMessage="1" sqref="P143:P145" xr:uid="{00000000-0002-0000-0F00-00000F000000}">
      <formula1>"Yes, No,N/A"</formula1>
    </dataValidation>
    <dataValidation type="list" allowBlank="1" showInputMessage="1" showErrorMessage="1" sqref="P135:Q135 P86:Q87" xr:uid="{00000000-0002-0000-0F00-000010000000}">
      <formula1>"Yes, No, N/a"</formula1>
    </dataValidation>
    <dataValidation type="list" allowBlank="1" showInputMessage="1" showErrorMessage="1" sqref="G417" xr:uid="{00000000-0002-0000-0F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F00-000012000000}">
      <formula1>"&lt;&lt;Select&gt;&gt;, Applicant, Third-party"</formula1>
    </dataValidation>
    <dataValidation type="list" allowBlank="1" showInputMessage="1" showErrorMessage="1" sqref="K195:N195" xr:uid="{00000000-0002-0000-0F00-000013000000}">
      <formula1>"&lt;&lt;Select&gt;&gt;, On-site laundry, W&amp;D installed in each unit, Both options"</formula1>
    </dataValidation>
    <dataValidation type="list" allowBlank="1" showInputMessage="1" showErrorMessage="1" sqref="C199:G202" xr:uid="{00000000-0002-0000-0F00-000014000000}">
      <formula1>$M$507:$M$515</formula1>
    </dataValidation>
    <dataValidation type="list" allowBlank="1" showInputMessage="1" showErrorMessage="1" sqref="O331:Q332" xr:uid="{00000000-0002-0000-0F00-000015000000}">
      <formula1>$O$456:$O$464</formula1>
    </dataValidation>
    <dataValidation type="list" allowBlank="1" showInputMessage="1" showErrorMessage="1" sqref="P46" xr:uid="{00000000-0002-0000-0F00-000016000000}">
      <formula1>"Agree, Disagree, N/ap"</formula1>
    </dataValidation>
    <dataValidation type="list" allowBlank="1" showInputMessage="1" showErrorMessage="1" sqref="P49" xr:uid="{00000000-0002-0000-0F00-000017000000}">
      <formula1>"Agree, Disagree, N/Ap"</formula1>
    </dataValidation>
    <dataValidation type="list" allowBlank="1" showInputMessage="1" showErrorMessage="1" sqref="K193:L193" xr:uid="{00000000-0002-0000-0F00-000018000000}">
      <formula1>"&lt;&lt;Select&gt;&gt;, Gazebo, Covered Porch, Other Pre-Approved"</formula1>
    </dataValidation>
    <dataValidation type="list" allowBlank="1" showInputMessage="1" showErrorMessage="1" sqref="K238:O238" xr:uid="{00000000-0002-0000-0F00-000019000000}">
      <formula1>"&lt;&lt;Select&gt;&gt;, Substantial Rehab Gutted, Substantial Rehab Non-Gutted,Historic Preservation"</formula1>
    </dataValidation>
    <dataValidation type="list" allowBlank="1" showInputMessage="1" showErrorMessage="1" sqref="K310" xr:uid="{00000000-0002-0000-0F00-00001A000000}">
      <formula1>"&lt;&lt;Select&gt;&gt;, N/A - no NC involved, Yes - W&amp;D hookups installed in each unit"</formula1>
    </dataValidation>
    <dataValidation type="list" allowBlank="1" showInputMessage="1" showErrorMessage="1" sqref="L273:P273" xr:uid="{00000000-0002-0000-0F00-00001B000000}">
      <formula1>$M$519:$M$533</formula1>
    </dataValidation>
    <dataValidation type="list" allowBlank="1" showInputMessage="1" showErrorMessage="1" sqref="N329:Q329" xr:uid="{00000000-0002-0000-0F00-00001C000000}">
      <formula1>"&lt;&lt;Select&gt;&gt;,Yes - see Comment, No, N/A - no pre-app"</formula1>
    </dataValidation>
    <dataValidation type="list" allowBlank="1" showInputMessage="1" showErrorMessage="1" sqref="J35" xr:uid="{00000000-0002-0000-0F00-00001D000000}">
      <formula1>"&lt;&lt; Select PROPOSED Tenancy &gt;&gt;,Family,Elderly,HFOP,Other Senior/Elderly, Other Non-Senior"</formula1>
    </dataValidation>
    <dataValidation type="list" allowBlank="1" showInputMessage="1" showErrorMessage="1" sqref="J36:L36" xr:uid="{00000000-0002-0000-0F00-00001E000000}">
      <formula1>"&lt;&lt; Select CURRENT Tenancy &gt;&gt;,Family,Elderly,HFOP,Other Senior/Elderly, Other Non-Senior, N/A"</formula1>
    </dataValidation>
  </dataValidations>
  <hyperlinks>
    <hyperlink ref="N275" r:id="rId1" xr:uid="{00000000-0004-0000-0F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87" t="s">
        <v>6524</v>
      </c>
      <c r="B2" s="4387"/>
      <c r="C2" s="147"/>
      <c r="D2" s="795">
        <v>2021</v>
      </c>
      <c r="E2" s="144"/>
      <c r="F2" s="4422" t="s">
        <v>2999</v>
      </c>
      <c r="G2" s="4423"/>
      <c r="H2" s="4423"/>
      <c r="I2" s="4423"/>
      <c r="J2" s="4424"/>
      <c r="K2" s="234"/>
      <c r="L2" s="443" t="s">
        <v>3142</v>
      </c>
      <c r="M2" s="234"/>
      <c r="N2" s="4422" t="s">
        <v>2999</v>
      </c>
      <c r="O2" s="4423"/>
      <c r="P2" s="4423"/>
      <c r="Q2" s="4423"/>
      <c r="R2" s="4424"/>
      <c r="S2" s="241"/>
      <c r="T2" s="144"/>
      <c r="U2" s="144"/>
      <c r="V2" s="322"/>
      <c r="W2" s="322"/>
      <c r="X2" s="322"/>
      <c r="AA2" s="68"/>
      <c r="AB2" s="68"/>
    </row>
    <row r="3" spans="1:28" s="145" customFormat="1" ht="11.7"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3165</v>
      </c>
      <c r="L45" s="4381"/>
      <c r="M45" s="4381"/>
      <c r="N45" s="4382"/>
    </row>
    <row r="46" spans="1:295" s="28" customFormat="1" ht="11.25" customHeight="1">
      <c r="A46" s="4394"/>
      <c r="B46" s="4394"/>
      <c r="C46" s="4394"/>
      <c r="D46" s="4394"/>
      <c r="E46" s="4394"/>
      <c r="F46" s="1245"/>
      <c r="G46" s="4383" t="s">
        <v>333</v>
      </c>
      <c r="H46" s="4384"/>
      <c r="I46" s="66"/>
      <c r="J46" s="35"/>
      <c r="K46" s="4389" t="s">
        <v>3166</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3936</v>
      </c>
      <c r="Q47" s="4392"/>
    </row>
    <row r="48" spans="1:295" s="62" customFormat="1" ht="10.5" customHeight="1">
      <c r="D48" s="491" t="s">
        <v>2464</v>
      </c>
      <c r="E48" s="28"/>
      <c r="F48" s="492" t="s">
        <v>3067</v>
      </c>
      <c r="G48" s="4407" t="s">
        <v>3893</v>
      </c>
      <c r="H48" s="4407"/>
      <c r="I48" s="4407"/>
      <c r="J48" s="28"/>
      <c r="K48" s="492" t="s">
        <v>3067</v>
      </c>
      <c r="L48" s="4407" t="s">
        <v>3892</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399" t="str">
        <f>IF('Part I-Project Identification'!$F$26="","",VLOOKUP('Part I-Project Identification'!$J$26,'DCA Underwriting Assumptions'!$G$141:$N$300,8,FALSE))</f>
        <v>Atlanta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0" t="s">
        <v>3937</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5">
        <f>'Part III-A-Uses of Funds'!$G$146</f>
        <v>17729099</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3928</v>
      </c>
      <c r="Q54" s="4190"/>
      <c r="R54" s="4425" t="s">
        <v>6300</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17046176</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89" t="s">
        <v>3365</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3"/>
      <c r="Q58" s="4404"/>
      <c r="R58" s="328"/>
      <c r="S58" s="4408" t="s">
        <v>3931</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88" t="s">
        <v>3161</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88" t="s">
        <v>3162</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24</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24 units = </v>
      </c>
      <c r="I71" s="1244">
        <f>IF(F71="","",F71*G71)</f>
        <v>4688439.5999999996</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11218779</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26</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26 units = </v>
      </c>
      <c r="I72" s="1244">
        <f>IF(F72="","",F72*G72)</f>
        <v>6530339.3999999994</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7" t="s">
        <v>3449</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50</v>
      </c>
      <c r="G75" s="493"/>
      <c r="H75" s="871"/>
      <c r="I75" s="874">
        <f>SUM(I70:I74)</f>
        <v>11218779</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50</v>
      </c>
      <c r="G77" s="258"/>
      <c r="H77" s="4426">
        <f>I54+I61+I68+I75</f>
        <v>11218779</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1000-000000000000}">
      <formula1>"Yes, No"</formula1>
    </dataValidation>
    <dataValidation type="list" allowBlank="1" showInputMessage="1" showErrorMessage="1" sqref="P44" xr:uid="{00000000-0002-0000-1000-000001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Westchester Village, Jonesboro, Clayton County</v>
      </c>
      <c r="B1" s="3317"/>
      <c r="C1" s="3317"/>
      <c r="D1" s="3317"/>
      <c r="E1" s="3317"/>
      <c r="F1" s="3317"/>
      <c r="G1" s="3317"/>
      <c r="H1" s="3317"/>
      <c r="I1" s="3317"/>
      <c r="J1" s="3317"/>
      <c r="K1" s="3317"/>
      <c r="L1" s="3317"/>
      <c r="M1" s="3317"/>
      <c r="N1" s="3317"/>
      <c r="O1" s="3317"/>
      <c r="P1" s="3318"/>
      <c r="Q1" s="4713" t="s">
        <v>6645</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6659</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3" t="s">
        <v>6496</v>
      </c>
      <c r="G12" s="4633"/>
      <c r="H12" s="4633"/>
      <c r="I12" s="4633"/>
      <c r="J12" s="4633"/>
      <c r="K12" s="4633"/>
      <c r="L12" s="4633"/>
      <c r="M12" s="4633"/>
      <c r="N12" s="4633"/>
      <c r="O12" s="1201" t="s">
        <v>3810</v>
      </c>
      <c r="P12" s="1202">
        <f>SUM(P13:P31)</f>
        <v>0</v>
      </c>
      <c r="Q12" s="4712" t="s">
        <v>6545</v>
      </c>
      <c r="R12" s="4712"/>
      <c r="S12" s="4712"/>
      <c r="T12" s="4712"/>
      <c r="U12" s="4712"/>
      <c r="V12" s="1179"/>
    </row>
    <row r="13" spans="1:25" s="35" customFormat="1" ht="10.5" customHeight="1">
      <c r="A13" s="924" t="s">
        <v>1668</v>
      </c>
      <c r="B13" s="921" t="s">
        <v>3394</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4038</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3339</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3395</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3396</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4039</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4041</v>
      </c>
      <c r="B19" s="751" t="s">
        <v>3262</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4053</v>
      </c>
      <c r="B20" s="751" t="s">
        <v>4042</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6243</v>
      </c>
      <c r="B21" s="931" t="s">
        <v>4043</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6637</v>
      </c>
      <c r="B22" s="751" t="s">
        <v>6549</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6639</v>
      </c>
      <c r="B23" s="751" t="s">
        <v>6638</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3369</v>
      </c>
      <c r="B24" s="1887" t="s">
        <v>6555</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3373</v>
      </c>
      <c r="B25" s="751" t="s">
        <v>3397</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3376</v>
      </c>
      <c r="B26" s="751" t="s">
        <v>3398</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3377</v>
      </c>
      <c r="B27" s="751" t="s">
        <v>3399</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3803</v>
      </c>
      <c r="B30" s="751" t="s">
        <v>6553</v>
      </c>
      <c r="C30" s="866"/>
      <c r="D30" s="925"/>
      <c r="E30" s="1196">
        <f>$O$428</f>
        <v>0</v>
      </c>
      <c r="F30" s="4627">
        <f>$A$430</f>
        <v>0</v>
      </c>
      <c r="G30" s="4628"/>
      <c r="H30" s="4628"/>
      <c r="I30" s="4628"/>
      <c r="J30" s="4628"/>
      <c r="K30" s="4628"/>
      <c r="L30" s="4628"/>
      <c r="M30" s="4628"/>
      <c r="N30" s="4628"/>
      <c r="O30" s="4629"/>
      <c r="P30" s="1209"/>
      <c r="Q30" s="1964"/>
      <c r="R30" s="1628"/>
      <c r="S30" s="1628"/>
      <c r="AA30" s="3637" t="s">
        <v>6563</v>
      </c>
      <c r="AB30" s="3637"/>
      <c r="AC30" s="3637"/>
      <c r="AD30" s="3637"/>
      <c r="AE30" s="3637"/>
      <c r="AF30" s="3637"/>
    </row>
    <row r="31" spans="1:35" s="35" customFormat="1" ht="10.5" customHeight="1">
      <c r="A31" s="926" t="s">
        <v>6556</v>
      </c>
      <c r="B31" s="927" t="s">
        <v>6554</v>
      </c>
      <c r="C31" s="928"/>
      <c r="D31" s="929"/>
      <c r="E31" s="1624">
        <f>$O$434</f>
        <v>0</v>
      </c>
      <c r="F31" s="4630">
        <f>$A$438</f>
        <v>0</v>
      </c>
      <c r="G31" s="4631"/>
      <c r="H31" s="4631"/>
      <c r="I31" s="4631"/>
      <c r="J31" s="4631"/>
      <c r="K31" s="4631"/>
      <c r="L31" s="4631"/>
      <c r="M31" s="4631"/>
      <c r="N31" s="4631"/>
      <c r="O31" s="4632"/>
      <c r="P31" s="1210"/>
      <c r="Q31" s="1964"/>
      <c r="R31" s="1628"/>
      <c r="S31" s="1628"/>
      <c r="X31" s="3637" t="s">
        <v>6564</v>
      </c>
      <c r="Y31" s="3637"/>
      <c r="Z31" s="3637"/>
      <c r="AA31" s="3637"/>
      <c r="AB31" s="3637"/>
      <c r="AC31" s="3637"/>
      <c r="AD31" s="3637" t="s">
        <v>6565</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88" t="s">
        <v>6125</v>
      </c>
      <c r="H33" s="4688"/>
      <c r="I33" s="4685" t="s">
        <v>6506</v>
      </c>
      <c r="J33" s="4686"/>
      <c r="K33" s="4686"/>
      <c r="L33" s="4687"/>
      <c r="M33" s="4640" t="s">
        <v>6138</v>
      </c>
      <c r="N33" s="4640"/>
      <c r="O33" s="4640"/>
      <c r="P33" s="4640"/>
      <c r="Q33" s="436"/>
      <c r="R33" s="436"/>
      <c r="S33" s="83" t="s">
        <v>6137</v>
      </c>
      <c r="T33" s="436"/>
      <c r="U33" s="436"/>
      <c r="V33" s="436"/>
      <c r="X33" s="4671" t="s">
        <v>6125</v>
      </c>
      <c r="Y33" s="4673"/>
      <c r="Z33" s="4671" t="s">
        <v>6506</v>
      </c>
      <c r="AA33" s="4672"/>
      <c r="AB33" s="4672"/>
      <c r="AC33" s="4673"/>
      <c r="AD33" s="4680" t="s">
        <v>6125</v>
      </c>
      <c r="AE33" s="4681"/>
      <c r="AF33" s="4682" t="s">
        <v>6506</v>
      </c>
      <c r="AG33" s="4680"/>
      <c r="AH33" s="4680"/>
      <c r="AI33" s="4681"/>
    </row>
    <row r="34" spans="1:46" s="115" customFormat="1" ht="11.25" customHeight="1">
      <c r="A34" s="44"/>
      <c r="B34" s="29"/>
      <c r="C34" s="44"/>
      <c r="D34" s="44"/>
      <c r="E34" s="44"/>
      <c r="F34" s="44"/>
      <c r="G34" s="1723">
        <v>0.09</v>
      </c>
      <c r="H34" s="1723">
        <v>0.04</v>
      </c>
      <c r="I34" s="1723">
        <v>0.04</v>
      </c>
      <c r="J34" s="1723" t="s">
        <v>6546</v>
      </c>
      <c r="K34" s="1723" t="s">
        <v>6547</v>
      </c>
      <c r="L34" s="1723" t="s">
        <v>6548</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7" t="s">
        <v>6562</v>
      </c>
      <c r="N40" s="4428"/>
      <c r="O40" s="4428"/>
      <c r="P40" s="4428"/>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7"/>
      <c r="N41" s="4428"/>
      <c r="O41" s="4428"/>
      <c r="P41" s="4428"/>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50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1" t="s">
        <v>6736</v>
      </c>
      <c r="N52" s="4432"/>
      <c r="O52" s="4432"/>
      <c r="P52" s="4432"/>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1"/>
      <c r="N53" s="4432"/>
      <c r="O53" s="4432"/>
      <c r="P53" s="4432"/>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3"/>
      <c r="N54" s="4434"/>
      <c r="O54" s="4434"/>
      <c r="P54" s="4434"/>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1" t="s">
        <v>6711</v>
      </c>
      <c r="N55" s="4642"/>
      <c r="O55" s="4642"/>
      <c r="P55" s="4643"/>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4"/>
      <c r="N56" s="4645"/>
      <c r="O56" s="4645"/>
      <c r="P56" s="4646"/>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7" t="s">
        <v>6140</v>
      </c>
      <c r="N58" s="4428"/>
      <c r="O58" s="4428"/>
      <c r="P58" s="4428"/>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29"/>
      <c r="N59" s="4430"/>
      <c r="O59" s="4430"/>
      <c r="P59" s="4430"/>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18" t="s">
        <v>6712</v>
      </c>
      <c r="N60" s="4719"/>
      <c r="O60" s="4719"/>
      <c r="P60" s="4720"/>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1"/>
      <c r="N61" s="4722"/>
      <c r="O61" s="4722"/>
      <c r="P61" s="4723"/>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5" t="s">
        <v>3895</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2" t="s">
        <v>6073</v>
      </c>
      <c r="B74" s="4392"/>
      <c r="C74" s="4392"/>
      <c r="D74" s="4392"/>
      <c r="E74" s="4392"/>
      <c r="F74" s="1176" t="s">
        <v>3391</v>
      </c>
      <c r="G74" s="4619" t="s">
        <v>6075</v>
      </c>
      <c r="H74" s="4619"/>
      <c r="I74" s="4619"/>
      <c r="J74" s="1176" t="s">
        <v>3391</v>
      </c>
      <c r="K74" s="4623" t="s">
        <v>6074</v>
      </c>
      <c r="L74" s="4623"/>
      <c r="M74" s="4623"/>
      <c r="N74" s="4623"/>
      <c r="O74" s="4617" t="s">
        <v>3391</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3809</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3145</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3146</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3147</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3148</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3812</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58</v>
      </c>
      <c r="L94" s="4511"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1"/>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4" t="s">
        <v>3816</v>
      </c>
      <c r="I97" s="4725"/>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6" t="s">
        <v>4044</v>
      </c>
      <c r="J106" s="4697"/>
      <c r="K106" s="4697"/>
      <c r="L106" s="4698"/>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699"/>
      <c r="J107" s="4606"/>
      <c r="K107" s="4606"/>
      <c r="L107" s="4700"/>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8" t="s">
        <v>3216</v>
      </c>
      <c r="G123" s="4648"/>
      <c r="H123" s="4648"/>
      <c r="I123" s="4648"/>
      <c r="J123" s="4648" t="s">
        <v>3217</v>
      </c>
      <c r="K123" s="4648"/>
      <c r="L123" s="4648"/>
      <c r="M123" s="4648"/>
      <c r="N123" s="48"/>
      <c r="O123" s="4649" t="s">
        <v>3885</v>
      </c>
      <c r="P123" s="4650"/>
      <c r="Q123" s="86"/>
      <c r="R123" s="879"/>
      <c r="S123" s="879"/>
      <c r="T123" s="879"/>
      <c r="U123" s="879"/>
    </row>
    <row r="124" spans="1:21" s="36" customFormat="1" ht="12" customHeight="1">
      <c r="B124" s="1839"/>
      <c r="C124" s="1182" t="s">
        <v>6571</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6147</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6679</v>
      </c>
      <c r="B126" s="4526"/>
      <c r="C126" s="1182" t="s">
        <v>6570</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3366</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7" t="s">
        <v>6677</v>
      </c>
      <c r="D133" s="4647"/>
      <c r="E133" s="4647"/>
      <c r="F133" s="4647"/>
      <c r="G133" s="4647"/>
      <c r="H133" s="4647"/>
      <c r="I133" s="4647"/>
      <c r="J133" s="4647"/>
      <c r="K133" s="4647"/>
      <c r="L133" s="4647"/>
      <c r="M133" s="1848">
        <v>6</v>
      </c>
      <c r="N133" s="374" t="s">
        <v>1844</v>
      </c>
      <c r="O133" s="1910"/>
      <c r="P133" s="1911"/>
      <c r="Q133" s="1212"/>
      <c r="R133" s="795" t="s">
        <v>4059</v>
      </c>
    </row>
    <row r="134" spans="1:21" s="332" customFormat="1" ht="12" customHeight="1">
      <c r="A134" s="456" t="s">
        <v>1275</v>
      </c>
      <c r="B134" s="350" t="s">
        <v>1846</v>
      </c>
      <c r="C134" s="3654" t="s">
        <v>6678</v>
      </c>
      <c r="D134" s="3654"/>
      <c r="E134" s="3654"/>
      <c r="F134" s="3654"/>
      <c r="G134" s="866"/>
      <c r="J134" s="4655" t="s">
        <v>6674</v>
      </c>
      <c r="K134" s="4656"/>
      <c r="L134" s="4657"/>
      <c r="M134" s="458">
        <v>5</v>
      </c>
      <c r="N134" s="348" t="s">
        <v>1846</v>
      </c>
      <c r="O134" s="1923"/>
      <c r="P134" s="1924"/>
      <c r="Q134" s="1810" t="s">
        <v>6670</v>
      </c>
      <c r="R134" s="1176" t="s">
        <v>6264</v>
      </c>
      <c r="S134" s="1176" t="s">
        <v>6145</v>
      </c>
    </row>
    <row r="135" spans="1:21" s="332" customFormat="1" ht="12" customHeight="1">
      <c r="B135" s="350"/>
      <c r="C135" s="3654"/>
      <c r="D135" s="3654"/>
      <c r="E135" s="3654"/>
      <c r="F135" s="3654"/>
      <c r="G135" s="866"/>
      <c r="H135" s="3489" t="s">
        <v>6672</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3239</v>
      </c>
      <c r="C138" s="503"/>
      <c r="D138" s="503"/>
      <c r="F138" s="1902" t="s">
        <v>6669</v>
      </c>
      <c r="J138" s="4689" t="s">
        <v>3236</v>
      </c>
      <c r="K138" s="4690"/>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4" t="s">
        <v>6684</v>
      </c>
      <c r="D139" s="3654"/>
      <c r="E139" s="3654"/>
      <c r="F139" s="3654"/>
      <c r="G139" s="866"/>
      <c r="H139" s="3489" t="s">
        <v>6673</v>
      </c>
      <c r="I139" s="3489"/>
      <c r="J139" s="4505" t="s">
        <v>6689</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6566</v>
      </c>
      <c r="K140" s="4469"/>
      <c r="L140" s="4470"/>
      <c r="M140" s="70"/>
      <c r="O140" s="4482"/>
      <c r="P140" s="4485"/>
      <c r="Q140" s="86"/>
      <c r="R140" s="1550">
        <v>1</v>
      </c>
      <c r="S140" s="1550">
        <v>1</v>
      </c>
      <c r="U140" s="332"/>
    </row>
    <row r="141" spans="1:21" s="36" customFormat="1" ht="11.25" customHeight="1">
      <c r="A141" s="456" t="s">
        <v>1275</v>
      </c>
      <c r="B141" s="1632" t="s">
        <v>1846</v>
      </c>
      <c r="C141" s="3654" t="s">
        <v>6676</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6675</v>
      </c>
      <c r="D143" s="3654"/>
      <c r="E143" s="3654"/>
      <c r="F143" s="3654"/>
      <c r="G143" s="3654"/>
      <c r="H143" s="3654"/>
      <c r="I143" s="4480"/>
      <c r="J143" s="4468" t="s">
        <v>6567</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0" t="s">
        <v>6889</v>
      </c>
      <c r="K154" s="4501"/>
      <c r="L154" s="4501"/>
      <c r="M154" s="4502"/>
      <c r="N154"/>
      <c r="O154"/>
      <c r="P154"/>
    </row>
    <row r="155" spans="1:19" ht="12.75" customHeight="1">
      <c r="B155" s="430"/>
      <c r="C155" s="430"/>
      <c r="D155" s="430"/>
      <c r="F155" s="4257" t="s">
        <v>6628</v>
      </c>
      <c r="G155" s="4257"/>
      <c r="H155" s="4257" t="s">
        <v>6270</v>
      </c>
      <c r="I155" s="4257"/>
      <c r="J155" s="4486" t="s">
        <v>6629</v>
      </c>
      <c r="K155" s="4487"/>
      <c r="L155" s="4489" t="s">
        <v>6888</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6630</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8" t="s">
        <v>6680</v>
      </c>
      <c r="D173" s="4198"/>
      <c r="E173" s="4198"/>
      <c r="F173" s="4198"/>
      <c r="G173" s="4198"/>
      <c r="H173" s="4198"/>
      <c r="I173" s="4198"/>
      <c r="J173" s="4198"/>
      <c r="K173" s="4198"/>
      <c r="L173" s="128"/>
      <c r="M173" s="4521" t="s">
        <v>6091</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3287</v>
      </c>
      <c r="N174" s="4509"/>
      <c r="O174" s="4509"/>
      <c r="P174" s="4510"/>
      <c r="S174" s="1628"/>
      <c r="T174" s="1628"/>
      <c r="U174" s="1628"/>
    </row>
    <row r="175" spans="1:26" s="26" customFormat="1" ht="12.75" customHeight="1">
      <c r="B175" s="49" t="s">
        <v>2241</v>
      </c>
      <c r="C175" s="29" t="s">
        <v>3957</v>
      </c>
      <c r="D175" s="29"/>
      <c r="E175" s="29"/>
      <c r="F175" s="29"/>
      <c r="G175" s="29"/>
      <c r="H175" s="29"/>
      <c r="L175" s="49" t="s">
        <v>2241</v>
      </c>
      <c r="M175" s="4505" t="s">
        <v>3287</v>
      </c>
      <c r="N175" s="4506"/>
      <c r="O175" s="4506"/>
      <c r="P175" s="4507"/>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5" t="s">
        <v>3287</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58" t="s">
        <v>3287</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198" t="s">
        <v>6179</v>
      </c>
      <c r="D180" s="4198"/>
      <c r="E180" s="4198"/>
      <c r="F180" s="4198"/>
      <c r="G180" s="4198"/>
      <c r="H180" s="4198"/>
      <c r="I180" s="4198"/>
      <c r="J180" s="4198"/>
      <c r="K180" s="4198"/>
      <c r="L180" s="4198"/>
      <c r="M180" s="1848">
        <v>1</v>
      </c>
      <c r="N180" s="128" t="s">
        <v>4077</v>
      </c>
      <c r="O180" s="1636"/>
      <c r="P180" s="1640"/>
      <c r="Q180" s="1212" t="str">
        <f>IF(OR($O180=$M180,$O180=0,$O180=""),"","*CHECK!*")</f>
        <v/>
      </c>
      <c r="R180" s="795" t="s">
        <v>4059</v>
      </c>
    </row>
    <row r="181" spans="1:26" ht="36.75" customHeight="1">
      <c r="A181" s="396"/>
      <c r="B181" s="117" t="s">
        <v>2241</v>
      </c>
      <c r="C181" s="4198" t="s">
        <v>6180</v>
      </c>
      <c r="D181" s="4198"/>
      <c r="E181" s="4198"/>
      <c r="F181" s="4198"/>
      <c r="G181" s="4198"/>
      <c r="H181" s="4198"/>
      <c r="I181" s="4198"/>
      <c r="J181" s="4198"/>
      <c r="K181" s="4198"/>
      <c r="L181" s="4198"/>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198" t="s">
        <v>6208</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6212</v>
      </c>
      <c r="D196" s="4198"/>
      <c r="E196" s="4198"/>
      <c r="F196" s="4198"/>
      <c r="G196" s="4198"/>
      <c r="H196" s="4198"/>
      <c r="I196" s="4198"/>
      <c r="J196" s="4198"/>
      <c r="K196" s="4198"/>
      <c r="L196" s="4198"/>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198" t="s">
        <v>6213</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6254</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5" t="s">
        <v>3205</v>
      </c>
      <c r="K208" s="4536"/>
      <c r="L208" s="4537"/>
      <c r="M208" s="4538"/>
      <c r="N208" s="53"/>
      <c r="R208" s="86"/>
      <c r="S208" s="70"/>
    </row>
    <row r="209" spans="1:27" ht="12.75" customHeight="1">
      <c r="C209" s="685" t="s">
        <v>6256</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4" t="s">
        <v>6219</v>
      </c>
      <c r="F212" s="4714"/>
      <c r="G212" s="4714"/>
      <c r="H212" s="4714"/>
      <c r="I212" s="1203" t="s">
        <v>6246</v>
      </c>
      <c r="J212" s="4714" t="s">
        <v>6219</v>
      </c>
      <c r="K212" s="4714"/>
      <c r="L212" s="4714"/>
      <c r="M212" s="4714"/>
      <c r="N212"/>
      <c r="O212"/>
      <c r="P212"/>
    </row>
    <row r="213" spans="1:27" ht="13.5" customHeight="1">
      <c r="B213" s="400"/>
      <c r="C213" s="29" t="s">
        <v>6217</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6218</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6215</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6216</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0.1</v>
      </c>
      <c r="J226" s="370" t="s">
        <v>3960</v>
      </c>
      <c r="K226" s="4592" t="str">
        <f>'Part V-Revenues &amp; Expenses'!$O$53</f>
        <v>40% of Units at 60% of AMI</v>
      </c>
      <c r="L226" s="4593"/>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3"/>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10"/>
      <c r="J244" s="4710"/>
      <c r="L244" s="1662" t="s">
        <v>6260</v>
      </c>
      <c r="M244" s="4711"/>
      <c r="N244" s="4711"/>
    </row>
    <row r="245" spans="1:27" s="32" customFormat="1" ht="11.25" customHeight="1">
      <c r="A245" s="306"/>
      <c r="B245" s="350" t="s">
        <v>1846</v>
      </c>
      <c r="C245" s="29" t="s">
        <v>6259</v>
      </c>
      <c r="E245" s="33" t="s">
        <v>3310</v>
      </c>
      <c r="G245" s="1644"/>
      <c r="H245" s="48" t="s">
        <v>574</v>
      </c>
      <c r="I245" s="4584"/>
      <c r="J245" s="4584"/>
      <c r="L245" s="1662" t="s">
        <v>6260</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6616</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6617</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6231</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6691</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6693</v>
      </c>
      <c r="G289" s="147"/>
      <c r="I289" s="4552" t="s">
        <v>6694</v>
      </c>
      <c r="J289" s="4553"/>
      <c r="K289" s="4554"/>
      <c r="L289" s="4555"/>
      <c r="M289" s="456"/>
      <c r="O289" s="4556" t="s">
        <v>3150</v>
      </c>
      <c r="P289" s="4556" t="s">
        <v>3151</v>
      </c>
      <c r="Q289" s="86"/>
      <c r="R289" s="1630"/>
      <c r="S289" s="1630"/>
      <c r="T289" s="1630"/>
      <c r="U289" s="1630"/>
      <c r="V289" s="1630"/>
      <c r="W289" s="36"/>
      <c r="X289" s="36"/>
    </row>
    <row r="290" spans="1:24" s="36" customFormat="1" ht="11.25" customHeight="1">
      <c r="A290" s="120"/>
      <c r="B290" s="29" t="s">
        <v>6582</v>
      </c>
      <c r="D290" s="34"/>
      <c r="H290" s="141"/>
      <c r="M290" s="119"/>
      <c r="N290" s="48"/>
      <c r="O290" s="4557"/>
      <c r="P290" s="4557"/>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6588</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6589</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6591</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6592</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6595</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3275</v>
      </c>
      <c r="L345" s="4582"/>
      <c r="M345" s="4582"/>
      <c r="N345" s="49" t="s">
        <v>2241</v>
      </c>
      <c r="O345" s="299"/>
      <c r="P345" s="420"/>
      <c r="R345" s="4578"/>
      <c r="S345" s="4578"/>
    </row>
    <row r="346" spans="1:20" s="79" customFormat="1" ht="12.75" customHeight="1">
      <c r="B346" s="49" t="s">
        <v>2242</v>
      </c>
      <c r="C346" s="29" t="s">
        <v>3274</v>
      </c>
      <c r="L346" s="4582"/>
      <c r="M346" s="4582"/>
      <c r="N346" s="49" t="s">
        <v>2242</v>
      </c>
      <c r="O346" s="299"/>
      <c r="P346" s="420"/>
      <c r="R346" s="4578"/>
      <c r="S346" s="4578"/>
    </row>
    <row r="347" spans="1:20" s="79" customFormat="1" ht="33.75" customHeight="1">
      <c r="B347" s="117" t="s">
        <v>2243</v>
      </c>
      <c r="C347" s="4198" t="s">
        <v>6597</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6599</v>
      </c>
      <c r="C352" s="29" t="s">
        <v>1388</v>
      </c>
      <c r="I352" s="49" t="s">
        <v>2240</v>
      </c>
      <c r="J352" s="4666"/>
      <c r="K352" s="4667"/>
      <c r="L352" s="49" t="s">
        <v>2240</v>
      </c>
      <c r="M352" s="4532"/>
      <c r="N352" s="4533"/>
      <c r="O352" s="4533"/>
      <c r="P352" s="4534"/>
      <c r="R352" s="307"/>
    </row>
    <row r="353" spans="1:18" ht="12.75" customHeight="1">
      <c r="A353" s="152"/>
      <c r="B353" s="117" t="s">
        <v>2241</v>
      </c>
      <c r="C353" s="29" t="s">
        <v>3156</v>
      </c>
      <c r="I353" s="117" t="s">
        <v>2241</v>
      </c>
      <c r="J353" s="4527"/>
      <c r="K353" s="4528"/>
      <c r="L353" s="117" t="s">
        <v>2241</v>
      </c>
      <c r="M353" s="4529"/>
      <c r="N353" s="4530"/>
      <c r="O353" s="4530"/>
      <c r="P353" s="4531"/>
      <c r="R353" s="307"/>
    </row>
    <row r="354" spans="1:18" ht="12.75" customHeight="1">
      <c r="B354" s="49" t="s">
        <v>2242</v>
      </c>
      <c r="C354" s="29" t="s">
        <v>3954</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6233</v>
      </c>
      <c r="I358" s="49" t="s">
        <v>2261</v>
      </c>
      <c r="J358" s="4527"/>
      <c r="K358" s="4528"/>
      <c r="L358" s="49" t="s">
        <v>2261</v>
      </c>
      <c r="M358" s="1601"/>
      <c r="N358" s="1602"/>
      <c r="O358" s="1602"/>
      <c r="P358" s="1603"/>
      <c r="R358" s="307"/>
    </row>
    <row r="359" spans="1:18" ht="12.75" customHeight="1">
      <c r="A359" s="152"/>
      <c r="B359" s="48" t="s">
        <v>2262</v>
      </c>
      <c r="C359" s="29" t="s">
        <v>3155</v>
      </c>
      <c r="I359" s="48" t="s">
        <v>2262</v>
      </c>
      <c r="J359" s="4527"/>
      <c r="K359" s="4528"/>
      <c r="L359" s="48" t="s">
        <v>2262</v>
      </c>
      <c r="M359" s="4529"/>
      <c r="N359" s="4530"/>
      <c r="O359" s="4530"/>
      <c r="P359" s="4531"/>
      <c r="R359" s="307"/>
    </row>
    <row r="360" spans="1:18" ht="12.75" customHeight="1">
      <c r="B360" s="48" t="s">
        <v>2263</v>
      </c>
      <c r="C360" s="29" t="s">
        <v>6600</v>
      </c>
      <c r="I360" s="48" t="s">
        <v>2263</v>
      </c>
      <c r="J360" s="4527"/>
      <c r="K360" s="4528"/>
      <c r="L360" s="48" t="s">
        <v>2263</v>
      </c>
      <c r="M360" s="4529"/>
      <c r="N360" s="4530"/>
      <c r="O360" s="4530"/>
      <c r="P360" s="4531"/>
      <c r="R360" s="307"/>
    </row>
    <row r="361" spans="1:18" ht="12.75" customHeight="1">
      <c r="B361" s="48" t="s">
        <v>3157</v>
      </c>
      <c r="C361" s="29" t="s">
        <v>3826</v>
      </c>
      <c r="I361" s="48" t="s">
        <v>3157</v>
      </c>
      <c r="J361" s="4527"/>
      <c r="K361" s="4528"/>
      <c r="L361" s="48" t="s">
        <v>3157</v>
      </c>
      <c r="M361" s="4529"/>
      <c r="N361" s="4530"/>
      <c r="O361" s="4530"/>
      <c r="P361" s="4531"/>
      <c r="R361" s="307"/>
    </row>
    <row r="362" spans="1:18" ht="12.75" customHeight="1" thickBot="1">
      <c r="B362" s="48" t="s">
        <v>6234</v>
      </c>
      <c r="C362" s="29" t="s">
        <v>6235</v>
      </c>
      <c r="I362" s="48" t="s">
        <v>6234</v>
      </c>
      <c r="J362" s="4527"/>
      <c r="K362" s="4528"/>
      <c r="L362" s="48" t="s">
        <v>6234</v>
      </c>
      <c r="M362" s="4568"/>
      <c r="N362" s="4569"/>
      <c r="O362" s="4569"/>
      <c r="P362" s="4570"/>
      <c r="R362" s="307"/>
    </row>
    <row r="363" spans="1:18" ht="12.75" customHeight="1" thickBot="1">
      <c r="B363" s="919" t="s">
        <v>6601</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4">
        <f>'Part V-Revenues &amp; Expenses'!$P$67</f>
        <v>50</v>
      </c>
      <c r="K365" s="4545"/>
      <c r="L365" s="430"/>
      <c r="M365" s="393"/>
      <c r="N365" s="393"/>
      <c r="O365" s="881"/>
      <c r="P365" s="393"/>
    </row>
    <row r="366" spans="1:18" ht="13.5" customHeight="1">
      <c r="C366" s="230"/>
      <c r="D366" s="230"/>
      <c r="E366" s="230"/>
      <c r="F366" s="349" t="s">
        <v>6237</v>
      </c>
      <c r="J366" s="4542">
        <f>IF(J365=0,0,J363/J365)</f>
        <v>0</v>
      </c>
      <c r="K366" s="4543"/>
      <c r="M366" s="4668">
        <f>IF($J365=0,0,$M363/$J365)</f>
        <v>0</v>
      </c>
      <c r="N366" s="4669"/>
      <c r="O366" s="4669"/>
      <c r="P366" s="4670"/>
    </row>
    <row r="367" spans="1:18" s="36" customFormat="1" ht="12.75" customHeight="1">
      <c r="C367" s="230"/>
      <c r="D367" s="230"/>
      <c r="E367" s="230"/>
      <c r="F367" s="44" t="s">
        <v>6238</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8" t="s">
        <v>6602</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3886</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5" t="s">
        <v>6603</v>
      </c>
      <c r="C383" s="4355"/>
      <c r="D383" s="4355"/>
      <c r="E383" s="4355"/>
      <c r="F383" s="4355"/>
      <c r="G383" s="4355"/>
      <c r="H383" s="4355"/>
      <c r="I383" s="4355"/>
      <c r="J383" s="4355"/>
      <c r="K383" s="4355"/>
      <c r="L383" s="4355"/>
      <c r="M383" s="4567" t="s">
        <v>3887</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50</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0</v>
      </c>
      <c r="P386" s="4566"/>
      <c r="Q386" s="147"/>
    </row>
    <row r="387" spans="1:19" s="36" customFormat="1" ht="105.75" customHeight="1">
      <c r="A387" s="411"/>
      <c r="B387" s="4344" t="s">
        <v>3415</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50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6744</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6698</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2"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00000000-0002-0000-11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1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100-000002000000}"/>
    <dataValidation type="list" allowBlank="1" showInputMessage="1" showErrorMessage="1" sqref="P168 P433 P396 P189 P151 P377 P404 P417 P406 P423 P427 P42:P44 P48:P49" xr:uid="{00000000-0002-0000-1100-000003000000}">
      <formula1>"Yes, No"</formula1>
    </dataValidation>
    <dataValidation type="whole" operator="lessThanOrEqual" allowBlank="1" showInputMessage="1" showErrorMessage="1" sqref="P94" xr:uid="{00000000-0002-0000-1100-000004000000}">
      <formula1>$M94</formula1>
    </dataValidation>
    <dataValidation type="list" allowBlank="1" showInputMessage="1" showErrorMessage="1" sqref="F76:F87 J77 J79 J81 J83 J85 J87 O77:P77 O80:P87 P69 P13:P32" xr:uid="{00000000-0002-0000-1100-000005000000}">
      <formula1>"0,1"</formula1>
    </dataValidation>
    <dataValidation type="whole" operator="equal" allowBlank="1" showErrorMessage="1" errorTitle="Incorrect Point Value Entered" error="Please re-check the point value for this criterion." sqref="O94:O95" xr:uid="{00000000-0002-0000-1100-000006000000}">
      <formula1>$M94</formula1>
    </dataValidation>
    <dataValidation type="decimal" operator="lessThanOrEqual" allowBlank="1" showInputMessage="1" showErrorMessage="1" sqref="O106:P106 O152:P152 O133:P133" xr:uid="{00000000-0002-0000-1100-000007000000}">
      <formula1>$M106</formula1>
    </dataValidation>
    <dataValidation type="list" allowBlank="1" showInputMessage="1" showErrorMessage="1" sqref="L208" xr:uid="{00000000-0002-0000-1100-000008000000}">
      <formula1>"Site Census Tract, Other Census Tract"</formula1>
    </dataValidation>
    <dataValidation type="list" allowBlank="1" showInputMessage="1" showErrorMessage="1" sqref="E216 J216" xr:uid="{00000000-0002-0000-1100-000009000000}">
      <formula1>"Above 60th Percentile/Below 80th Percentile, At or Above 80th Percentile, At or Below 60th Percentile"</formula1>
    </dataValidation>
    <dataValidation type="list" allowBlank="1" showInputMessage="1" showErrorMessage="1" sqref="J213:J215 E213:E215" xr:uid="{00000000-0002-0000-1100-00000A000000}">
      <formula1>"Above 60th Percentile, At or Below 60th Percentile"</formula1>
    </dataValidation>
    <dataValidation type="list" allowBlank="1" showInputMessage="1" showErrorMessage="1" sqref="I214:I216" xr:uid="{00000000-0002-0000-1100-00000B000000}">
      <formula1>"2018,2019,2020"</formula1>
    </dataValidation>
    <dataValidation type="whole" operator="equal" allowBlank="1" showInputMessage="1" showErrorMessage="1" sqref="P143 P141" xr:uid="{00000000-0002-0000-1100-00000C000000}">
      <formula1>$M141</formula1>
    </dataValidation>
    <dataValidation type="list" allowBlank="1" showInputMessage="1" showErrorMessage="1" sqref="P424 O418" xr:uid="{00000000-0002-0000-1100-00000D000000}">
      <formula1>"2, 4, 6"</formula1>
    </dataValidation>
    <dataValidation type="list" allowBlank="1" showInputMessage="1" showErrorMessage="1" sqref="O428:P428" xr:uid="{00000000-0002-0000-1100-00000E000000}">
      <formula1>"2, 3, 4"</formula1>
    </dataValidation>
    <dataValidation type="list" allowBlank="1" showInputMessage="1" showErrorMessage="1" sqref="O435:P435" xr:uid="{00000000-0002-0000-1100-00000F000000}">
      <formula1>"4, 6"</formula1>
    </dataValidation>
    <dataValidation type="list" allowBlank="1" showInputMessage="1" showErrorMessage="1" sqref="O436:P436" xr:uid="{00000000-0002-0000-1100-000010000000}">
      <formula1>"2, 4"</formula1>
    </dataValidation>
    <dataValidation type="list" allowBlank="1" showInputMessage="1" showErrorMessage="1" sqref="O134:P134" xr:uid="{00000000-0002-0000-1100-000011000000}">
      <formula1>"4, 4.5, 5"</formula1>
    </dataValidation>
    <dataValidation type="list" allowBlank="1" showInputMessage="1" showErrorMessage="1" sqref="O139:P140" xr:uid="{00000000-0002-0000-1100-000012000000}">
      <formula1>"1,2,3"</formula1>
    </dataValidation>
    <dataValidation type="list" allowBlank="1" showInputMessage="1" showErrorMessage="1" sqref="O291:P293" xr:uid="{00000000-0002-0000-1100-000013000000}">
      <formula1>"Yes, No, N/a, TBD"</formula1>
    </dataValidation>
    <dataValidation type="list" allowBlank="1" showInputMessage="1" showErrorMessage="1" sqref="I289:L289" xr:uid="{00000000-0002-0000-11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100-000015000000}">
      <formula1>"&lt;&lt; Select Activity Type &gt;&gt;, New Supply, Preservation"</formula1>
    </dataValidation>
    <dataValidation type="list" allowBlank="1" showInputMessage="1" showErrorMessage="1" sqref="M60:P61" xr:uid="{00000000-0002-0000-1100-000016000000}">
      <formula1>"&lt;&lt; Select Pool &gt;&gt;, Rural, Other Metro, Atlanta Metro, N/A-4%"</formula1>
    </dataValidation>
    <dataValidation type="list" allowBlank="1" showInputMessage="1" showErrorMessage="1" sqref="J208:K208" xr:uid="{00000000-0002-0000-1100-000017000000}">
      <formula1>"&lt;&lt; Select &gt;&gt;,Site Census Tract, Other Census Tract"</formula1>
    </dataValidation>
    <dataValidation type="list" allowBlank="1" showInputMessage="1" showErrorMessage="1" sqref="P418" xr:uid="{00000000-0002-0000-1100-000018000000}">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2" t="s">
        <v>2581</v>
      </c>
      <c r="B1" s="4732"/>
      <c r="C1" s="4732"/>
      <c r="D1" s="4732"/>
      <c r="E1" s="4732"/>
      <c r="F1" s="4732"/>
      <c r="G1" s="4732"/>
      <c r="H1" s="4732"/>
      <c r="I1" s="4732"/>
      <c r="J1" s="4732"/>
    </row>
    <row r="2" spans="1:16" ht="15.6">
      <c r="A2" s="4732" t="str">
        <f>'Sensitivity Analysis'!C8</f>
        <v>Westchester Village</v>
      </c>
      <c r="B2" s="4732"/>
      <c r="C2" s="4732"/>
      <c r="D2" s="4732"/>
      <c r="E2" s="4732"/>
      <c r="F2" s="4732"/>
      <c r="G2" s="4732"/>
      <c r="H2" s="4732"/>
      <c r="I2" s="4732"/>
      <c r="J2" s="4732"/>
    </row>
    <row r="3" spans="1:16" ht="15.6">
      <c r="A3" s="4732" t="str">
        <f>'Subsidy Layering Memo'!F14</f>
        <v>Jonesboro, Clayton</v>
      </c>
      <c r="B3" s="4732"/>
      <c r="C3" s="4732"/>
      <c r="D3" s="4732"/>
      <c r="E3" s="4732"/>
      <c r="F3" s="4732"/>
      <c r="G3" s="4732"/>
      <c r="H3" s="4732"/>
      <c r="I3" s="4732"/>
      <c r="J3" s="4732"/>
    </row>
    <row r="4" spans="1:16" ht="15.6">
      <c r="A4" s="4733" t="s">
        <v>2582</v>
      </c>
      <c r="B4" s="4732"/>
      <c r="C4" s="4732"/>
      <c r="D4" s="4732"/>
      <c r="E4" s="4732"/>
      <c r="F4" s="4732"/>
      <c r="G4" s="4732"/>
      <c r="H4" s="4732"/>
      <c r="I4" s="4732"/>
      <c r="J4" s="4732"/>
    </row>
    <row r="5" spans="1:16" ht="5.25" customHeight="1"/>
    <row r="6" spans="1:16" ht="5.25" customHeight="1"/>
    <row r="7" spans="1:16" ht="15.6">
      <c r="A7" s="4734" t="s">
        <v>2583</v>
      </c>
      <c r="B7" s="4734"/>
      <c r="C7" s="4735"/>
      <c r="M7" s="4726"/>
      <c r="N7" s="4726"/>
      <c r="O7" s="4726"/>
      <c r="P7" s="4726"/>
    </row>
    <row r="8" spans="1:16" ht="57" customHeight="1">
      <c r="A8" s="4727" t="s">
        <v>6152</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Jonesboro, Clayton County, Georgia, with the development of 50 units set aside for &lt;&lt; Select PROPOSED Tenancy &gt;&gt;.</v>
      </c>
      <c r="B9" s="4727"/>
      <c r="C9" s="4727"/>
      <c r="D9" s="4727"/>
      <c r="E9" s="4727"/>
      <c r="F9" s="4727"/>
      <c r="G9" s="4727"/>
      <c r="H9" s="4727"/>
      <c r="I9" s="4727"/>
      <c r="J9" s="4727"/>
      <c r="K9" s="508"/>
    </row>
    <row r="10" spans="1:16" ht="15.6">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6">
      <c r="A14" s="509" t="s">
        <v>2585</v>
      </c>
      <c r="B14" s="510"/>
    </row>
    <row r="15" spans="1:16">
      <c r="A15" s="507" t="s">
        <v>2586</v>
      </c>
      <c r="D15" s="1020" t="s">
        <v>2587</v>
      </c>
    </row>
    <row r="16" spans="1:16">
      <c r="A16" s="507" t="s">
        <v>2588</v>
      </c>
      <c r="D16" s="1254">
        <f>'Sensitivity Analysis'!C25</f>
        <v>2125000</v>
      </c>
    </row>
    <row r="17" spans="1:11">
      <c r="A17" s="511" t="s">
        <v>2589</v>
      </c>
      <c r="D17" s="1255">
        <f>'Sensitivity Analysis'!C13</f>
        <v>50</v>
      </c>
    </row>
    <row r="18" spans="1:11" ht="14.25" customHeight="1"/>
    <row r="19" spans="1:11" ht="15.6">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10533947 via the syndication of the 2021 Federal LIHTC allocation of 1225000 per annum. will make a capital contribution totaling 5022500 via the syndication of the 2021 State LIHTC allocation of 1225000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1.27 (0.86 Federal tax credit and 0.41 State tax credit) for a (X%) ownership interest of the Federal Credits and a (X%) ownership interest of the State Credits. </v>
      </c>
      <c r="B22" s="4731"/>
      <c r="C22" s="4731"/>
      <c r="D22" s="4731"/>
      <c r="E22" s="4731"/>
      <c r="F22" s="4731"/>
      <c r="G22" s="4731"/>
      <c r="H22" s="4731"/>
      <c r="I22" s="4731"/>
      <c r="J22" s="4731"/>
    </row>
    <row r="23" spans="1:11" ht="15.6">
      <c r="A23" s="509" t="s">
        <v>6153</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J16" sqref="J16"/>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Westchester Village, Jonesboro, Clayton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7035</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6910</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3267</v>
      </c>
      <c r="I10" s="3056">
        <f>'Part III-A-Uses of Funds'!$J$191</f>
        <v>1225000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7036</v>
      </c>
      <c r="G12" s="3061"/>
      <c r="H12" s="3062"/>
      <c r="I12" s="1789" t="s">
        <v>6518</v>
      </c>
      <c r="J12" s="393" t="s">
        <v>6944</v>
      </c>
      <c r="K12" s="243"/>
      <c r="L12" s="248"/>
      <c r="O12" s="3063" t="s">
        <v>7084</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7037</v>
      </c>
      <c r="G15" s="3042"/>
      <c r="H15" s="3043"/>
      <c r="I15" s="2444" t="s">
        <v>1670</v>
      </c>
      <c r="J15" s="3044" t="s">
        <v>7038</v>
      </c>
      <c r="K15" s="3045"/>
      <c r="L15" s="3046"/>
      <c r="M15" s="1898" t="s">
        <v>1839</v>
      </c>
      <c r="N15" s="3041" t="s">
        <v>2278</v>
      </c>
      <c r="O15" s="3042"/>
      <c r="P15" s="3043"/>
      <c r="Q15" s="3014"/>
      <c r="R15" s="3015"/>
      <c r="S15" s="3016"/>
      <c r="Z15" s="1706">
        <v>15</v>
      </c>
    </row>
    <row r="16" spans="1:26" s="144" customFormat="1" ht="12.75" customHeight="1">
      <c r="B16" s="246" t="s">
        <v>1599</v>
      </c>
      <c r="F16" s="3035">
        <v>6784676861</v>
      </c>
      <c r="G16" s="3036"/>
      <c r="H16" s="3037"/>
      <c r="I16" s="2445" t="s">
        <v>1598</v>
      </c>
      <c r="J16" s="823"/>
      <c r="M16" s="246" t="s">
        <v>1600</v>
      </c>
      <c r="N16" s="3035">
        <v>6784676861</v>
      </c>
      <c r="O16" s="3036"/>
      <c r="P16" s="3037"/>
      <c r="Q16" s="3014"/>
      <c r="R16" s="3015"/>
      <c r="S16" s="3016"/>
      <c r="V16" s="751"/>
      <c r="W16" s="751"/>
      <c r="X16" s="751"/>
      <c r="Z16" s="1706">
        <v>18</v>
      </c>
    </row>
    <row r="17" spans="1:26" s="144" customFormat="1">
      <c r="B17" s="246" t="s">
        <v>1842</v>
      </c>
      <c r="F17" s="3069" t="s">
        <v>7065</v>
      </c>
      <c r="G17" s="3070"/>
      <c r="H17" s="3070"/>
      <c r="I17" s="3045"/>
      <c r="J17" s="3070"/>
      <c r="K17" s="3045"/>
      <c r="L17" s="3046"/>
      <c r="M17" s="246" t="s">
        <v>1838</v>
      </c>
      <c r="N17" s="3038">
        <v>6784676861</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c r="G19" s="3042"/>
      <c r="H19" s="3043"/>
      <c r="I19" s="2444" t="s">
        <v>1670</v>
      </c>
      <c r="J19" s="3044"/>
      <c r="K19" s="3045"/>
      <c r="L19" s="3046"/>
      <c r="M19" s="1898" t="s">
        <v>1839</v>
      </c>
      <c r="N19" s="3041"/>
      <c r="O19" s="3042"/>
      <c r="P19" s="3043"/>
      <c r="Q19" s="3014"/>
      <c r="R19" s="3015"/>
      <c r="S19" s="3016"/>
      <c r="Z19" s="1706">
        <v>21</v>
      </c>
    </row>
    <row r="20" spans="1:26" s="144" customFormat="1">
      <c r="B20" s="246" t="s">
        <v>1599</v>
      </c>
      <c r="F20" s="3035"/>
      <c r="G20" s="3036"/>
      <c r="H20" s="3037"/>
      <c r="I20" s="2445" t="s">
        <v>1598</v>
      </c>
      <c r="J20" s="823"/>
      <c r="M20" s="246" t="s">
        <v>1600</v>
      </c>
      <c r="N20" s="3035"/>
      <c r="O20" s="3036"/>
      <c r="P20" s="3037"/>
      <c r="Q20" s="3014"/>
      <c r="R20" s="3015"/>
      <c r="S20" s="3016"/>
      <c r="U20" s="230"/>
      <c r="V20" s="230"/>
      <c r="W20" s="230"/>
      <c r="X20" s="230"/>
      <c r="Z20" s="1706">
        <v>24</v>
      </c>
    </row>
    <row r="21" spans="1:26" s="144" customFormat="1">
      <c r="B21" s="246" t="s">
        <v>1842</v>
      </c>
      <c r="F21" s="3069"/>
      <c r="G21" s="3070"/>
      <c r="H21" s="3070"/>
      <c r="I21" s="3045"/>
      <c r="J21" s="3070"/>
      <c r="K21" s="3045"/>
      <c r="L21" s="3046"/>
      <c r="M21" s="246" t="s">
        <v>1838</v>
      </c>
      <c r="N21" s="3038"/>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7039</v>
      </c>
      <c r="G25" s="3071"/>
      <c r="H25" s="3071"/>
      <c r="I25" s="3045"/>
      <c r="J25" s="3071"/>
      <c r="K25" s="3072"/>
      <c r="M25" s="246" t="s">
        <v>425</v>
      </c>
      <c r="P25" s="1899" t="s">
        <v>2649</v>
      </c>
      <c r="Q25" s="3014"/>
      <c r="R25" s="3015"/>
      <c r="S25" s="3016"/>
      <c r="Z25" s="1706">
        <v>29</v>
      </c>
    </row>
    <row r="26" spans="1:26" s="144" customFormat="1">
      <c r="A26" s="375"/>
      <c r="B26" s="144" t="s">
        <v>575</v>
      </c>
      <c r="F26" s="3022" t="s">
        <v>2171</v>
      </c>
      <c r="G26" s="3049"/>
      <c r="H26" s="3050"/>
      <c r="I26" s="257" t="s">
        <v>576</v>
      </c>
      <c r="J26" s="3047" t="str">
        <f>IF(F26="","",VLOOKUP(F26,'DCA Underwriting Assumptions'!$T$141:$U$770,2,FALSE))</f>
        <v>Clayton</v>
      </c>
      <c r="K26" s="3048"/>
      <c r="M26" s="246" t="s">
        <v>426</v>
      </c>
      <c r="P26" s="1956" t="s">
        <v>2652</v>
      </c>
      <c r="Q26" s="3014"/>
      <c r="R26" s="3015"/>
      <c r="S26" s="3016"/>
      <c r="U26" s="375"/>
      <c r="Z26" s="1706">
        <v>30</v>
      </c>
    </row>
    <row r="27" spans="1:26" s="144" customFormat="1">
      <c r="A27" s="375"/>
      <c r="B27" s="144" t="s">
        <v>3907</v>
      </c>
      <c r="C27" s="251"/>
      <c r="D27" s="252"/>
      <c r="E27" s="252"/>
      <c r="F27" s="3022" t="s">
        <v>7064</v>
      </c>
      <c r="G27" s="3023"/>
      <c r="H27" s="3024"/>
      <c r="I27" s="248"/>
      <c r="J27" s="392" t="s">
        <v>6723</v>
      </c>
      <c r="K27" s="248"/>
      <c r="M27" s="246" t="s">
        <v>6666</v>
      </c>
      <c r="O27" s="3067">
        <v>4.3600000000000003</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Atlanta-Sandy Springs-Marietta</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2000000}">
      <formula1>1000000000</formula1>
      <formula2>9999999999</formula2>
    </dataValidation>
    <dataValidation type="list" allowBlank="1" showInputMessage="1" showErrorMessage="1" sqref="H32:H33 D29 P34 I34:I37 D27" xr:uid="{00000000-0002-0000-0100-000003000000}">
      <formula1>"Yes, No"</formula1>
    </dataValidation>
    <dataValidation type="list" showInputMessage="1" showErrorMessage="1" sqref="F28" xr:uid="{00000000-0002-0000-0100-000004000000}">
      <formula1>"Yes, No"</formula1>
    </dataValidation>
    <dataValidation type="list" allowBlank="1" showInputMessage="1" showErrorMessage="1" sqref="F27:H27" xr:uid="{00000000-0002-0000-0100-000005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Westchester Village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6">
      <c r="A8" s="576" t="s">
        <v>2647</v>
      </c>
      <c r="B8" s="576"/>
      <c r="C8" s="4737" t="str">
        <f>'Part I-Project Identification'!$F$25</f>
        <v>Westchester Village</v>
      </c>
      <c r="D8" s="4737"/>
      <c r="E8" s="1978" t="str">
        <f>'Part I-Project Identification'!$O$7</f>
        <v>2023-0</v>
      </c>
      <c r="F8" s="576" t="s">
        <v>2648</v>
      </c>
      <c r="G8" s="567"/>
      <c r="H8" s="4737" t="str">
        <f>CONCATENATE('Part I-Project Identification'!$F$26,", ",'Part I-Project Identification'!$J$26)</f>
        <v>Jonesboro, Clayton</v>
      </c>
      <c r="I8" s="4737"/>
      <c r="J8" s="4737"/>
      <c r="K8" s="4737"/>
      <c r="L8" s="567"/>
      <c r="M8" s="545"/>
    </row>
    <row r="9" spans="1:14" ht="15.6">
      <c r="A9" s="576" t="s">
        <v>2650</v>
      </c>
      <c r="B9" s="576"/>
      <c r="C9" s="4737" t="s">
        <v>1646</v>
      </c>
      <c r="D9" s="4737"/>
      <c r="E9" s="567"/>
      <c r="F9" s="576" t="s">
        <v>2651</v>
      </c>
      <c r="G9" s="567"/>
      <c r="H9" s="4746"/>
      <c r="I9" s="4746"/>
      <c r="J9" s="4746"/>
      <c r="K9" s="4746"/>
      <c r="L9" s="4746"/>
      <c r="M9" s="545"/>
    </row>
    <row r="10" spans="1:14" ht="15.6">
      <c r="A10" s="576" t="s">
        <v>2653</v>
      </c>
      <c r="B10" s="567"/>
      <c r="C10" s="4747"/>
      <c r="D10" s="4747"/>
      <c r="E10" s="567"/>
      <c r="F10" s="576" t="s">
        <v>3132</v>
      </c>
      <c r="G10" s="567"/>
      <c r="H10" s="4742"/>
      <c r="I10" s="4742"/>
      <c r="J10" s="4742"/>
      <c r="K10" s="4742"/>
      <c r="L10" s="4742"/>
    </row>
    <row r="11" spans="1:14" ht="15.6">
      <c r="A11" s="576" t="s">
        <v>2654</v>
      </c>
      <c r="B11" s="567"/>
      <c r="C11" s="4741"/>
      <c r="D11" s="4741"/>
      <c r="E11" s="1992"/>
      <c r="F11" s="576" t="s">
        <v>606</v>
      </c>
      <c r="G11" s="567"/>
      <c r="H11" s="4742"/>
      <c r="I11" s="4742"/>
      <c r="J11" s="4742"/>
      <c r="K11" s="4742"/>
      <c r="L11" s="4742"/>
      <c r="M11" s="4743"/>
      <c r="N11" s="4744"/>
    </row>
    <row r="12" spans="1:14" ht="15.6">
      <c r="A12" s="576" t="s">
        <v>2655</v>
      </c>
      <c r="B12" s="567"/>
      <c r="C12" s="4741"/>
      <c r="D12" s="4741"/>
      <c r="E12" s="567"/>
      <c r="F12" s="576" t="s">
        <v>2656</v>
      </c>
      <c r="G12" s="567"/>
      <c r="H12" s="4741"/>
      <c r="I12" s="4741"/>
      <c r="J12" s="4741"/>
      <c r="K12" s="4741"/>
      <c r="L12" s="4741"/>
      <c r="M12" s="507"/>
    </row>
    <row r="13" spans="1:14" ht="15.6">
      <c r="A13" s="576" t="s">
        <v>2657</v>
      </c>
      <c r="B13" s="576"/>
      <c r="C13" s="1979">
        <f>'Part V-Revenues &amp; Expenses'!$P$67</f>
        <v>50</v>
      </c>
      <c r="D13" s="26"/>
      <c r="E13" s="1980">
        <f>'Part V-Revenues &amp; Expenses'!$P$63</f>
        <v>45</v>
      </c>
      <c r="F13" s="576" t="s">
        <v>3452</v>
      </c>
      <c r="G13" s="567"/>
      <c r="H13" s="1990"/>
      <c r="I13" s="1982"/>
      <c r="J13" s="1982"/>
      <c r="K13" s="1981">
        <f>'Part V-Revenues &amp; Expenses'!$K$175</f>
        <v>56000</v>
      </c>
      <c r="L13" s="567"/>
      <c r="M13" s="507"/>
    </row>
    <row r="14" spans="1:14" ht="15.6">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3100</v>
      </c>
      <c r="I14" s="4745"/>
      <c r="J14" s="4745"/>
      <c r="K14" s="4745" t="s">
        <v>3100</v>
      </c>
      <c r="L14" s="4745"/>
      <c r="M14" s="507"/>
    </row>
    <row r="15" spans="1:14" ht="15.6">
      <c r="A15" s="576" t="s">
        <v>2659</v>
      </c>
      <c r="B15" s="567"/>
      <c r="C15" s="1983" t="s">
        <v>1646</v>
      </c>
      <c r="D15" s="567"/>
      <c r="E15" s="567"/>
      <c r="F15" s="576" t="s">
        <v>2950</v>
      </c>
      <c r="G15" s="567"/>
      <c r="H15" s="1978" t="str">
        <f>'Part I-Project Identification'!K28</f>
        <v>Urban</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17729099</v>
      </c>
      <c r="D18" s="1986">
        <f>IF(C18=0,"",$C$29/C18)</f>
        <v>0.11985944689010987</v>
      </c>
      <c r="E18" s="567" t="s">
        <v>2953</v>
      </c>
      <c r="F18" s="576" t="s">
        <v>6749</v>
      </c>
      <c r="G18" s="567"/>
      <c r="H18" s="4736">
        <f>'Part III-A-Uses of Funds'!$C$49</f>
        <v>11794440</v>
      </c>
      <c r="I18" s="4736"/>
      <c r="J18" s="1987">
        <f>IF(H18=0,"",$C$29/H18)</f>
        <v>0.18016963925375007</v>
      </c>
      <c r="K18" s="4737" t="s">
        <v>2955</v>
      </c>
      <c r="L18" s="4737"/>
      <c r="M18" s="507"/>
    </row>
    <row r="19" spans="1:13" ht="15.6">
      <c r="A19" s="576" t="s">
        <v>2660</v>
      </c>
      <c r="B19" s="567"/>
      <c r="C19" s="1988">
        <f>C18/C13</f>
        <v>354581.98</v>
      </c>
      <c r="D19" s="567"/>
      <c r="E19" s="567"/>
      <c r="F19" s="576" t="s">
        <v>2660</v>
      </c>
      <c r="G19" s="567"/>
      <c r="H19" s="4738">
        <f>H18/C13</f>
        <v>235888.8</v>
      </c>
      <c r="I19" s="4738"/>
      <c r="J19" s="567"/>
      <c r="K19" s="567"/>
      <c r="L19" s="567"/>
      <c r="M19" s="507"/>
    </row>
    <row r="20" spans="1:13" ht="15.6">
      <c r="A20" s="576" t="s">
        <v>2661</v>
      </c>
      <c r="B20" s="567"/>
      <c r="C20" s="1978">
        <f>C18/K13</f>
        <v>316.59105357142857</v>
      </c>
      <c r="D20" s="1989"/>
      <c r="E20" s="1989"/>
      <c r="F20" s="576" t="s">
        <v>2661</v>
      </c>
      <c r="G20" s="567"/>
      <c r="H20" s="4737">
        <f>H18/K13</f>
        <v>210.61500000000001</v>
      </c>
      <c r="I20" s="4738"/>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Sterling Bank</v>
      </c>
      <c r="C25" s="553">
        <f>'Part II-Sources of Funds'!I40</f>
        <v>2125000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2125000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15556447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2125000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0.11985944689010987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0.18016963925375007</v>
      </c>
      <c r="D40" s="507"/>
      <c r="E40" s="507"/>
      <c r="F40" s="510"/>
      <c r="G40" s="510" t="s">
        <v>2681</v>
      </c>
      <c r="H40" s="507"/>
      <c r="I40" s="507"/>
      <c r="K40" s="555">
        <f>C30/C18</f>
        <v>0.87745276846838072</v>
      </c>
      <c r="L40" s="507"/>
      <c r="M40" s="507"/>
    </row>
    <row r="46" spans="1:13" ht="15.6">
      <c r="A46" s="550" t="s">
        <v>2682</v>
      </c>
      <c r="B46" s="540"/>
      <c r="C46" s="540"/>
      <c r="D46" s="540"/>
      <c r="E46" s="540"/>
      <c r="F46" s="540"/>
      <c r="G46" s="540"/>
      <c r="H46" s="540"/>
      <c r="I46" s="540"/>
      <c r="J46" s="540"/>
      <c r="K46" s="540"/>
      <c r="L46" s="540"/>
      <c r="M46" s="507"/>
    </row>
    <row r="47" spans="1:13" ht="15.6">
      <c r="A47" s="550" t="str">
        <f>C8</f>
        <v>Westchester Village</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503820</v>
      </c>
      <c r="D52" s="568"/>
      <c r="E52" s="568">
        <f>$C$52</f>
        <v>503820</v>
      </c>
      <c r="F52" s="568"/>
      <c r="G52" s="568">
        <f>$C$52</f>
        <v>503820</v>
      </c>
      <c r="H52" s="568"/>
      <c r="I52" s="568">
        <f>$C$52</f>
        <v>503820</v>
      </c>
      <c r="J52" s="568"/>
      <c r="K52" s="568">
        <f>$C$52</f>
        <v>503820</v>
      </c>
      <c r="L52" s="569"/>
      <c r="M52"/>
      <c r="N52"/>
    </row>
    <row r="53" spans="1:14" s="507" customFormat="1" ht="18.75" customHeight="1">
      <c r="B53" s="567" t="s">
        <v>2689</v>
      </c>
      <c r="C53" s="568">
        <f>'Part VI-Pro Forma'!B16</f>
        <v>10076.4</v>
      </c>
      <c r="D53" s="568"/>
      <c r="E53" s="568">
        <f>$C$53</f>
        <v>10076.4</v>
      </c>
      <c r="F53" s="568"/>
      <c r="G53" s="568">
        <f>$C$53</f>
        <v>10076.4</v>
      </c>
      <c r="H53" s="568"/>
      <c r="I53" s="568">
        <f>$C$53</f>
        <v>10076.4</v>
      </c>
      <c r="J53" s="568"/>
      <c r="K53" s="568">
        <f>$C$53</f>
        <v>10076.4</v>
      </c>
      <c r="L53" s="569"/>
      <c r="M53"/>
      <c r="N53"/>
    </row>
    <row r="54" spans="1:14" s="507" customFormat="1" ht="18.75" customHeight="1">
      <c r="B54" s="567" t="s">
        <v>2687</v>
      </c>
      <c r="C54" s="568">
        <f>'Part VI-Pro Forma'!B17</f>
        <v>-35972.748000000007</v>
      </c>
      <c r="D54" s="568"/>
      <c r="E54" s="568">
        <f>-($C$52+E53)*F50</f>
        <v>-51389.640000000007</v>
      </c>
      <c r="F54" s="570"/>
      <c r="G54" s="568">
        <f>-($C$52+G53)*0.07</f>
        <v>-35972.748000000007</v>
      </c>
      <c r="H54" s="568"/>
      <c r="I54" s="568">
        <f>-($C$52+I53)*0.07</f>
        <v>-35972.748000000007</v>
      </c>
      <c r="J54" s="568"/>
      <c r="K54" s="568">
        <f>-($C$52+K53)*L54</f>
        <v>-51389.640000000007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477923.652</v>
      </c>
      <c r="D56" s="568"/>
      <c r="E56" s="574">
        <f>SUM(E52:E55)</f>
        <v>462506.76</v>
      </c>
      <c r="F56" s="568"/>
      <c r="G56" s="574">
        <f>SUM(G52:G55)</f>
        <v>477923.652</v>
      </c>
      <c r="H56" s="568"/>
      <c r="I56" s="574">
        <f>SUM(I52:I55)</f>
        <v>477923.652</v>
      </c>
      <c r="J56" s="568"/>
      <c r="K56" s="574">
        <f>SUM(K52:K55)</f>
        <v>462506.76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3500</v>
      </c>
      <c r="D59" s="568"/>
      <c r="E59" s="568">
        <f>$C$59</f>
        <v>3500</v>
      </c>
      <c r="F59" s="568"/>
      <c r="G59" s="568">
        <f>$C$59</f>
        <v>3500</v>
      </c>
      <c r="H59" s="568"/>
      <c r="I59" s="568">
        <f>$C$59</f>
        <v>3500</v>
      </c>
      <c r="J59" s="568"/>
      <c r="K59" s="568">
        <f>$C$59*(1+$L$59)</f>
        <v>3640</v>
      </c>
      <c r="L59" s="575">
        <v>0.04</v>
      </c>
      <c r="M59"/>
      <c r="N59"/>
    </row>
    <row r="60" spans="1:14" s="507" customFormat="1" ht="18.75" customHeight="1">
      <c r="B60" s="567" t="s">
        <v>1297</v>
      </c>
      <c r="C60" s="568">
        <f>+'Part V-Revenues &amp; Expenses'!L237</f>
        <v>3500</v>
      </c>
      <c r="D60" s="568"/>
      <c r="E60" s="568">
        <f>$C$60</f>
        <v>3500</v>
      </c>
      <c r="F60" s="568"/>
      <c r="G60" s="568">
        <f>$C$60</f>
        <v>3500</v>
      </c>
      <c r="H60" s="568"/>
      <c r="I60" s="568">
        <f>$C$60*(1+$J$50)</f>
        <v>3605</v>
      </c>
      <c r="J60" s="570"/>
      <c r="K60" s="568">
        <f>$C$60*(1+$J$50)</f>
        <v>3605</v>
      </c>
      <c r="L60" s="571">
        <v>0.03</v>
      </c>
      <c r="M60"/>
      <c r="N60"/>
    </row>
    <row r="61" spans="1:14" s="507" customFormat="1" ht="18.75" customHeight="1">
      <c r="B61" s="567" t="s">
        <v>1298</v>
      </c>
      <c r="C61" s="568">
        <f>+'Part V-Revenues &amp; Expenses'!L244</f>
        <v>49893</v>
      </c>
      <c r="D61" s="568"/>
      <c r="E61" s="568">
        <f>$C$61</f>
        <v>49893</v>
      </c>
      <c r="F61" s="568"/>
      <c r="G61" s="568">
        <f>$C$61*(1+H50)</f>
        <v>52387.65</v>
      </c>
      <c r="H61" s="570"/>
      <c r="I61" s="568">
        <f>$C$61</f>
        <v>49893</v>
      </c>
      <c r="J61" s="568"/>
      <c r="K61" s="568">
        <f>$C$61*(1+$L$61)</f>
        <v>52387.65</v>
      </c>
      <c r="L61" s="571">
        <v>0.05</v>
      </c>
      <c r="M61"/>
      <c r="N61"/>
    </row>
    <row r="62" spans="1:14" s="507" customFormat="1" ht="18.75" customHeight="1">
      <c r="B62" s="573" t="s">
        <v>2693</v>
      </c>
      <c r="C62" s="574">
        <f>SUM(C58:C61)</f>
        <v>63893</v>
      </c>
      <c r="D62" s="568"/>
      <c r="E62" s="574">
        <f>SUM(E58:E61)</f>
        <v>63893</v>
      </c>
      <c r="F62" s="568"/>
      <c r="G62" s="574">
        <f>SUM(G58:G61)</f>
        <v>66387.649999999994</v>
      </c>
      <c r="H62" s="568"/>
      <c r="I62" s="574">
        <f>SUM(I58:I61)</f>
        <v>63998</v>
      </c>
      <c r="J62" s="568"/>
      <c r="K62" s="574">
        <f>SUM(K58:K61)</f>
        <v>66632.649999999994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414030.652</v>
      </c>
      <c r="D64" s="577"/>
      <c r="E64" s="577">
        <f>E56-E62</f>
        <v>398613.76000000001</v>
      </c>
      <c r="F64" s="577"/>
      <c r="G64" s="577">
        <f>G56-G62</f>
        <v>411536.00199999998</v>
      </c>
      <c r="H64" s="577"/>
      <c r="I64" s="577">
        <f>I56-I62</f>
        <v>413925.652</v>
      </c>
      <c r="J64" s="577"/>
      <c r="K64" s="577">
        <f>K56-K62</f>
        <v>395874.11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414030.652</v>
      </c>
      <c r="D70" s="577"/>
      <c r="E70" s="580">
        <f>E64-E66-E68</f>
        <v>398613.76000000001</v>
      </c>
      <c r="F70" s="577"/>
      <c r="G70" s="580">
        <f>G64-G66-G68</f>
        <v>411536.00199999998</v>
      </c>
      <c r="H70" s="577"/>
      <c r="I70" s="580">
        <f>I64-I66-I68</f>
        <v>413925.652</v>
      </c>
      <c r="J70" s="577"/>
      <c r="K70" s="580">
        <f>K64-K66-K68</f>
        <v>395874.11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2.612758109862094</v>
      </c>
      <c r="D72" s="581"/>
      <c r="E72" s="1004">
        <f>-E70/E75</f>
        <v>2.5154691545461287</v>
      </c>
      <c r="F72" s="581"/>
      <c r="G72" s="1004">
        <f>-G70/G75</f>
        <v>2.5970155145076621</v>
      </c>
      <c r="H72" s="581"/>
      <c r="I72" s="1004">
        <f>-I70/I75</f>
        <v>2.6120955028782626</v>
      </c>
      <c r="J72" s="581"/>
      <c r="K72" s="1004">
        <f>-K70/K75</f>
        <v>2.4981804762294235</v>
      </c>
      <c r="L72" s="4"/>
      <c r="M72" s="10"/>
      <c r="N72" s="10"/>
    </row>
    <row r="73" spans="1:14" s="507" customFormat="1" ht="18.75" customHeight="1">
      <c r="A73"/>
      <c r="B73" s="567" t="s">
        <v>2699</v>
      </c>
      <c r="C73" s="1005">
        <f>C76/C62</f>
        <v>3.9999010170678373</v>
      </c>
      <c r="D73" s="582"/>
      <c r="E73" s="1005">
        <f>E76/E62</f>
        <v>3.7586086689232832</v>
      </c>
      <c r="F73" s="582"/>
      <c r="G73" s="1005">
        <f>G76/G62</f>
        <v>3.8120196404529354</v>
      </c>
      <c r="H73" s="582"/>
      <c r="I73" s="1005">
        <f>I76/I62</f>
        <v>3.9916977981111179</v>
      </c>
      <c r="J73" s="582"/>
      <c r="K73" s="1005">
        <f>K76/K62</f>
        <v>3.5629550030430326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-158464.97631648468</v>
      </c>
      <c r="D75" s="568"/>
      <c r="E75" s="568">
        <f>$C$75</f>
        <v>-158464.97631648468</v>
      </c>
      <c r="F75" s="568"/>
      <c r="G75" s="568">
        <f>$C$75</f>
        <v>-158464.97631648468</v>
      </c>
      <c r="H75" s="568"/>
      <c r="I75" s="568">
        <f>$C$75</f>
        <v>-158464.97631648468</v>
      </c>
      <c r="J75" s="568"/>
      <c r="K75" s="568">
        <f>$C$75</f>
        <v>-158464.97631648468</v>
      </c>
      <c r="L75" s="26"/>
      <c r="M75"/>
      <c r="N75"/>
    </row>
    <row r="76" spans="1:14" s="507" customFormat="1" ht="18.75" customHeight="1">
      <c r="A76"/>
      <c r="B76" s="567" t="s">
        <v>1096</v>
      </c>
      <c r="C76" s="568">
        <f>C70+C75</f>
        <v>255565.67568351532</v>
      </c>
      <c r="D76" s="568"/>
      <c r="E76" s="568">
        <f>E70+E75</f>
        <v>240148.78368351533</v>
      </c>
      <c r="F76" s="568"/>
      <c r="G76" s="568">
        <f>G70+G75</f>
        <v>253071.0256835153</v>
      </c>
      <c r="H76" s="568"/>
      <c r="I76" s="568">
        <f>I70+I75</f>
        <v>255460.67568351532</v>
      </c>
      <c r="J76" s="568"/>
      <c r="K76" s="568">
        <f>K70+K75</f>
        <v>237409.13368351531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300-000000000000}">
      <formula1>"First, Second, Third, Fourth"</formula1>
    </dataValidation>
    <dataValidation showDropDown="1" showInputMessage="1" showErrorMessage="1" sqref="C14 B25:B27" xr:uid="{00000000-0002-0000-1300-000001000000}"/>
    <dataValidation type="list" allowBlank="1" showInputMessage="1" showErrorMessage="1" sqref="C15" xr:uid="{00000000-0002-0000-1300-000002000000}">
      <formula1>"&lt;&lt;Select&gt;&gt;,Gas, Electric, Propane"</formula1>
    </dataValidation>
    <dataValidation type="list" showInputMessage="1" showErrorMessage="1" sqref="D25:D27" xr:uid="{00000000-0002-0000-1300-000003000000}">
      <formula1>"First, Second, Third"</formula1>
    </dataValidation>
    <dataValidation type="list" allowBlank="1" showInputMessage="1" showErrorMessage="1" sqref="C9:D9" xr:uid="{00000000-0002-0000-1300-000004000000}">
      <formula1>"&lt;&lt;Select&gt;&gt;, HOME, HOME and 9% LIHTC, HOME and 4% LIHTC, NSP and 4% LIHTC, NHTF and $% LIHTC"</formula1>
    </dataValidation>
    <dataValidation type="list" allowBlank="1" showInputMessage="1" showErrorMessage="1" sqref="B13" xr:uid="{00000000-0002-0000-1300-000005000000}">
      <formula1>$M$10:$M$14</formula1>
    </dataValidation>
    <dataValidation type="list" allowBlank="1" showInputMessage="1" showErrorMessage="1" sqref="H14:J14" xr:uid="{00000000-0002-0000-1300-000006000000}">
      <formula1>"Check rent chart &amp; select below, SF Detached, Mfd Home, Duplex, Townhome, 1-Story, 2-Story, 2-Story Walkup, 3+ Story"</formula1>
    </dataValidation>
    <dataValidation type="list" allowBlank="1" showInputMessage="1" showErrorMessage="1" sqref="K14:L14" xr:uid="{00000000-0002-0000-1300-000007000000}">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Westchester Village</v>
      </c>
    </row>
    <row r="13" spans="1:10">
      <c r="A13" s="517"/>
      <c r="D13" s="516" t="s">
        <v>2604</v>
      </c>
      <c r="F13" s="1024" t="str">
        <f>'Sensitivity Analysis'!E8</f>
        <v>2023-0</v>
      </c>
    </row>
    <row r="14" spans="1:10">
      <c r="A14" s="517"/>
      <c r="D14" s="516" t="s">
        <v>2605</v>
      </c>
      <c r="F14" s="1024" t="str">
        <f>'Sensitivity Analysis'!H8</f>
        <v>Jonesboro, Clayton</v>
      </c>
    </row>
    <row r="15" spans="1:10">
      <c r="A15" s="517"/>
      <c r="D15" s="516" t="s">
        <v>2946</v>
      </c>
      <c r="F15" s="4748">
        <f>'Sensitivity Analysis'!$C$25</f>
        <v>2125000</v>
      </c>
      <c r="G15" s="4748"/>
      <c r="H15" s="4748"/>
    </row>
    <row r="16" spans="1:10">
      <c r="A16" s="517"/>
      <c r="D16" s="519" t="s">
        <v>2606</v>
      </c>
      <c r="F16" s="520">
        <f>'Sensitivity Analysis'!C13</f>
        <v>50</v>
      </c>
      <c r="G16" s="521" t="s">
        <v>2947</v>
      </c>
      <c r="H16" s="972">
        <f>'Sensitivity Analysis'!E13</f>
        <v>45</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54" t="s">
        <v>3099</v>
      </c>
      <c r="B22" s="4754"/>
      <c r="C22" s="4754"/>
      <c r="D22" s="4754"/>
      <c r="E22" s="4754"/>
      <c r="F22" s="4754"/>
      <c r="G22" s="4754"/>
      <c r="H22" s="4754"/>
      <c r="I22" s="4754"/>
      <c r="J22" s="4754"/>
      <c r="K22" s="4756" t="s">
        <v>3898</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c r="A26" s="522" t="s">
        <v>6154</v>
      </c>
    </row>
    <row r="27" spans="1:18" ht="14.25" customHeight="1">
      <c r="A27" s="4762" t="s">
        <v>6156</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6157</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c r="A46" s="522" t="s">
        <v>2607</v>
      </c>
    </row>
    <row r="47" spans="1:10" ht="135" customHeight="1">
      <c r="A47" s="4731" t="s">
        <v>6158</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c r="A49" s="522" t="s">
        <v>2608</v>
      </c>
    </row>
    <row r="50" spans="1:12" ht="33" customHeight="1">
      <c r="A50" s="4727" t="s">
        <v>3453</v>
      </c>
      <c r="B50" s="4729"/>
      <c r="C50" s="4729"/>
      <c r="D50" s="4729"/>
      <c r="E50" s="4729"/>
      <c r="F50" s="4729"/>
      <c r="G50" s="4729"/>
      <c r="H50" s="4729"/>
      <c r="I50" s="4729"/>
      <c r="J50" s="4727"/>
    </row>
    <row r="51" spans="1:12" ht="3" customHeight="1"/>
    <row r="52" spans="1:12" ht="72.75" customHeight="1">
      <c r="A52" s="4727" t="s">
        <v>3454</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3455</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3456</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3457</v>
      </c>
      <c r="B60" s="4727"/>
      <c r="C60" s="4727"/>
      <c r="D60" s="4727"/>
      <c r="E60" s="4727"/>
      <c r="F60" s="4727"/>
      <c r="G60" s="4727"/>
      <c r="H60" s="4727"/>
      <c r="I60" s="4727"/>
      <c r="J60" s="4727"/>
    </row>
    <row r="61" spans="1:12" ht="3" customHeight="1"/>
    <row r="62" spans="1:12" ht="73.5" customHeight="1">
      <c r="A62" s="4727" t="s">
        <v>3458</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4" t="s">
        <v>2610</v>
      </c>
      <c r="B65" s="4754"/>
      <c r="C65" s="4754"/>
      <c r="D65" s="4754"/>
      <c r="E65" s="4754"/>
      <c r="F65" s="4754"/>
      <c r="G65" s="4754"/>
      <c r="H65" s="4754"/>
      <c r="I65" s="4754"/>
      <c r="J65" s="4754"/>
      <c r="L65" s="524">
        <f>'Closing term sheet'!C135</f>
        <v>638729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10533947 via the syndication of the 2021 Federal LIHTC allocation of 1225000 per annum. will make a capital contribution totaling 5022500 via the syndication of the 2021 State LIHTC allocation of 1225000 per annum.</v>
      </c>
      <c r="B67" s="4727"/>
      <c r="C67" s="4727"/>
      <c r="D67" s="4727"/>
      <c r="E67" s="4727"/>
      <c r="F67" s="4727"/>
      <c r="G67" s="4727"/>
      <c r="H67" s="4727"/>
      <c r="I67" s="4727"/>
      <c r="J67" s="529"/>
      <c r="L67" s="530">
        <f>'Part II-Sources of Funds'!I51</f>
        <v>10533947</v>
      </c>
      <c r="M67" s="531">
        <f>'Part III-A-Uses of Funds'!$J$191</f>
        <v>1225000</v>
      </c>
      <c r="N67" s="532">
        <f>'Part III-A-Uses of Funds'!N182</f>
        <v>0.86</v>
      </c>
      <c r="O67" s="530">
        <f>'Part II-Sources of Funds'!I52</f>
        <v>5022500</v>
      </c>
      <c r="P67" s="531">
        <f>M67</f>
        <v>1225000</v>
      </c>
      <c r="Q67" s="532">
        <f>'Part III-A-Uses of Funds'!Q182</f>
        <v>0.41</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1.27 (0.86 Federal tax credit and 0.41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6159</v>
      </c>
      <c r="B70" s="4727"/>
      <c r="C70" s="4727"/>
      <c r="D70" s="4727"/>
      <c r="E70" s="4727"/>
      <c r="F70" s="4727"/>
      <c r="G70" s="4727"/>
      <c r="H70" s="4727"/>
      <c r="I70" s="4727"/>
      <c r="J70" s="4727"/>
      <c r="L70" s="534">
        <f>'Part VI-Pro Forma'!K72</f>
        <v>1703267.4864308031</v>
      </c>
      <c r="M70" s="4755" t="s">
        <v>3098</v>
      </c>
      <c r="N70" s="4756"/>
    </row>
    <row r="71" spans="1:17" ht="6" customHeight="1">
      <c r="A71" s="522"/>
    </row>
    <row r="72" spans="1:17">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3660</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6160</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c r="A88" s="522" t="s">
        <v>2621</v>
      </c>
    </row>
    <row r="89" spans="1:15" ht="124.2"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c r="A99" s="522" t="s">
        <v>2632</v>
      </c>
    </row>
    <row r="100" spans="1:14" ht="110.7" customHeight="1">
      <c r="A100" s="4754" t="s">
        <v>2633</v>
      </c>
      <c r="B100" s="4754"/>
      <c r="C100" s="4754"/>
      <c r="D100" s="4754"/>
      <c r="E100" s="4754"/>
      <c r="F100" s="4754"/>
      <c r="G100" s="4754"/>
      <c r="H100" s="4754"/>
      <c r="I100" s="4754"/>
      <c r="J100" s="4754"/>
      <c r="L100" s="975">
        <f>'Part VI-Pro Forma'!K72</f>
        <v>1703267.4864308031</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49" t="s">
        <v>6065</v>
      </c>
      <c r="B120" s="4749"/>
      <c r="C120" s="4749"/>
      <c r="D120" s="4749"/>
      <c r="E120" s="4750"/>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Westchester Village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6">
      <c r="A8" s="510" t="s">
        <v>2647</v>
      </c>
      <c r="B8" s="510"/>
      <c r="C8" s="4764" t="str">
        <f>'Part I-Project Identification'!F25</f>
        <v>Westchester Village</v>
      </c>
      <c r="D8" s="4764"/>
      <c r="E8" s="1020" t="str">
        <f>'Part I-Project Identification'!O7</f>
        <v>2023-0</v>
      </c>
      <c r="F8" s="510" t="s">
        <v>2648</v>
      </c>
      <c r="G8" s="507"/>
      <c r="H8" s="4764" t="str">
        <f>CONCATENATE('Part I-Project Identification'!F26,", ",'Part I-Project Identification'!J26)</f>
        <v>Jonesboro, Clayton</v>
      </c>
      <c r="I8" s="4764"/>
      <c r="J8" s="4764"/>
      <c r="K8" s="4764"/>
      <c r="L8" s="507"/>
      <c r="M8" s="545"/>
    </row>
    <row r="9" spans="1:14" ht="15.6">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6">
      <c r="A10" s="510" t="s">
        <v>2653</v>
      </c>
      <c r="B10" s="507"/>
      <c r="C10" s="1020">
        <f>'Part II-Development Team'!H15</f>
        <v>0</v>
      </c>
      <c r="D10" s="507"/>
      <c r="E10" s="507"/>
      <c r="F10" s="510" t="s">
        <v>3132</v>
      </c>
      <c r="G10" s="507"/>
      <c r="H10" s="4764">
        <f>'Part II-Development Team'!H34</f>
        <v>0</v>
      </c>
      <c r="I10" s="4764"/>
      <c r="J10" s="4764"/>
      <c r="K10" s="4764">
        <f>'Part II-Development Team'!H40</f>
        <v>0</v>
      </c>
      <c r="L10" s="4764"/>
    </row>
    <row r="11" spans="1:14" ht="15.6">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6">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6">
      <c r="A13" s="510" t="s">
        <v>2657</v>
      </c>
      <c r="B13" s="510"/>
      <c r="C13" s="506">
        <f>'Part V-Revenues &amp; Expenses'!$P$67</f>
        <v>50</v>
      </c>
      <c r="E13" s="970">
        <f>'Part V-Revenues &amp; Expenses'!$P$63</f>
        <v>45</v>
      </c>
      <c r="F13" s="510" t="s">
        <v>3452</v>
      </c>
      <c r="G13" s="507"/>
      <c r="H13" s="1021" t="e">
        <f>'Part I-Project Identification'!#REF!</f>
        <v>#REF!</v>
      </c>
      <c r="I13" s="971"/>
      <c r="J13" s="971"/>
      <c r="K13" s="1021">
        <f>'Part V-Revenues &amp; Expenses'!K175</f>
        <v>56000</v>
      </c>
      <c r="L13" s="507"/>
      <c r="M13" s="507"/>
    </row>
    <row r="14" spans="1:14" ht="15.6">
      <c r="A14" s="510" t="s">
        <v>2949</v>
      </c>
      <c r="B14" s="507"/>
      <c r="C14" s="1021" t="e">
        <f>'Part I-Project Identification'!#REF!</f>
        <v>#REF!</v>
      </c>
      <c r="D14" s="4764" t="e">
        <f>IF('Part V-Revenues &amp; Expenses'!#REF!=0,"",'Part V-Revenues &amp; Expenses'!#REF!)</f>
        <v>#REF!</v>
      </c>
      <c r="E14" s="4764"/>
      <c r="F14" s="510" t="s">
        <v>2658</v>
      </c>
      <c r="G14" s="507"/>
      <c r="H14" s="4745" t="s">
        <v>3100</v>
      </c>
      <c r="I14" s="4745"/>
      <c r="J14" s="4745"/>
      <c r="K14" s="4745" t="s">
        <v>3100</v>
      </c>
      <c r="L14" s="4745"/>
      <c r="M14" s="507"/>
    </row>
    <row r="15" spans="1:14" ht="15.6">
      <c r="A15" s="510" t="s">
        <v>2659</v>
      </c>
      <c r="B15" s="507"/>
      <c r="C15" s="546" t="s">
        <v>1646</v>
      </c>
      <c r="D15" s="507"/>
      <c r="E15" s="507"/>
      <c r="F15" s="510" t="s">
        <v>2950</v>
      </c>
      <c r="G15" s="507"/>
      <c r="H15" s="1020" t="str">
        <f>'Part I-Project Identification'!K28</f>
        <v>Urban</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17729099</v>
      </c>
      <c r="D18" s="1003">
        <f>IF(C18=0,"",$C$29/C18)</f>
        <v>0.11985944689010987</v>
      </c>
      <c r="E18" s="507" t="s">
        <v>2953</v>
      </c>
      <c r="F18" s="510" t="s">
        <v>2954</v>
      </c>
      <c r="G18" s="507"/>
      <c r="H18" s="4763">
        <f>'Part III-A-Uses of Funds'!C49</f>
        <v>11794440</v>
      </c>
      <c r="I18" s="4763"/>
      <c r="J18" s="1002">
        <f>IF(H18=0,"",$C$29/H18)</f>
        <v>0.18016963925375007</v>
      </c>
      <c r="K18" s="4764" t="s">
        <v>2955</v>
      </c>
      <c r="L18" s="4764"/>
      <c r="M18" s="507"/>
    </row>
    <row r="19" spans="1:13" ht="15.6">
      <c r="A19" s="510" t="s">
        <v>2660</v>
      </c>
      <c r="B19" s="507"/>
      <c r="C19" s="1022">
        <f>C18/C13</f>
        <v>354581.98</v>
      </c>
      <c r="D19" s="507"/>
      <c r="E19" s="507"/>
      <c r="F19" s="510" t="s">
        <v>2660</v>
      </c>
      <c r="G19" s="507"/>
      <c r="H19" s="4765">
        <f>H18/C13</f>
        <v>235888.8</v>
      </c>
      <c r="I19" s="4765"/>
      <c r="J19" s="507"/>
      <c r="K19" s="507"/>
      <c r="L19" s="507"/>
      <c r="M19" s="507"/>
    </row>
    <row r="20" spans="1:13" ht="15.6">
      <c r="A20" s="510" t="s">
        <v>2661</v>
      </c>
      <c r="B20" s="507"/>
      <c r="C20" s="1020">
        <f>C18/K13</f>
        <v>316.59105357142857</v>
      </c>
      <c r="D20" s="548"/>
      <c r="E20" s="548"/>
      <c r="F20" s="510" t="s">
        <v>2661</v>
      </c>
      <c r="G20" s="507"/>
      <c r="H20" s="4764">
        <f>H18/K13</f>
        <v>210.61500000000001</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Sterling Bank</v>
      </c>
      <c r="C25" s="553">
        <f>'Part II-Sources of Funds'!I40</f>
        <v>2125000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2125000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15556447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2125000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0.11985944689010987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0.18016963925375007</v>
      </c>
      <c r="D40" s="507"/>
      <c r="E40" s="507"/>
      <c r="F40" s="510"/>
      <c r="G40" s="510" t="s">
        <v>2681</v>
      </c>
      <c r="H40" s="507"/>
      <c r="I40" s="507"/>
      <c r="K40" s="555">
        <f>C30/C18</f>
        <v>0.87745276846838072</v>
      </c>
      <c r="L40" s="507"/>
      <c r="M40" s="507"/>
    </row>
    <row r="46" spans="1:13" ht="15.6">
      <c r="A46" s="550" t="s">
        <v>2682</v>
      </c>
      <c r="B46" s="540"/>
      <c r="C46" s="540"/>
      <c r="D46" s="540"/>
      <c r="E46" s="540"/>
      <c r="F46" s="540"/>
      <c r="G46" s="540"/>
      <c r="H46" s="540"/>
      <c r="I46" s="540"/>
      <c r="J46" s="540"/>
      <c r="K46" s="540"/>
      <c r="L46" s="540"/>
      <c r="M46" s="507"/>
    </row>
    <row r="47" spans="1:13" ht="15.6">
      <c r="A47" s="550" t="str">
        <f>C8</f>
        <v>Westchester Village</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503820</v>
      </c>
      <c r="D52" s="568"/>
      <c r="E52" s="568">
        <f>$C$52</f>
        <v>503820</v>
      </c>
      <c r="F52" s="568"/>
      <c r="G52" s="568">
        <f>$C$52</f>
        <v>503820</v>
      </c>
      <c r="H52" s="568"/>
      <c r="I52" s="568">
        <f>$C$52</f>
        <v>503820</v>
      </c>
      <c r="J52" s="568"/>
      <c r="K52" s="568">
        <f>$C$52</f>
        <v>503820</v>
      </c>
      <c r="L52" s="569"/>
      <c r="M52"/>
      <c r="N52"/>
    </row>
    <row r="53" spans="1:14" s="507" customFormat="1" ht="18.75" customHeight="1">
      <c r="B53" s="567" t="s">
        <v>2689</v>
      </c>
      <c r="C53" s="568">
        <f>'Part VI-Pro Forma'!B16</f>
        <v>10076.4</v>
      </c>
      <c r="D53" s="568"/>
      <c r="E53" s="568">
        <f>$C$53</f>
        <v>10076.4</v>
      </c>
      <c r="F53" s="568"/>
      <c r="G53" s="568">
        <f>$C$53</f>
        <v>10076.4</v>
      </c>
      <c r="H53" s="568"/>
      <c r="I53" s="568">
        <f>$C$53</f>
        <v>10076.4</v>
      </c>
      <c r="J53" s="568"/>
      <c r="K53" s="568">
        <f>$C$53</f>
        <v>10076.4</v>
      </c>
      <c r="L53" s="569"/>
      <c r="M53"/>
      <c r="N53"/>
    </row>
    <row r="54" spans="1:14" s="507" customFormat="1" ht="18.75" customHeight="1">
      <c r="B54" s="567" t="s">
        <v>2687</v>
      </c>
      <c r="C54" s="568">
        <f>'Part VI-Pro Forma'!B17</f>
        <v>-35972.748000000007</v>
      </c>
      <c r="D54" s="568"/>
      <c r="E54" s="568">
        <f>-($C$52+E53)*F50</f>
        <v>-51389.640000000007</v>
      </c>
      <c r="F54" s="570"/>
      <c r="G54" s="568">
        <f>-($C$52+G53)*0.07</f>
        <v>-35972.748000000007</v>
      </c>
      <c r="H54" s="568"/>
      <c r="I54" s="568">
        <f>-($C$52+I53)*0.07</f>
        <v>-35972.748000000007</v>
      </c>
      <c r="J54" s="568"/>
      <c r="K54" s="568">
        <f>-($C$52+K53)*L54</f>
        <v>-51389.640000000007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477923.652</v>
      </c>
      <c r="D56" s="568"/>
      <c r="E56" s="574">
        <f>SUM(E52:E55)</f>
        <v>462506.76</v>
      </c>
      <c r="F56" s="568"/>
      <c r="G56" s="574">
        <f>SUM(G52:G55)</f>
        <v>477923.652</v>
      </c>
      <c r="H56" s="568"/>
      <c r="I56" s="574">
        <f>SUM(I52:I55)</f>
        <v>477923.652</v>
      </c>
      <c r="J56" s="568"/>
      <c r="K56" s="574">
        <f>SUM(K52:K55)</f>
        <v>462506.76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103950</v>
      </c>
      <c r="D58" s="568"/>
      <c r="E58" s="568">
        <f>$C$58</f>
        <v>103950</v>
      </c>
      <c r="F58" s="568"/>
      <c r="G58" s="568">
        <f>$C$58</f>
        <v>103950</v>
      </c>
      <c r="H58" s="568"/>
      <c r="I58" s="568">
        <f>$C$58</f>
        <v>103950</v>
      </c>
      <c r="J58" s="568"/>
      <c r="K58" s="568">
        <f>$C$58</f>
        <v>103950</v>
      </c>
      <c r="L58" s="569"/>
      <c r="M58"/>
      <c r="N58"/>
    </row>
    <row r="59" spans="1:14" s="507" customFormat="1" ht="18.75" customHeight="1">
      <c r="B59" s="567" t="s">
        <v>2692</v>
      </c>
      <c r="C59" s="568">
        <f>+'Part V-Revenues &amp; Expenses'!F247</f>
        <v>35200</v>
      </c>
      <c r="D59" s="568"/>
      <c r="E59" s="568">
        <f>$C$59</f>
        <v>35200</v>
      </c>
      <c r="F59" s="568"/>
      <c r="G59" s="568">
        <f>$C$59</f>
        <v>35200</v>
      </c>
      <c r="H59" s="568"/>
      <c r="I59" s="568">
        <f>$C$59</f>
        <v>35200</v>
      </c>
      <c r="J59" s="568"/>
      <c r="K59" s="568">
        <f>$C$59*(1+$L$59)</f>
        <v>36608</v>
      </c>
      <c r="L59" s="575">
        <v>0.04</v>
      </c>
      <c r="M59"/>
      <c r="N59"/>
    </row>
    <row r="60" spans="1:14" s="507" customFormat="1" ht="18.75" customHeight="1">
      <c r="B60" s="567" t="s">
        <v>1297</v>
      </c>
      <c r="C60" s="568">
        <f>+'Part V-Revenues &amp; Expenses'!L241</f>
        <v>23200</v>
      </c>
      <c r="D60" s="568"/>
      <c r="E60" s="568">
        <f>$C$60</f>
        <v>23200</v>
      </c>
      <c r="F60" s="568"/>
      <c r="G60" s="568">
        <f>$C$60</f>
        <v>23200</v>
      </c>
      <c r="H60" s="568"/>
      <c r="I60" s="568">
        <f>$C$60*(1+$J$50)</f>
        <v>23896</v>
      </c>
      <c r="J60" s="570"/>
      <c r="K60" s="568">
        <f>$C$60*(1+$J$50)</f>
        <v>23896</v>
      </c>
      <c r="L60" s="571">
        <v>0.03</v>
      </c>
      <c r="M60"/>
      <c r="N60"/>
    </row>
    <row r="61" spans="1:14" s="507" customFormat="1" ht="18.75" customHeight="1">
      <c r="B61" s="567" t="s">
        <v>1298</v>
      </c>
      <c r="C61" s="568">
        <f>+'Part V-Revenues &amp; Expenses'!L247</f>
        <v>78528</v>
      </c>
      <c r="D61" s="568"/>
      <c r="E61" s="568">
        <f>$C$61</f>
        <v>78528</v>
      </c>
      <c r="F61" s="568"/>
      <c r="G61" s="568">
        <f>$C$61*(1+H50)</f>
        <v>82454.400000000009</v>
      </c>
      <c r="H61" s="570"/>
      <c r="I61" s="568">
        <f>$C$61</f>
        <v>78528</v>
      </c>
      <c r="J61" s="568"/>
      <c r="K61" s="568">
        <f>$C$61*(1+$L$61)</f>
        <v>82454.400000000009</v>
      </c>
      <c r="L61" s="571">
        <v>0.05</v>
      </c>
      <c r="M61"/>
      <c r="N61"/>
    </row>
    <row r="62" spans="1:14" s="507" customFormat="1" ht="18.75" customHeight="1">
      <c r="B62" s="573" t="s">
        <v>2693</v>
      </c>
      <c r="C62" s="574">
        <f>SUM(C58:C61)</f>
        <v>240878</v>
      </c>
      <c r="D62" s="568"/>
      <c r="E62" s="574">
        <f>SUM(E58:E61)</f>
        <v>240878</v>
      </c>
      <c r="F62" s="568"/>
      <c r="G62" s="574">
        <f>SUM(G58:G61)</f>
        <v>244804.40000000002</v>
      </c>
      <c r="H62" s="568"/>
      <c r="I62" s="574">
        <f>SUM(I58:I61)</f>
        <v>241574</v>
      </c>
      <c r="J62" s="568"/>
      <c r="K62" s="574">
        <f>SUM(K58:K61)</f>
        <v>246908.40000000002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237045.652</v>
      </c>
      <c r="D64" s="577"/>
      <c r="E64" s="577">
        <f>E56-E62</f>
        <v>221628.76</v>
      </c>
      <c r="F64" s="577"/>
      <c r="G64" s="577">
        <f>G56-G62</f>
        <v>233119.25199999998</v>
      </c>
      <c r="H64" s="577"/>
      <c r="I64" s="577">
        <f>I56-I62</f>
        <v>236349.652</v>
      </c>
      <c r="J64" s="577"/>
      <c r="K64" s="577">
        <f>K56-K62</f>
        <v>215598.36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12500</v>
      </c>
      <c r="D66" s="568"/>
      <c r="E66" s="568">
        <f>$C$66</f>
        <v>12500</v>
      </c>
      <c r="F66" s="568"/>
      <c r="G66" s="568">
        <f>$C$66</f>
        <v>12500</v>
      </c>
      <c r="H66" s="568"/>
      <c r="I66" s="568">
        <f>$C$66</f>
        <v>12500</v>
      </c>
      <c r="J66" s="568"/>
      <c r="K66" s="568">
        <f>$C$66</f>
        <v>12500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27000</v>
      </c>
      <c r="D68" s="568"/>
      <c r="E68" s="568">
        <f>$C$68</f>
        <v>27000</v>
      </c>
      <c r="F68" s="568"/>
      <c r="G68" s="568">
        <f>$C$68</f>
        <v>27000</v>
      </c>
      <c r="H68" s="568"/>
      <c r="I68" s="568">
        <f>$C$68</f>
        <v>27000</v>
      </c>
      <c r="J68" s="568"/>
      <c r="K68" s="568">
        <f>$C$68</f>
        <v>27000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197545.652</v>
      </c>
      <c r="D70" s="577"/>
      <c r="E70" s="580">
        <f>E64-E66-E68</f>
        <v>182128.76</v>
      </c>
      <c r="F70" s="577"/>
      <c r="G70" s="580">
        <f>G64-G66-G68</f>
        <v>193619.25199999998</v>
      </c>
      <c r="H70" s="577"/>
      <c r="I70" s="580">
        <f>I64-I66-I68</f>
        <v>196849.652</v>
      </c>
      <c r="J70" s="577"/>
      <c r="K70" s="580">
        <f>K64-K66-K68</f>
        <v>176098.36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1.2466202727690678</v>
      </c>
      <c r="D72" s="581"/>
      <c r="E72" s="1004">
        <f>-E70/E75</f>
        <v>1.1493313174531024</v>
      </c>
      <c r="F72" s="581"/>
      <c r="G72" s="1004">
        <f>-G70/G75</f>
        <v>1.2218425578993906</v>
      </c>
      <c r="H72" s="581"/>
      <c r="I72" s="1004">
        <f>-I70/I75</f>
        <v>1.2422281350476703</v>
      </c>
      <c r="J72" s="581"/>
      <c r="K72" s="1004">
        <f>-K70/K75</f>
        <v>1.1112762207359819</v>
      </c>
      <c r="L72" s="4"/>
      <c r="M72" s="10"/>
      <c r="N72" s="10"/>
    </row>
    <row r="73" spans="1:14" s="507" customFormat="1" ht="18.75" customHeight="1">
      <c r="A73"/>
      <c r="B73" s="567" t="s">
        <v>2699</v>
      </c>
      <c r="C73" s="1005">
        <f>C76/C62</f>
        <v>0.16224261112893382</v>
      </c>
      <c r="D73" s="582"/>
      <c r="E73" s="1005">
        <f>E76/E62</f>
        <v>9.823970509351343E-2</v>
      </c>
      <c r="F73" s="582"/>
      <c r="G73" s="1005">
        <f>G76/G62</f>
        <v>0.1436014862621558</v>
      </c>
      <c r="H73" s="582"/>
      <c r="I73" s="1005">
        <f>I76/I62</f>
        <v>0.15889406841595255</v>
      </c>
      <c r="J73" s="582"/>
      <c r="K73" s="1005">
        <f>K76/K62</f>
        <v>7.1416702240649985E-2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-158464.97631648468</v>
      </c>
      <c r="D75" s="568"/>
      <c r="E75" s="568">
        <f>$C$75</f>
        <v>-158464.97631648468</v>
      </c>
      <c r="F75" s="568"/>
      <c r="G75" s="568">
        <f>$C$75</f>
        <v>-158464.97631648468</v>
      </c>
      <c r="H75" s="568"/>
      <c r="I75" s="568">
        <f>$C$75</f>
        <v>-158464.97631648468</v>
      </c>
      <c r="J75" s="568"/>
      <c r="K75" s="568">
        <f>$C$75</f>
        <v>-158464.97631648468</v>
      </c>
      <c r="L75" s="26"/>
      <c r="M75"/>
      <c r="N75"/>
    </row>
    <row r="76" spans="1:14" s="507" customFormat="1" ht="18.75" customHeight="1">
      <c r="A76"/>
      <c r="B76" s="567" t="s">
        <v>1096</v>
      </c>
      <c r="C76" s="568">
        <f>C70+C75</f>
        <v>39080.675683515321</v>
      </c>
      <c r="D76" s="568"/>
      <c r="E76" s="568">
        <f>E70+E75</f>
        <v>23663.783683515328</v>
      </c>
      <c r="F76" s="568"/>
      <c r="G76" s="568">
        <f>G70+G75</f>
        <v>35154.275683515298</v>
      </c>
      <c r="H76" s="568"/>
      <c r="I76" s="568">
        <f>I70+I75</f>
        <v>38384.675683515321</v>
      </c>
      <c r="J76" s="568"/>
      <c r="K76" s="568">
        <f>K70+K75</f>
        <v>17633.383683515305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500-000000000000}">
      <formula1>"Check rent chart &amp; select below, (No other style),SF Detached, Mfd Home, Duplex, Townhome, 1-Story, 2-Story, 2-Story Walkup, 3+ Story "</formula1>
    </dataValidation>
    <dataValidation type="list" allowBlank="1" showInputMessage="1" showErrorMessage="1" sqref="H14:J14" xr:uid="{00000000-0002-0000-1500-000001000000}">
      <formula1>"Check rent chart &amp; select below, SF Detached, Mfd Home, Duplex, Townhome, 1-Story, 2-Story, 2-Story Walkup, 3+ Story"</formula1>
    </dataValidation>
    <dataValidation type="list" allowBlank="1" showInputMessage="1" showErrorMessage="1" sqref="B13" xr:uid="{00000000-0002-0000-1500-000002000000}">
      <formula1>$M$10:$M$14</formula1>
    </dataValidation>
    <dataValidation type="list" allowBlank="1" showInputMessage="1" showErrorMessage="1" sqref="C9:D9" xr:uid="{00000000-0002-0000-1500-000003000000}">
      <formula1>"&lt;&lt;Select&gt;&gt;, HOME, HOME and 9% LIHTC, HOME and 4% LIHTC, NSP and 4% LIHTC"</formula1>
    </dataValidation>
    <dataValidation type="list" showInputMessage="1" showErrorMessage="1" sqref="D25:D27" xr:uid="{00000000-0002-0000-1500-000004000000}">
      <formula1>"First, Second, Third"</formula1>
    </dataValidation>
    <dataValidation type="list" allowBlank="1" showInputMessage="1" showErrorMessage="1" sqref="C15" xr:uid="{00000000-0002-0000-1500-000005000000}">
      <formula1>"&lt;&lt;Select&gt;&gt;,Gas, Electric, Propane"</formula1>
    </dataValidation>
    <dataValidation showDropDown="1" showInputMessage="1" showErrorMessage="1" sqref="C14 B25:B27" xr:uid="{00000000-0002-0000-1500-000006000000}"/>
    <dataValidation type="list" showInputMessage="1" showErrorMessage="1" sqref="D31:D33" xr:uid="{00000000-0002-0000-15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17729099</v>
      </c>
    </row>
    <row r="5" spans="1:7">
      <c r="A5" s="953" t="s">
        <v>3448</v>
      </c>
      <c r="B5" s="954">
        <f>+B18+B26+B38</f>
        <v>1656050.7350830527</v>
      </c>
    </row>
    <row r="6" spans="1:7">
      <c r="A6" s="953" t="s">
        <v>3418</v>
      </c>
      <c r="B6" s="955">
        <f>+B5-B4</f>
        <v>-16073048.264916947</v>
      </c>
    </row>
    <row r="7" spans="1:7">
      <c r="A7" s="953" t="s">
        <v>3419</v>
      </c>
      <c r="B7" s="956">
        <f>+B6/B4</f>
        <v>-0.90659137640987553</v>
      </c>
    </row>
    <row r="8" spans="1:7" ht="9" customHeight="1"/>
    <row r="9" spans="1:7">
      <c r="A9" s="953" t="s">
        <v>3420</v>
      </c>
      <c r="B9" s="954">
        <f>+B18+B26+B33</f>
        <v>1655940.7350830527</v>
      </c>
    </row>
    <row r="10" spans="1:7">
      <c r="A10" s="953" t="s">
        <v>3418</v>
      </c>
      <c r="B10" s="955">
        <f>+B9-B4</f>
        <v>-16073158.264916947</v>
      </c>
    </row>
    <row r="11" spans="1:7">
      <c r="A11" s="953" t="s">
        <v>3419</v>
      </c>
      <c r="B11" s="956">
        <f>+B10/B4</f>
        <v>-0.90659758089889098</v>
      </c>
    </row>
    <row r="12" spans="1:7" ht="24" customHeight="1"/>
    <row r="13" spans="1:7">
      <c r="A13" s="952" t="s">
        <v>3421</v>
      </c>
      <c r="D13" s="1010" t="s">
        <v>3665</v>
      </c>
      <c r="E13" s="1011"/>
    </row>
    <row r="14" spans="1:7">
      <c r="A14" s="953" t="s">
        <v>3422</v>
      </c>
      <c r="B14" s="957">
        <f>+SUM('Part II-Sources of Funds'!L51:M52)</f>
        <v>15557500</v>
      </c>
      <c r="D14" s="1011"/>
      <c r="E14" s="1011"/>
    </row>
    <row r="15" spans="1:7">
      <c r="A15" s="953" t="s">
        <v>3423</v>
      </c>
      <c r="B15" s="958">
        <f>+'Part III-A-Uses of Funds'!J180</f>
        <v>1560398.9</v>
      </c>
      <c r="D15" s="1011" t="s">
        <v>1895</v>
      </c>
      <c r="G15" s="1012">
        <f>'Part III-A-Uses of Funds'!J168</f>
        <v>18129990.450000003</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8622623.4580200016</v>
      </c>
    </row>
    <row r="20" spans="1:7">
      <c r="A20" s="953" t="s">
        <v>3426</v>
      </c>
      <c r="B20" s="957">
        <f>+B18-B14</f>
        <v>-15557500</v>
      </c>
      <c r="D20" s="1011" t="s">
        <v>3670</v>
      </c>
      <c r="G20" s="1014">
        <f>+B14-G19</f>
        <v>6934876.5419799984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2125000</v>
      </c>
    </row>
    <row r="25" spans="1:7">
      <c r="A25" s="953" t="s">
        <v>3430</v>
      </c>
      <c r="B25" s="961">
        <f>IF('Part II-Sources of Funds'!E6="Yes","N/A",MAX(B46:P46))</f>
        <v>-6156.4003501819971</v>
      </c>
    </row>
    <row r="26" spans="1:7">
      <c r="A26" s="953" t="s">
        <v>3431</v>
      </c>
      <c r="B26" s="951">
        <f>IFERROR(PV('Part II-Sources of Funds'!K40,'Part II-Sources of Funds'!L40,B25+B45),B24)</f>
        <v>1655940.7350830527</v>
      </c>
    </row>
    <row r="27" spans="1:7" ht="9" customHeight="1">
      <c r="B27" s="951"/>
    </row>
    <row r="28" spans="1:7">
      <c r="A28" s="953" t="s">
        <v>3432</v>
      </c>
      <c r="B28" s="962">
        <f>+B26-B24</f>
        <v>-469059.26491694734</v>
      </c>
      <c r="C28" s="963"/>
    </row>
    <row r="29" spans="1:7">
      <c r="A29" s="953" t="s">
        <v>3427</v>
      </c>
      <c r="B29" s="964">
        <f>+B28/B24</f>
        <v>-0.22073377172562228</v>
      </c>
    </row>
    <row r="30" spans="1:7" ht="24" customHeight="1"/>
    <row r="31" spans="1:7">
      <c r="A31" s="952" t="s">
        <v>3362</v>
      </c>
    </row>
    <row r="32" spans="1:7">
      <c r="A32" s="953" t="s">
        <v>3433</v>
      </c>
      <c r="B32" s="965">
        <f>+'Part II-Sources of Funds'!I45</f>
        <v>47542</v>
      </c>
    </row>
    <row r="33" spans="1:11">
      <c r="A33" s="953" t="s">
        <v>3434</v>
      </c>
      <c r="B33" s="951"/>
    </row>
    <row r="34" spans="1:11" ht="9" customHeight="1">
      <c r="B34" s="951"/>
    </row>
    <row r="35" spans="1:11">
      <c r="A35" s="953" t="s">
        <v>3435</v>
      </c>
      <c r="B35" s="965">
        <f>+B33-B32</f>
        <v>-47542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110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197545.652</v>
      </c>
      <c r="C44" s="954">
        <f>+'Part VI-Pro Forma'!C25</f>
        <v>198692.78504000002</v>
      </c>
      <c r="D44" s="954">
        <f>+'Part VI-Pro Forma'!D25</f>
        <v>199779.0473408</v>
      </c>
      <c r="E44" s="954">
        <f>+'Part VI-Pro Forma'!E25</f>
        <v>200799.42108561596</v>
      </c>
      <c r="F44" s="954">
        <f>+'Part VI-Pro Forma'!F25</f>
        <v>201751.75968926825</v>
      </c>
      <c r="G44" s="954">
        <f>+'Part VI-Pro Forma'!G25</f>
        <v>202631.78317045196</v>
      </c>
      <c r="H44" s="954">
        <f>+'Part VI-Pro Forma'!H25</f>
        <v>203434.07336988111</v>
      </c>
      <c r="I44" s="954">
        <f>+'Part VI-Pro Forma'!I25</f>
        <v>204154.06900937931</v>
      </c>
      <c r="J44" s="954">
        <f>+'Part VI-Pro Forma'!J25</f>
        <v>204789.06058683086</v>
      </c>
      <c r="K44" s="954">
        <f>+'Part VI-Pro Forma'!K25</f>
        <v>205333.18510174908</v>
      </c>
    </row>
    <row r="45" spans="1:11">
      <c r="A45" s="953" t="s">
        <v>3439</v>
      </c>
      <c r="B45" s="954">
        <f>SUM('Part VI-Pro Forma'!B26:B29)</f>
        <v>-158464.97631648468</v>
      </c>
      <c r="C45" s="954">
        <f>SUM('Part VI-Pro Forma'!C26:C29)</f>
        <v>-158464.97631648468</v>
      </c>
      <c r="D45" s="954">
        <f>SUM('Part VI-Pro Forma'!D26:D29)</f>
        <v>-158464.97631648468</v>
      </c>
      <c r="E45" s="954">
        <f>SUM('Part VI-Pro Forma'!E26:E29)</f>
        <v>-158464.97631648468</v>
      </c>
      <c r="F45" s="954">
        <f>SUM('Part VI-Pro Forma'!F26:F29)</f>
        <v>-158464.97631648468</v>
      </c>
      <c r="G45" s="954">
        <f>SUM('Part VI-Pro Forma'!G26:G29)</f>
        <v>-158464.97631648468</v>
      </c>
      <c r="H45" s="954">
        <f>SUM('Part VI-Pro Forma'!H26:H29)</f>
        <v>-158464.97631648468</v>
      </c>
      <c r="I45" s="954">
        <f>SUM('Part VI-Pro Forma'!I26:I29)</f>
        <v>-158464.97631648468</v>
      </c>
      <c r="J45" s="954">
        <f>SUM('Part VI-Pro Forma'!J26:J29)</f>
        <v>-158464.97631648468</v>
      </c>
      <c r="K45" s="954">
        <f>SUM('Part VI-Pro Forma'!K26:K29)</f>
        <v>-158464.97631648468</v>
      </c>
    </row>
    <row r="46" spans="1:11">
      <c r="A46" s="953" t="s">
        <v>3440</v>
      </c>
      <c r="B46" s="955">
        <f t="shared" ref="B46:K46" si="0">-B44/B48-B45</f>
        <v>-6156.4003501819971</v>
      </c>
      <c r="C46" s="955">
        <f t="shared" si="0"/>
        <v>-7112.3445501819951</v>
      </c>
      <c r="D46" s="955">
        <f t="shared" si="0"/>
        <v>-8017.5631341819826</v>
      </c>
      <c r="E46" s="955">
        <f t="shared" si="0"/>
        <v>-8867.8745881952927</v>
      </c>
      <c r="F46" s="955">
        <f t="shared" si="0"/>
        <v>-9661.4900912388694</v>
      </c>
      <c r="G46" s="955">
        <f t="shared" si="0"/>
        <v>-10394.842992225284</v>
      </c>
      <c r="H46" s="955">
        <f t="shared" si="0"/>
        <v>-11063.418158416258</v>
      </c>
      <c r="I46" s="955">
        <f t="shared" si="0"/>
        <v>-11663.414524664753</v>
      </c>
      <c r="J46" s="955">
        <f t="shared" si="0"/>
        <v>-12192.574172541033</v>
      </c>
      <c r="K46" s="955">
        <f t="shared" si="0"/>
        <v>-12646.011268306233</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197545.652</v>
      </c>
      <c r="C51" s="955">
        <f t="shared" ref="C51:K51" si="2">+C44</f>
        <v>198692.78504000002</v>
      </c>
      <c r="D51" s="955">
        <f t="shared" si="2"/>
        <v>199779.0473408</v>
      </c>
      <c r="E51" s="955">
        <f t="shared" si="2"/>
        <v>200799.42108561596</v>
      </c>
      <c r="F51" s="955">
        <f t="shared" si="2"/>
        <v>201751.75968926825</v>
      </c>
      <c r="G51" s="955">
        <f t="shared" si="2"/>
        <v>202631.78317045196</v>
      </c>
      <c r="H51" s="955">
        <f t="shared" si="2"/>
        <v>203434.07336988111</v>
      </c>
      <c r="I51" s="955">
        <f t="shared" si="2"/>
        <v>204154.06900937931</v>
      </c>
      <c r="J51" s="955">
        <f t="shared" si="2"/>
        <v>204789.06058683086</v>
      </c>
      <c r="K51" s="955">
        <f t="shared" si="2"/>
        <v>205333.18510174908</v>
      </c>
    </row>
    <row r="52" spans="1:17">
      <c r="A52" s="953" t="s">
        <v>3442</v>
      </c>
      <c r="B52" s="955">
        <f>IF($B$25="N/A",B45,B45+$B$25)</f>
        <v>-164621.37666666668</v>
      </c>
      <c r="C52" s="955">
        <f t="shared" ref="C52:K52" si="3">IF($B$25="N/A",C45,C45+$B$25)</f>
        <v>-164621.37666666668</v>
      </c>
      <c r="D52" s="955">
        <f t="shared" si="3"/>
        <v>-164621.37666666668</v>
      </c>
      <c r="E52" s="955">
        <f t="shared" si="3"/>
        <v>-164621.37666666668</v>
      </c>
      <c r="F52" s="955">
        <f t="shared" si="3"/>
        <v>-164621.37666666668</v>
      </c>
      <c r="G52" s="955">
        <f t="shared" si="3"/>
        <v>-164621.37666666668</v>
      </c>
      <c r="H52" s="955">
        <f t="shared" si="3"/>
        <v>-164621.37666666668</v>
      </c>
      <c r="I52" s="955">
        <f t="shared" si="3"/>
        <v>-164621.37666666668</v>
      </c>
      <c r="J52" s="955">
        <f t="shared" si="3"/>
        <v>-164621.37666666668</v>
      </c>
      <c r="K52" s="955">
        <f t="shared" si="3"/>
        <v>-164621.37666666668</v>
      </c>
    </row>
    <row r="53" spans="1:17">
      <c r="A53" s="953" t="s">
        <v>3443</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3444</v>
      </c>
      <c r="B54" s="955">
        <f>+SUM(B51:B53)</f>
        <v>25424.275333333324</v>
      </c>
      <c r="C54" s="955">
        <f t="shared" ref="C54:K54" si="4">+SUM(C51:C53)</f>
        <v>26571.408373333339</v>
      </c>
      <c r="D54" s="955">
        <f t="shared" si="4"/>
        <v>27657.670674133318</v>
      </c>
      <c r="E54" s="955">
        <f t="shared" si="4"/>
        <v>28678.044418949285</v>
      </c>
      <c r="F54" s="955">
        <f t="shared" si="4"/>
        <v>29630.383022601571</v>
      </c>
      <c r="G54" s="955">
        <f t="shared" si="4"/>
        <v>30510.406503785285</v>
      </c>
      <c r="H54" s="955">
        <f t="shared" si="4"/>
        <v>31312.696703214431</v>
      </c>
      <c r="I54" s="955">
        <f t="shared" si="4"/>
        <v>32032.692342712631</v>
      </c>
      <c r="J54" s="955">
        <f t="shared" si="4"/>
        <v>32667.683920164185</v>
      </c>
      <c r="K54" s="955">
        <f t="shared" si="4"/>
        <v>33211.808435082407</v>
      </c>
    </row>
    <row r="55" spans="1:17">
      <c r="A55" s="953" t="s">
        <v>3362</v>
      </c>
      <c r="B55" s="955">
        <f>-B54</f>
        <v>-25424.275333333324</v>
      </c>
      <c r="C55" s="955">
        <f t="shared" ref="C55:K55" si="5">-C54</f>
        <v>-26571.408373333339</v>
      </c>
      <c r="D55" s="955">
        <f t="shared" si="5"/>
        <v>-27657.670674133318</v>
      </c>
      <c r="E55" s="955">
        <f t="shared" si="5"/>
        <v>-28678.044418949285</v>
      </c>
      <c r="F55" s="955">
        <f t="shared" si="5"/>
        <v>-29630.383022601571</v>
      </c>
      <c r="G55" s="955">
        <f t="shared" si="5"/>
        <v>-30510.406503785285</v>
      </c>
      <c r="H55" s="955">
        <f t="shared" si="5"/>
        <v>-31312.696703214431</v>
      </c>
      <c r="I55" s="955">
        <f t="shared" si="5"/>
        <v>-32032.692342712631</v>
      </c>
      <c r="J55" s="955">
        <f t="shared" si="5"/>
        <v>-32667.683920164185</v>
      </c>
      <c r="K55" s="955">
        <f t="shared" si="5"/>
        <v>-33211.808435082407</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1605641.7871453669</v>
      </c>
      <c r="C58" s="954">
        <f>IF($B$26="","",-FV('Part II-Sources of Funds'!$K$40/12,12,C52/12,B58))</f>
        <v>1551706.7241942822</v>
      </c>
      <c r="D58" s="954">
        <f>IF($B$26="","",-FV('Part II-Sources of Funds'!$K$40/12,12,D52/12,C58))</f>
        <v>1493872.6911814774</v>
      </c>
      <c r="E58" s="954">
        <f>IF($B$26="","",-FV('Part II-Sources of Funds'!$K$40/12,12,E52/12,D58))</f>
        <v>1431857.8312459348</v>
      </c>
      <c r="F58" s="954">
        <f>IF($B$26="","",-FV('Part II-Sources of Funds'!$K$40/12,12,F52/12,E58))</f>
        <v>1365359.9120713638</v>
      </c>
      <c r="G58" s="954">
        <f>IF($B$26="","",-FV('Part II-Sources of Funds'!$K$40/12,12,G52/12,F58))</f>
        <v>1294054.8529428914</v>
      </c>
      <c r="H58" s="954">
        <f>IF($B$26="","",-FV('Part II-Sources of Funds'!$K$40/12,12,H52/12,G58))</f>
        <v>1217595.1453245631</v>
      </c>
      <c r="I58" s="954">
        <f>IF($B$26="","",-FV('Part II-Sources of Funds'!$K$40/12,12,I52/12,H58))</f>
        <v>1135608.1592602618</v>
      </c>
      <c r="J58" s="954">
        <f>IF($B$26="","",-FV('Part II-Sources of Funds'!$K$40/12,12,J52/12,I58))</f>
        <v>1047694.3273442129</v>
      </c>
      <c r="K58" s="954">
        <f>IF($B$26="","",-FV('Part II-Sources of Funds'!$K$40/12,12,K52/12,J58))</f>
        <v>953425.19741057139</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205781.42060606121</v>
      </c>
      <c r="C64" s="954">
        <f>+'Part VI-Pro Forma'!C57</f>
        <v>206129.58057452785</v>
      </c>
      <c r="D64" s="954">
        <f>+'Part VI-Pro Forma'!D57</f>
        <v>206370.30808905439</v>
      </c>
      <c r="E64" s="954">
        <f>+'Part VI-Pro Forma'!E57</f>
        <v>206501.06983096228</v>
      </c>
      <c r="F64" s="954">
        <f>+'Part VI-Pro Forma'!F57</f>
        <v>206513.14987511223</v>
      </c>
      <c r="G64" s="954">
        <f>+'Part VI-Pro Forma'!G57</f>
        <v>206402.64327957082</v>
      </c>
      <c r="H64" s="954">
        <f>+'Part VI-Pro Forma'!H57</f>
        <v>206162.44946432768</v>
      </c>
      <c r="I64" s="954">
        <f>+'Part VI-Pro Forma'!I57</f>
        <v>205786.26537235465</v>
      </c>
      <c r="J64" s="954">
        <f>+'Part VI-Pro Forma'!J57</f>
        <v>205267.57840610427</v>
      </c>
      <c r="K64" s="954">
        <f>+'Part VI-Pro Forma'!K57</f>
        <v>204599.65913231784</v>
      </c>
    </row>
    <row r="65" spans="1:11">
      <c r="A65" s="953" t="s">
        <v>3439</v>
      </c>
      <c r="B65" s="954">
        <f>SUM('Part VI-Pro Forma'!B58:B61)</f>
        <v>-158464.97631648468</v>
      </c>
      <c r="C65" s="954">
        <f>SUM('Part VI-Pro Forma'!C58:C61)</f>
        <v>-158464.97631648468</v>
      </c>
      <c r="D65" s="954">
        <f>SUM('Part VI-Pro Forma'!D58:D61)</f>
        <v>-158464.97631648468</v>
      </c>
      <c r="E65" s="954">
        <f>SUM('Part VI-Pro Forma'!E58:E61)</f>
        <v>-158464.97631648468</v>
      </c>
      <c r="F65" s="954">
        <f>SUM('Part VI-Pro Forma'!F58:F61)</f>
        <v>-158464.97631648468</v>
      </c>
      <c r="G65" s="954">
        <f>SUM('Part VI-Pro Forma'!G58:G61)</f>
        <v>-158464.97631648468</v>
      </c>
      <c r="H65" s="954">
        <f>SUM('Part VI-Pro Forma'!H58:H61)</f>
        <v>-158464.97631648468</v>
      </c>
      <c r="I65" s="954">
        <f>SUM('Part VI-Pro Forma'!I58:I61)</f>
        <v>-158464.97631648468</v>
      </c>
      <c r="J65" s="954">
        <f>SUM('Part VI-Pro Forma'!J58:J61)</f>
        <v>-158464.97631648468</v>
      </c>
      <c r="K65" s="954">
        <f>SUM('Part VI-Pro Forma'!K58:K61)</f>
        <v>-158464.97631648468</v>
      </c>
    </row>
    <row r="66" spans="1:11">
      <c r="A66" s="953" t="s">
        <v>3440</v>
      </c>
      <c r="B66" s="955">
        <f t="shared" ref="B66:K66" si="7">-B64/B68-B65</f>
        <v>-13019.540855233005</v>
      </c>
      <c r="C66" s="955">
        <f t="shared" si="7"/>
        <v>-13309.674162288546</v>
      </c>
      <c r="D66" s="955">
        <f t="shared" si="7"/>
        <v>-13510.280424393975</v>
      </c>
      <c r="E66" s="955">
        <f t="shared" si="7"/>
        <v>-13619.248542650574</v>
      </c>
      <c r="F66" s="955">
        <f t="shared" si="7"/>
        <v>-13629.315246108861</v>
      </c>
      <c r="G66" s="955">
        <f t="shared" si="7"/>
        <v>-13537.226416491001</v>
      </c>
      <c r="H66" s="955">
        <f t="shared" si="7"/>
        <v>-13337.064903788385</v>
      </c>
      <c r="I66" s="955">
        <f t="shared" si="7"/>
        <v>-13023.57816047754</v>
      </c>
      <c r="J66" s="955">
        <f t="shared" si="7"/>
        <v>-12591.339021935535</v>
      </c>
      <c r="K66" s="955">
        <f t="shared" si="7"/>
        <v>-12034.739627113537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205781.42060606121</v>
      </c>
      <c r="C71" s="955">
        <f t="shared" si="9"/>
        <v>206129.58057452785</v>
      </c>
      <c r="D71" s="955">
        <f t="shared" si="9"/>
        <v>206370.30808905439</v>
      </c>
      <c r="E71" s="955">
        <f t="shared" si="9"/>
        <v>206501.06983096228</v>
      </c>
      <c r="F71" s="955">
        <f t="shared" si="9"/>
        <v>206513.14987511223</v>
      </c>
      <c r="G71" s="955">
        <f t="shared" si="9"/>
        <v>206402.64327957082</v>
      </c>
      <c r="H71" s="955">
        <f>+H64</f>
        <v>206162.44946432768</v>
      </c>
      <c r="I71" s="955">
        <f>+I64</f>
        <v>205786.26537235465</v>
      </c>
      <c r="J71" s="955">
        <f>+J64</f>
        <v>205267.57840610427</v>
      </c>
      <c r="K71" s="955">
        <f>+K64</f>
        <v>204599.65913231784</v>
      </c>
    </row>
    <row r="72" spans="1:11">
      <c r="A72" s="953" t="s">
        <v>3442</v>
      </c>
      <c r="B72" s="955">
        <f t="shared" ref="B72:G72" si="10">IF($B$25="N/A",B65,B65+$B$25)</f>
        <v>-164621.37666666668</v>
      </c>
      <c r="C72" s="955">
        <f t="shared" si="10"/>
        <v>-164621.37666666668</v>
      </c>
      <c r="D72" s="955">
        <f t="shared" si="10"/>
        <v>-164621.37666666668</v>
      </c>
      <c r="E72" s="955">
        <f t="shared" si="10"/>
        <v>-164621.37666666668</v>
      </c>
      <c r="F72" s="955">
        <f t="shared" si="10"/>
        <v>-164621.37666666668</v>
      </c>
      <c r="G72" s="955">
        <f t="shared" si="10"/>
        <v>-164621.37666666668</v>
      </c>
      <c r="H72" s="955">
        <f>IF($B$25="N/A",H65,H65+$B$25)</f>
        <v>-164621.37666666668</v>
      </c>
      <c r="I72" s="955">
        <f>IF($B$25="N/A",I65,I65+$B$25)</f>
        <v>-164621.37666666668</v>
      </c>
      <c r="J72" s="955">
        <f>IF($B$25="N/A",J65,J65+$B$25)</f>
        <v>-164621.37666666668</v>
      </c>
      <c r="K72" s="955">
        <f>IF($B$25="N/A",K65,K65+$B$25)</f>
        <v>-164621.37666666668</v>
      </c>
    </row>
    <row r="73" spans="1:11">
      <c r="A73" s="953" t="s">
        <v>3443</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3444</v>
      </c>
      <c r="B74" s="955">
        <f t="shared" ref="B74:G74" si="11">+SUM(B71:B73)</f>
        <v>33660.043939394527</v>
      </c>
      <c r="C74" s="955">
        <f t="shared" si="11"/>
        <v>34008.203907861171</v>
      </c>
      <c r="D74" s="955">
        <f t="shared" si="11"/>
        <v>34248.931422387715</v>
      </c>
      <c r="E74" s="955">
        <f t="shared" si="11"/>
        <v>34379.693164295604</v>
      </c>
      <c r="F74" s="955">
        <f t="shared" si="11"/>
        <v>34391.773208445549</v>
      </c>
      <c r="G74" s="955">
        <f t="shared" si="11"/>
        <v>34281.266612904146</v>
      </c>
      <c r="H74" s="955">
        <f>+SUM(H71:H73)</f>
        <v>34041.072797661007</v>
      </c>
      <c r="I74" s="955">
        <f>+SUM(I71:I73)</f>
        <v>33664.888705687976</v>
      </c>
      <c r="J74" s="955">
        <f>+SUM(J71:J73)</f>
        <v>33146.201739437587</v>
      </c>
      <c r="K74" s="955">
        <f>+SUM(K71:K73)</f>
        <v>32478.282465651166</v>
      </c>
    </row>
    <row r="75" spans="1:11">
      <c r="A75" s="953" t="s">
        <v>3362</v>
      </c>
      <c r="B75" s="955">
        <f t="shared" ref="B75:G75" si="12">-B74</f>
        <v>-33660.043939394527</v>
      </c>
      <c r="C75" s="955">
        <f t="shared" si="12"/>
        <v>-34008.203907861171</v>
      </c>
      <c r="D75" s="955">
        <f t="shared" si="12"/>
        <v>-34248.931422387715</v>
      </c>
      <c r="E75" s="955">
        <f t="shared" si="12"/>
        <v>-34379.693164295604</v>
      </c>
      <c r="F75" s="955">
        <f t="shared" si="12"/>
        <v>-34391.773208445549</v>
      </c>
      <c r="G75" s="955">
        <f t="shared" si="12"/>
        <v>-34281.266612904146</v>
      </c>
      <c r="H75" s="955">
        <f>-H74</f>
        <v>-34041.072797661007</v>
      </c>
      <c r="I75" s="955">
        <f>-I74</f>
        <v>-33664.888705687976</v>
      </c>
      <c r="J75" s="955">
        <f>-J74</f>
        <v>-33146.201739437587</v>
      </c>
      <c r="K75" s="955">
        <f>-K74</f>
        <v>-32478.282465651166</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852341.34445177997</v>
      </c>
      <c r="C78" s="954">
        <f>IF($B$26="","",-FV('Part II-Sources of Funds'!$K$40/12,12,C72/12,B78))</f>
        <v>743950.13158933772</v>
      </c>
      <c r="D78" s="954">
        <f>IF($B$26="","",-FV('Part II-Sources of Funds'!$K$40/12,12,D72/12,C78))</f>
        <v>627723.30918496405</v>
      </c>
      <c r="E78" s="954">
        <f>IF($B$26="","",-FV('Part II-Sources of Funds'!$K$40/12,12,E72/12,D78))</f>
        <v>503094.44039131486</v>
      </c>
      <c r="F78" s="954">
        <f>IF($B$26="","",-FV('Part II-Sources of Funds'!$K$40/12,12,F72/12,E78))</f>
        <v>369456.14059555152</v>
      </c>
      <c r="G78" s="954">
        <f>IF($B$26="","",-FV('Part II-Sources of Funds'!$K$40/12,12,G72/12,F78))</f>
        <v>226157.11730206251</v>
      </c>
      <c r="H78" s="954">
        <f>IF($B$26="","",-FV('Part II-Sources of Funds'!$K$40/12,12,H72/12,G78))</f>
        <v>72498.996028067573</v>
      </c>
      <c r="I78" s="954">
        <f>IF($B$26="","",-FV('Part II-Sources of Funds'!$K$40/12,12,I72/12,H78))</f>
        <v>-92267.083257041755</v>
      </c>
      <c r="J78" s="954">
        <f>IF($B$26="","",-FV('Part II-Sources of Funds'!$K$40/12,12,J72/12,I78))</f>
        <v>-268944.11573603662</v>
      </c>
      <c r="K78" s="954">
        <f>IF($B$26="","",-FV('Part II-Sources of Funds'!$K$40/12,12,K72/12,J78))</f>
        <v>-458393.1451783778</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Westchester Village</v>
      </c>
    </row>
    <row r="2" spans="1:15" ht="13.5" customHeight="1"/>
    <row r="3" spans="1:15" ht="13.5" customHeight="1">
      <c r="A3" s="517" t="s">
        <v>2706</v>
      </c>
      <c r="C3" s="516" t="s">
        <v>2707</v>
      </c>
      <c r="E3" s="586">
        <f>SUM('Part III-A-Uses of Funds'!J162,'Part III-A-Uses of Funds'!M162,'Part III-A-Uses of Funds'!P162)</f>
        <v>15534948</v>
      </c>
      <c r="F3" s="1024" t="s">
        <v>2708</v>
      </c>
      <c r="H3" s="1006">
        <v>27.5</v>
      </c>
      <c r="I3" s="516" t="s">
        <v>2273</v>
      </c>
      <c r="K3" s="521" t="s">
        <v>2729</v>
      </c>
      <c r="M3" s="1024"/>
      <c r="O3" s="587"/>
    </row>
    <row r="4" spans="1:15" ht="13.5" customHeight="1">
      <c r="C4" s="516" t="s">
        <v>3128</v>
      </c>
      <c r="E4" s="586">
        <f>SUM('Part III-A-Uses of Funds'!G97:H101)</f>
        <v>41250</v>
      </c>
      <c r="F4" s="1024" t="s">
        <v>3662</v>
      </c>
      <c r="H4" s="517">
        <f>'Part II-Sources of Funds'!M40</f>
        <v>40</v>
      </c>
      <c r="I4" s="516" t="s">
        <v>2273</v>
      </c>
      <c r="K4" s="588" t="s">
        <v>2957</v>
      </c>
      <c r="M4" s="1024"/>
    </row>
    <row r="5" spans="1:15" ht="13.5" customHeight="1">
      <c r="C5" s="516" t="s">
        <v>3129</v>
      </c>
      <c r="E5" s="586">
        <f>SUM('Part III-A-Uses of Funds'!G105:H111)</f>
        <v>161000</v>
      </c>
      <c r="F5" s="1024" t="s">
        <v>3661</v>
      </c>
      <c r="H5" s="1006">
        <v>15</v>
      </c>
      <c r="I5" s="516" t="s">
        <v>2273</v>
      </c>
      <c r="K5" s="587">
        <f>-E6</f>
        <v>-15556447</v>
      </c>
    </row>
    <row r="6" spans="1:15" ht="13.5" customHeight="1">
      <c r="C6" s="516" t="s">
        <v>2709</v>
      </c>
      <c r="E6" s="589">
        <f>'Part II-Sources of Funds'!$I$51+'Part II-Sources of Funds'!$I$52</f>
        <v>15556447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-0.32431648467900231</v>
      </c>
      <c r="D9" s="594">
        <f>'Part VI-Pro Forma'!C33</f>
        <v>16766.808723515336</v>
      </c>
      <c r="E9" s="594">
        <f>'Part VI-Pro Forma'!D33</f>
        <v>33814.071024315315</v>
      </c>
      <c r="F9" s="594">
        <f>'Part VI-Pro Forma'!E33</f>
        <v>34834.444769131282</v>
      </c>
      <c r="G9" s="594">
        <f>'Part VI-Pro Forma'!F33</f>
        <v>35786.783372783568</v>
      </c>
      <c r="H9" s="594">
        <f>'Part VI-Pro Forma'!G33</f>
        <v>36666.806853967282</v>
      </c>
      <c r="I9" s="594">
        <f>'Part VI-Pro Forma'!H33</f>
        <v>37469.097053396428</v>
      </c>
      <c r="K9" s="587" t="e">
        <f>F24</f>
        <v>#VALUE!</v>
      </c>
      <c r="N9" s="595" t="s">
        <v>2715</v>
      </c>
    </row>
    <row r="10" spans="1:15" ht="13.5" customHeight="1">
      <c r="A10" s="516" t="s">
        <v>2714</v>
      </c>
      <c r="C10" s="978">
        <f>'Part II-Sources of Funds'!I40-'Part VI-Pro Forma'!B40</f>
        <v>10032.806049073115</v>
      </c>
      <c r="D10" s="596">
        <f>'Part VI-Pro Forma'!B40-'Part VI-Pro Forma'!C40</f>
        <v>10758.078409575392</v>
      </c>
      <c r="E10" s="596">
        <f>'Part VI-Pro Forma'!C40-'Part VI-Pro Forma'!D40</f>
        <v>11535.780767661287</v>
      </c>
      <c r="F10" s="596">
        <f>'Part VI-Pro Forma'!D40-'Part VI-Pro Forma'!E40</f>
        <v>12369.703292095102</v>
      </c>
      <c r="G10" s="596">
        <f>'Part VI-Pro Forma'!E40-'Part VI-Pro Forma'!F40</f>
        <v>13263.910143248271</v>
      </c>
      <c r="H10" s="596">
        <f>'Part VI-Pro Forma'!F40-'Part VI-Pro Forma'!G40</f>
        <v>14222.759279973339</v>
      </c>
      <c r="I10" s="596">
        <f>'Part VI-Pro Forma'!G40-'Part VI-Pro Forma'!H40</f>
        <v>15250.923698321451</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-12500</v>
      </c>
      <c r="D13" s="979">
        <f>'Part VI-Pro Forma'!C23</f>
        <v>-12875</v>
      </c>
      <c r="E13" s="979">
        <f>'Part VI-Pro Forma'!D23</f>
        <v>-13261.25</v>
      </c>
      <c r="F13" s="979">
        <f>'Part VI-Pro Forma'!E23</f>
        <v>-13659.0875</v>
      </c>
      <c r="G13" s="979">
        <f>'Part VI-Pro Forma'!F23</f>
        <v>-14068.860124999999</v>
      </c>
      <c r="H13" s="979">
        <f>'Part VI-Pro Forma'!G23</f>
        <v>-14490.925928749997</v>
      </c>
      <c r="I13" s="979">
        <f>'Part VI-Pro Forma'!H23</f>
        <v>-14925.653706612498</v>
      </c>
      <c r="K13" s="587" t="e">
        <f>C44</f>
        <v>#VALUE!</v>
      </c>
      <c r="O13" s="592"/>
    </row>
    <row r="14" spans="1:15" ht="13.5" customHeight="1">
      <c r="A14" s="598" t="s">
        <v>3131</v>
      </c>
      <c r="B14" s="598"/>
      <c r="C14" s="979">
        <f>'Part VI-Pro Forma'!B32</f>
        <v>-31581</v>
      </c>
      <c r="D14" s="979">
        <f>'Part VI-Pro Forma'!C32</f>
        <v>-15961</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564907.19999999995</v>
      </c>
      <c r="D15" s="599">
        <f t="shared" si="0"/>
        <v>564907.19999999995</v>
      </c>
      <c r="E15" s="599">
        <f t="shared" si="0"/>
        <v>564907.19999999995</v>
      </c>
      <c r="F15" s="599">
        <f t="shared" si="0"/>
        <v>564907.19999999995</v>
      </c>
      <c r="G15" s="599">
        <f t="shared" si="0"/>
        <v>564907.19999999995</v>
      </c>
      <c r="H15" s="599">
        <f t="shared" si="0"/>
        <v>564907.19999999995</v>
      </c>
      <c r="I15" s="599">
        <f t="shared" si="0"/>
        <v>564907.19999999995</v>
      </c>
      <c r="K15" s="587" t="e">
        <f>E44</f>
        <v>#VALUE!</v>
      </c>
      <c r="O15" s="592"/>
    </row>
    <row r="16" spans="1:15" ht="13.5" customHeight="1">
      <c r="A16" s="516" t="s">
        <v>2719</v>
      </c>
      <c r="C16" s="599">
        <f>IF(C$8&lt;=$H$4,($E$4/$H$4),0)+IF(C$8&lt;=$H$5,($E$5/$H$5),0)</f>
        <v>11764.583333333334</v>
      </c>
      <c r="D16" s="599">
        <f t="shared" ref="D16:I16" si="1">IF(D$8&lt;=$H$4,($E$4/$H$4),0)+IF(D$8&lt;=$H$5,($E$5/$H$5),0)</f>
        <v>11764.583333333334</v>
      </c>
      <c r="E16" s="599">
        <f t="shared" si="1"/>
        <v>11764.583333333334</v>
      </c>
      <c r="F16" s="599">
        <f t="shared" si="1"/>
        <v>11764.583333333334</v>
      </c>
      <c r="G16" s="599">
        <f t="shared" si="1"/>
        <v>11764.583333333334</v>
      </c>
      <c r="H16" s="599">
        <f t="shared" si="1"/>
        <v>11764.583333333334</v>
      </c>
      <c r="I16" s="599">
        <f t="shared" si="1"/>
        <v>11764.583333333334</v>
      </c>
      <c r="K16" s="587" t="e">
        <f>F44</f>
        <v>#VALUE!</v>
      </c>
      <c r="M16" s="516" t="s">
        <v>2723</v>
      </c>
      <c r="O16" s="592">
        <f>E3</f>
        <v>15534948</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11298144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4236804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4236804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-4236804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38189.092692894628</v>
      </c>
      <c r="D29" s="594">
        <f>'Part VI-Pro Forma'!J33</f>
        <v>38824.084270346182</v>
      </c>
      <c r="E29" s="594">
        <f>'Part VI-Pro Forma'!K33</f>
        <v>39368.208785264404</v>
      </c>
      <c r="F29" s="594">
        <f>'Part VI-Pro Forma'!B65</f>
        <v>39816.444289576524</v>
      </c>
      <c r="G29" s="594">
        <f>'Part VI-Pro Forma'!C65</f>
        <v>40164.604258043168</v>
      </c>
      <c r="H29" s="594">
        <f>'Part VI-Pro Forma'!D65</f>
        <v>40405.331772569712</v>
      </c>
      <c r="I29" s="594">
        <f>'Part VI-Pro Forma'!E65</f>
        <v>40536.093514477601</v>
      </c>
      <c r="N29" s="603"/>
      <c r="O29" s="603"/>
    </row>
    <row r="30" spans="1:17" ht="13.5" customHeight="1">
      <c r="A30" s="516" t="s">
        <v>2714</v>
      </c>
      <c r="C30" s="596">
        <f>'Part VI-Pro Forma'!H40-'Part VI-Pro Forma'!I40</f>
        <v>16353.41420560563</v>
      </c>
      <c r="D30" s="596">
        <f>'Part VI-Pro Forma'!I40-'Part VI-Pro Forma'!J40</f>
        <v>17535.603840804193</v>
      </c>
      <c r="E30" s="596">
        <f>'Part VI-Pro Forma'!J40-'Part VI-Pro Forma'!K40</f>
        <v>18803.254060319159</v>
      </c>
      <c r="F30" s="976">
        <f>'Part VI-Pro Forma'!K40-'Part VI-Pro Forma'!B72</f>
        <v>20162.542816699948</v>
      </c>
      <c r="G30" s="976">
        <f>'Part VI-Pro Forma'!B72-'Part VI-Pro Forma'!C72</f>
        <v>21620.094667186495</v>
      </c>
      <c r="H30" s="976">
        <f>'Part VI-Pro Forma'!C72-'Part VI-Pro Forma'!D72</f>
        <v>23183.013058796758</v>
      </c>
      <c r="I30" s="976">
        <f>'Part VI-Pro Forma'!D72-'Part VI-Pro Forma'!E72</f>
        <v>24858.914947308367</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-847360.8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-15373.423317810875</v>
      </c>
      <c r="D33" s="979">
        <f>'Part VI-Pro Forma'!J23</f>
        <v>-15834.626017345199</v>
      </c>
      <c r="E33" s="979">
        <f>'Part VI-Pro Forma'!K23</f>
        <v>-16309.664797865556</v>
      </c>
      <c r="F33" s="979">
        <f>'Part VI-Pro Forma'!B55</f>
        <v>-16798.954741801521</v>
      </c>
      <c r="G33" s="979">
        <f>'Part VI-Pro Forma'!C55</f>
        <v>-17302.923384055568</v>
      </c>
      <c r="H33" s="979">
        <f>'Part VI-Pro Forma'!D55</f>
        <v>-17822.011085577233</v>
      </c>
      <c r="I33" s="979">
        <f>'Part VI-Pro Forma'!E55</f>
        <v>-18356.67141814455</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564907.19999999995</v>
      </c>
      <c r="D35" s="599">
        <f t="shared" si="8"/>
        <v>564907.19999999995</v>
      </c>
      <c r="E35" s="599">
        <f t="shared" si="8"/>
        <v>564907.19999999995</v>
      </c>
      <c r="F35" s="599">
        <f t="shared" si="8"/>
        <v>564907.19999999995</v>
      </c>
      <c r="G35" s="599">
        <f t="shared" si="8"/>
        <v>564907.19999999995</v>
      </c>
      <c r="H35" s="599">
        <f t="shared" si="8"/>
        <v>564907.19999999995</v>
      </c>
      <c r="I35" s="599">
        <f t="shared" si="8"/>
        <v>564907.19999999995</v>
      </c>
    </row>
    <row r="36" spans="1:15" ht="13.5" customHeight="1">
      <c r="A36" s="516" t="s">
        <v>2719</v>
      </c>
      <c r="C36" s="594">
        <f>IF(C$28&lt;=$H$4,($E$4/$H$4),0)+IF(C$28&lt;=$H$5,($E$5/$H$5),0)</f>
        <v>11764.583333333334</v>
      </c>
      <c r="D36" s="594">
        <f t="shared" ref="D36:I36" si="9">IF(D$28&lt;=$H$4,($E$4/$H$4),0)+IF(D$28&lt;=$H$5,($E$5/$H$5),0)</f>
        <v>11764.583333333334</v>
      </c>
      <c r="E36" s="594">
        <f t="shared" si="9"/>
        <v>11764.583333333334</v>
      </c>
      <c r="F36" s="594">
        <f t="shared" si="9"/>
        <v>11764.583333333334</v>
      </c>
      <c r="G36" s="594">
        <f t="shared" si="9"/>
        <v>11764.583333333334</v>
      </c>
      <c r="H36" s="594">
        <f t="shared" si="9"/>
        <v>11764.583333333334</v>
      </c>
      <c r="I36" s="594">
        <f t="shared" si="9"/>
        <v>11764.583333333334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40548.173558627546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26655.967918847455</v>
      </c>
      <c r="D50" s="977">
        <f>'Part VI-Pro Forma'!F72-'Part VI-Pro Forma'!G72</f>
        <v>28582.929995002225</v>
      </c>
      <c r="E50" s="977">
        <f>'Part VI-Pro Forma'!G72-'Part VI-Pro Forma'!H72</f>
        <v>30649.192315449007</v>
      </c>
      <c r="F50" s="977">
        <f>'Part VI-Pro Forma'!H72-'Part VI-Pro Forma'!I72</f>
        <v>32864.824906111229</v>
      </c>
      <c r="G50" s="977">
        <f>'Part VI-Pro Forma'!I72-'Part VI-Pro Forma'!J72</f>
        <v>35240.625755900051</v>
      </c>
      <c r="H50" s="977">
        <f>'Part VI-Pro Forma'!J72-'Part VI-Pro Forma'!K72</f>
        <v>37788.173441218445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-18907.371560688887</v>
      </c>
      <c r="D53" s="979">
        <f>'Part VI-Pro Forma'!G55</f>
        <v>-19474.592707509557</v>
      </c>
      <c r="E53" s="979">
        <f>'Part VI-Pro Forma'!H55</f>
        <v>-20058.830488734839</v>
      </c>
      <c r="F53" s="979">
        <f>'Part VI-Pro Forma'!I55</f>
        <v>-20660.595403396885</v>
      </c>
      <c r="G53" s="979">
        <f>'Part VI-Pro Forma'!J55</f>
        <v>-21280.413265498792</v>
      </c>
      <c r="H53" s="979">
        <f>'Part VI-Pro Forma'!K55</f>
        <v>-21918.825663463755</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564907.19999999995</v>
      </c>
      <c r="D55" s="599">
        <f t="shared" si="14"/>
        <v>564907.19999999995</v>
      </c>
      <c r="E55" s="599">
        <f t="shared" si="14"/>
        <v>564907.19999999995</v>
      </c>
      <c r="F55" s="599">
        <f t="shared" si="14"/>
        <v>564907.19999999995</v>
      </c>
      <c r="G55" s="599">
        <f t="shared" si="14"/>
        <v>564907.19999999995</v>
      </c>
      <c r="H55" s="599">
        <f t="shared" si="14"/>
        <v>564907.19999999995</v>
      </c>
    </row>
    <row r="56" spans="1:10" ht="13.5" customHeight="1">
      <c r="A56" s="516" t="s">
        <v>2719</v>
      </c>
      <c r="C56" s="594">
        <f t="shared" ref="C56:H56" si="15">IF(C$48&lt;=$H$4,($E$4/$H$4),0)+IF(C$48&lt;=$H$5,($E$5/$H$5),0)</f>
        <v>11764.583333333334</v>
      </c>
      <c r="D56" s="594">
        <f t="shared" si="15"/>
        <v>1031.25</v>
      </c>
      <c r="E56" s="594">
        <f t="shared" si="15"/>
        <v>1031.25</v>
      </c>
      <c r="F56" s="594">
        <f t="shared" si="15"/>
        <v>1031.25</v>
      </c>
      <c r="G56" s="594">
        <f t="shared" si="15"/>
        <v>1031.25</v>
      </c>
      <c r="H56" s="594">
        <f t="shared" si="15"/>
        <v>1031.25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9" t="str">
        <f>'Sensitivity Analysis'!C8</f>
        <v>Westchester Village</v>
      </c>
      <c r="B1" s="4769"/>
      <c r="C1" s="4769"/>
      <c r="D1" s="4769"/>
      <c r="E1" s="4769"/>
      <c r="F1" s="4769"/>
      <c r="G1" s="4769"/>
      <c r="H1" s="4769"/>
      <c r="I1" s="4769"/>
      <c r="J1" s="4769"/>
      <c r="K1" s="4769"/>
    </row>
    <row r="2" spans="1:11" s="439" customFormat="1" ht="17.7"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6061</v>
      </c>
      <c r="B4" s="4770"/>
      <c r="C4" s="1476"/>
      <c r="D4" s="4770" t="s">
        <v>6062</v>
      </c>
      <c r="E4" s="4770"/>
      <c r="F4" s="523"/>
      <c r="G4" s="4770" t="s">
        <v>6063</v>
      </c>
      <c r="H4" s="4770"/>
      <c r="I4" s="523"/>
      <c r="J4" s="4770" t="s">
        <v>6178</v>
      </c>
      <c r="K4" s="4770"/>
    </row>
    <row r="5" spans="1:11" ht="25.95" customHeight="1">
      <c r="A5" s="4771" t="str">
        <f>'Part II-Sources of Funds'!E40</f>
        <v>Sterling Bank</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13205.414693040389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13205.414693040389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13205.414693040389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13205.414693040389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13205.414693040389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13205.414693040389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13205.414693040389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13205.414693040389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13205.414693040389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13205.414693040389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13205.414693040389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13205.414693040389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13205.414693040389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13205.414693040389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13205.414693040389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13205.414693040389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13205.414693040389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13205.414693040389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13205.414693040389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13205.414693040389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13205.414693040389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13205.414693040389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13205.414693040389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13205.414693040389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13205.414693040389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13205.414693040389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13205.414693040389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13205.414693040389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13205.414693040389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13205.414693040389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13205.414693040389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13205.414693040389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13205.414693040389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13205.414693040389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13205.414693040389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5" t="str">
        <f>CONCATENATE('Sensitivity Analysis'!E8,"  ",'Sensitivity Analysis'!C8)</f>
        <v>2023-0  Westchester Village</v>
      </c>
      <c r="B1" s="4775"/>
      <c r="C1" s="4775"/>
      <c r="D1" s="4775"/>
      <c r="E1" s="4775"/>
      <c r="F1" s="4775"/>
      <c r="G1" s="4775"/>
      <c r="H1" s="4775"/>
    </row>
    <row r="3" spans="1:11" ht="12" customHeight="1">
      <c r="A3" s="4776" t="s">
        <v>3105</v>
      </c>
      <c r="B3" s="4776"/>
      <c r="C3" s="4776"/>
      <c r="D3" s="4776"/>
      <c r="E3" s="4776"/>
      <c r="F3" s="4776"/>
      <c r="G3" s="4776"/>
      <c r="H3" s="4776"/>
      <c r="I3" s="1027"/>
      <c r="J3" s="4778" t="s">
        <v>3459</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3464</v>
      </c>
      <c r="E11" s="4774"/>
      <c r="F11" s="4774"/>
      <c r="G11" s="4774"/>
      <c r="H11" s="4774"/>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Westchester Village</v>
      </c>
    </row>
    <row r="16" spans="1:11" ht="12" customHeight="1">
      <c r="C16" s="432" t="s">
        <v>2744</v>
      </c>
      <c r="E16" s="4774"/>
      <c r="F16" s="4774"/>
      <c r="G16" s="4774"/>
      <c r="H16" s="4774"/>
    </row>
    <row r="17" spans="1:8" ht="12" customHeight="1">
      <c r="E17" s="438" t="str">
        <f>'Part I-Project Identification'!$F$26</f>
        <v>Jonesboro</v>
      </c>
      <c r="F17" s="609" t="s">
        <v>791</v>
      </c>
      <c r="G17" s="4773" t="s">
        <v>6750</v>
      </c>
      <c r="H17" s="4773"/>
    </row>
    <row r="18" spans="1:8" ht="12" customHeight="1">
      <c r="E18" s="620" t="str">
        <f>(CONCATENATE('Part I-Project Identification'!$J$26," County"))</f>
        <v>Clayton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3460</v>
      </c>
      <c r="E23" s="1991"/>
    </row>
    <row r="24" spans="1:8" ht="12" customHeight="1">
      <c r="C24" s="432" t="s">
        <v>3463</v>
      </c>
      <c r="E24" s="1991"/>
    </row>
    <row r="25" spans="1:8" ht="12" customHeight="1">
      <c r="C25" s="432" t="s">
        <v>3464</v>
      </c>
      <c r="E25" s="4774"/>
      <c r="F25" s="4774"/>
      <c r="G25" s="4774"/>
      <c r="H25" s="477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13199307</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3466</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50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1703267.4864308031</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213172</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66970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9" t="s">
        <v>2960</v>
      </c>
      <c r="B1" s="4789"/>
      <c r="C1" s="4789"/>
      <c r="D1" s="4789"/>
      <c r="E1" s="4789"/>
      <c r="F1" s="4789"/>
      <c r="G1" s="4789"/>
      <c r="H1" s="4789"/>
      <c r="I1" s="4789"/>
      <c r="J1" s="4789"/>
    </row>
    <row r="2" spans="1:13" ht="13.8">
      <c r="A2" s="4789" t="str">
        <f>'Sensitivity Analysis'!E8&amp;"  "&amp;'Sensitivity Analysis'!C8</f>
        <v>2023-0  Westchester Village</v>
      </c>
      <c r="B2" s="4789"/>
      <c r="C2" s="4789"/>
      <c r="D2" s="4789"/>
      <c r="E2" s="4789"/>
      <c r="F2" s="4789"/>
      <c r="G2" s="4789"/>
      <c r="H2" s="4789"/>
      <c r="I2" s="4789"/>
      <c r="J2" s="4789"/>
    </row>
    <row r="3" spans="1:13" ht="6" customHeight="1">
      <c r="K3" s="4778" t="s">
        <v>3459</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Westchester Village</v>
      </c>
      <c r="I28" s="560"/>
    </row>
    <row r="29" spans="1:9" ht="3" customHeight="1">
      <c r="C29" s="613"/>
      <c r="I29" s="560"/>
    </row>
    <row r="30" spans="1:9" ht="12" customHeight="1">
      <c r="A30" s="432" t="s">
        <v>2791</v>
      </c>
      <c r="C30" s="613">
        <f>'Preview term'!E16</f>
        <v>0</v>
      </c>
      <c r="I30" s="560"/>
    </row>
    <row r="31" spans="1:9">
      <c r="C31" s="560" t="str">
        <f>'Preview term'!E17</f>
        <v>Jonesboro</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5</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6166</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3109</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Clayton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3110</v>
      </c>
      <c r="E53" s="4782"/>
      <c r="F53" s="4782"/>
      <c r="G53" s="4782"/>
      <c r="H53" s="4782"/>
      <c r="I53" s="4782"/>
      <c r="J53" s="4782"/>
    </row>
    <row r="54" spans="1:10" ht="12" customHeight="1">
      <c r="A54" s="617"/>
      <c r="B54" s="617"/>
      <c r="C54" s="617"/>
      <c r="D54" s="619" t="s">
        <v>3111</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13199307</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216</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1703267.4864308031</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Sterling Bank</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6170</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638729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9"/>
      <c r="F166" s="4779"/>
      <c r="G166" s="4779"/>
      <c r="I166" s="560"/>
    </row>
    <row r="167" spans="1:9" ht="3" customHeight="1">
      <c r="E167" s="560"/>
      <c r="G167" s="560"/>
      <c r="I167" s="560"/>
    </row>
    <row r="168" spans="1:9" ht="12" customHeight="1">
      <c r="A168" s="432" t="s">
        <v>2866</v>
      </c>
      <c r="C168" s="432" t="s">
        <v>2867</v>
      </c>
      <c r="E168" s="632">
        <f>'Preview term'!F74</f>
        <v>213172</v>
      </c>
      <c r="G168" s="560"/>
      <c r="I168" s="560"/>
    </row>
    <row r="169" spans="1:9" ht="12" customHeight="1">
      <c r="C169" s="432" t="s">
        <v>3116</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12500</v>
      </c>
      <c r="F174" s="560" t="s">
        <v>2871</v>
      </c>
    </row>
    <row r="175" spans="1:9">
      <c r="E175" s="632">
        <f>E174/12</f>
        <v>1041.6666666666667</v>
      </c>
      <c r="F175" s="560" t="s">
        <v>2736</v>
      </c>
    </row>
    <row r="176" spans="1:9" ht="12" customHeight="1">
      <c r="C176" s="432" t="s">
        <v>3117</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66970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3.8">
      <c r="A204" s="522" t="s">
        <v>6154</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6157</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7" t="str">
        <f>'Part I-Project Identification'!F25</f>
        <v>Westchester Village</v>
      </c>
      <c r="E3" s="4128"/>
      <c r="F3" s="4128"/>
      <c r="G3" s="4128"/>
      <c r="H3" s="4128"/>
      <c r="I3" s="4128"/>
      <c r="J3" s="4795" t="s">
        <v>3971</v>
      </c>
      <c r="K3" s="4796"/>
    </row>
    <row r="4" spans="1:11" ht="15" customHeight="1">
      <c r="A4" s="1332" t="s">
        <v>3969</v>
      </c>
      <c r="B4" s="1333"/>
      <c r="C4" s="1334"/>
      <c r="D4" s="4791">
        <f>'Preview term'!$E$16</f>
        <v>0</v>
      </c>
      <c r="E4" s="4792"/>
      <c r="F4" s="4792"/>
      <c r="G4" s="4792"/>
      <c r="H4" s="4792"/>
      <c r="I4" s="4792"/>
      <c r="J4" s="4133" t="s">
        <v>4010</v>
      </c>
      <c r="K4" s="4134"/>
    </row>
    <row r="5" spans="1:11" ht="15" customHeight="1" thickBot="1">
      <c r="A5" s="1335" t="s">
        <v>3970</v>
      </c>
      <c r="B5" s="1336"/>
      <c r="C5" s="1337"/>
      <c r="D5" s="4793"/>
      <c r="E5" s="4794"/>
      <c r="F5" s="4794"/>
      <c r="G5" s="4794"/>
      <c r="H5" s="4794"/>
      <c r="I5" s="4794"/>
      <c r="J5" s="4135"/>
      <c r="K5" s="4136"/>
    </row>
    <row r="6" spans="1:11" ht="9" customHeight="1" thickBot="1">
      <c r="E6" s="1327"/>
    </row>
    <row r="7" spans="1:11">
      <c r="A7" s="4119" t="s">
        <v>3972</v>
      </c>
      <c r="B7" s="4120"/>
      <c r="C7" s="4120"/>
      <c r="D7" s="4120"/>
      <c r="E7" s="4120"/>
      <c r="F7" s="4120"/>
      <c r="G7" s="4120"/>
      <c r="H7" s="4120"/>
      <c r="I7" s="4120"/>
      <c r="J7" s="4120"/>
      <c r="K7" s="4121"/>
    </row>
    <row r="8" spans="1:11" ht="14.25" customHeight="1">
      <c r="A8" s="1333"/>
      <c r="B8" s="1333"/>
      <c r="C8" s="1365">
        <v>1</v>
      </c>
      <c r="D8" s="1352" t="s">
        <v>3973</v>
      </c>
      <c r="E8" s="1352"/>
      <c r="F8" s="1352"/>
      <c r="G8" s="1352"/>
      <c r="H8" s="1352"/>
      <c r="I8" s="1352"/>
      <c r="J8" s="4818"/>
      <c r="K8" s="4819"/>
    </row>
    <row r="9" spans="1:11" ht="7.2" customHeight="1">
      <c r="A9" s="4122"/>
      <c r="B9" s="4122"/>
      <c r="C9" s="4122"/>
      <c r="D9" s="4123"/>
      <c r="E9" s="4123"/>
      <c r="F9" s="4123"/>
      <c r="G9" s="4123"/>
      <c r="H9" s="4123"/>
      <c r="I9" s="4123"/>
      <c r="J9" s="4123"/>
      <c r="K9" s="1353"/>
    </row>
    <row r="10" spans="1:11">
      <c r="A10" s="4124" t="s">
        <v>3974</v>
      </c>
      <c r="B10" s="4125"/>
      <c r="C10" s="4125"/>
      <c r="D10" s="4125"/>
      <c r="E10" s="4125"/>
      <c r="F10" s="4125"/>
      <c r="G10" s="4125"/>
      <c r="H10" s="4125"/>
      <c r="I10" s="4125"/>
      <c r="J10" s="4125"/>
      <c r="K10" s="4126"/>
    </row>
    <row r="11" spans="1:11" ht="14.25" customHeight="1">
      <c r="A11" s="1333"/>
      <c r="B11" s="1333"/>
      <c r="C11" s="1365">
        <v>2</v>
      </c>
      <c r="D11" s="1352" t="s">
        <v>3975</v>
      </c>
      <c r="E11" s="1354"/>
      <c r="F11" s="1354"/>
      <c r="G11" s="1354"/>
      <c r="H11" s="1354"/>
      <c r="I11" s="1354"/>
      <c r="J11" s="4816"/>
      <c r="K11" s="4817"/>
    </row>
    <row r="12" spans="1:11" ht="7.2" customHeight="1">
      <c r="A12" s="4122"/>
      <c r="B12" s="4122"/>
      <c r="C12" s="4122"/>
      <c r="D12" s="4123"/>
      <c r="E12" s="4123"/>
      <c r="F12" s="4123"/>
      <c r="G12" s="4123"/>
      <c r="H12" s="4123"/>
      <c r="I12" s="4123"/>
      <c r="J12" s="4123"/>
      <c r="K12" s="1355"/>
    </row>
    <row r="13" spans="1:11">
      <c r="A13" s="4124" t="s">
        <v>3976</v>
      </c>
      <c r="B13" s="4125"/>
      <c r="C13" s="4125"/>
      <c r="D13" s="4125"/>
      <c r="E13" s="4125"/>
      <c r="F13" s="4125"/>
      <c r="G13" s="4125"/>
      <c r="H13" s="4125"/>
      <c r="I13" s="4125"/>
      <c r="J13" s="4125"/>
      <c r="K13" s="4126"/>
    </row>
    <row r="14" spans="1:11" ht="14.25" customHeight="1">
      <c r="A14" s="1333"/>
      <c r="B14" s="1333"/>
      <c r="C14" s="1366">
        <v>3</v>
      </c>
      <c r="D14" s="1356" t="s">
        <v>3977</v>
      </c>
      <c r="E14" s="1356"/>
      <c r="F14" s="1356"/>
      <c r="G14" s="1356"/>
      <c r="H14" s="1356"/>
      <c r="I14" s="1356"/>
      <c r="J14" s="4814"/>
      <c r="K14" s="4815"/>
    </row>
    <row r="15" spans="1:11" ht="14.25" customHeight="1">
      <c r="A15" s="1333"/>
      <c r="B15" s="1333"/>
      <c r="C15" s="1367">
        <v>4</v>
      </c>
      <c r="D15" s="1333" t="s">
        <v>3978</v>
      </c>
      <c r="E15" s="1333"/>
      <c r="F15" s="1333"/>
      <c r="G15" s="1333"/>
      <c r="H15" s="1333"/>
      <c r="I15" s="1333"/>
      <c r="J15" s="4812"/>
      <c r="K15" s="4813"/>
    </row>
    <row r="16" spans="1:11" ht="14.25" customHeight="1">
      <c r="A16" s="1333"/>
      <c r="B16" s="1333"/>
      <c r="C16" s="1367">
        <v>5</v>
      </c>
      <c r="D16" s="1333" t="s">
        <v>3979</v>
      </c>
      <c r="E16" s="1333"/>
      <c r="F16" s="1333"/>
      <c r="G16" s="1333"/>
      <c r="H16" s="1333"/>
      <c r="I16" s="1333"/>
      <c r="J16" s="4812"/>
      <c r="K16" s="4813"/>
    </row>
    <row r="17" spans="1:13" ht="14.25" customHeight="1">
      <c r="A17" s="1333"/>
      <c r="B17" s="1333"/>
      <c r="C17" s="1368">
        <v>6</v>
      </c>
      <c r="D17" s="1336" t="s">
        <v>3980</v>
      </c>
      <c r="E17" s="1336"/>
      <c r="F17" s="1336"/>
      <c r="G17" s="1336"/>
      <c r="H17" s="1336"/>
      <c r="I17" s="1336"/>
      <c r="J17" s="4820"/>
      <c r="K17" s="4821"/>
    </row>
    <row r="18" spans="1:13" ht="7.2" customHeight="1">
      <c r="A18" s="4122"/>
      <c r="B18" s="4122"/>
      <c r="C18" s="4122"/>
      <c r="D18" s="4123"/>
      <c r="E18" s="4123"/>
      <c r="F18" s="4123"/>
      <c r="G18" s="4123"/>
      <c r="H18" s="4123"/>
      <c r="I18" s="4123"/>
      <c r="J18" s="4123"/>
      <c r="K18" s="1355"/>
    </row>
    <row r="19" spans="1:13" ht="14.25" customHeight="1">
      <c r="A19" s="1333"/>
      <c r="B19" s="1333"/>
      <c r="C19" s="1366">
        <v>7</v>
      </c>
      <c r="D19" s="1356" t="s">
        <v>3981</v>
      </c>
      <c r="E19" s="1356"/>
      <c r="F19" s="1356"/>
      <c r="G19" s="1356"/>
      <c r="H19" s="1356"/>
      <c r="I19" s="1356"/>
      <c r="J19" s="4186" t="str">
        <f>IF(J17="No",J14-J15,IF(J17="Yes",J14-J15-J16,"Error"))</f>
        <v>Error</v>
      </c>
      <c r="K19" s="4187"/>
    </row>
    <row r="20" spans="1:13" ht="14.25" customHeight="1">
      <c r="A20" s="1333"/>
      <c r="B20" s="1333"/>
      <c r="C20" s="1368">
        <v>8</v>
      </c>
      <c r="D20" s="1336" t="s">
        <v>3982</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365">
        <v>9</v>
      </c>
      <c r="D22" s="1357" t="s">
        <v>3983</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4014</v>
      </c>
      <c r="B30" s="4145"/>
      <c r="C30" s="4145"/>
      <c r="D30" s="4145"/>
      <c r="E30" s="4145"/>
      <c r="F30" s="4145"/>
      <c r="G30" s="4145"/>
      <c r="H30" s="4145"/>
      <c r="I30" s="4145"/>
      <c r="J30" s="4145"/>
      <c r="K30" s="4146"/>
    </row>
    <row r="31" spans="1:13">
      <c r="B31" s="4807" t="s">
        <v>3971</v>
      </c>
      <c r="C31" s="4807"/>
      <c r="D31" s="4807"/>
      <c r="E31" s="4807"/>
      <c r="F31" s="4807"/>
      <c r="G31" s="4148" t="s">
        <v>3985</v>
      </c>
      <c r="H31" s="4149"/>
      <c r="I31" s="4149"/>
      <c r="J31" s="4149"/>
      <c r="K31" s="4150"/>
    </row>
    <row r="32" spans="1:13" ht="56.25" customHeight="1">
      <c r="A32" s="1351"/>
      <c r="B32" s="1369" t="s">
        <v>4013</v>
      </c>
      <c r="C32" s="1370" t="s">
        <v>4009</v>
      </c>
      <c r="D32" s="1370" t="s">
        <v>4008</v>
      </c>
      <c r="E32" s="4151" t="s">
        <v>6099</v>
      </c>
      <c r="F32" s="4152"/>
      <c r="G32" s="1371" t="s">
        <v>3986</v>
      </c>
      <c r="H32" s="1371" t="s">
        <v>3987</v>
      </c>
      <c r="J32" s="1371" t="s">
        <v>3988</v>
      </c>
      <c r="K32" s="1371" t="s">
        <v>3989</v>
      </c>
      <c r="L32" s="4139" t="s">
        <v>3990</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3991</v>
      </c>
      <c r="H52" s="1372" t="e">
        <f>SUM(H33:H51)</f>
        <v>#VALUE!</v>
      </c>
      <c r="I52" s="1356"/>
      <c r="J52" s="1362" t="s">
        <v>3992</v>
      </c>
      <c r="K52" s="1358" t="e">
        <f>SUM(K33:K51)</f>
        <v>#VALUE!</v>
      </c>
      <c r="L52" s="4139"/>
      <c r="M52" s="4139"/>
    </row>
    <row r="53" spans="1:13" ht="15" customHeight="1">
      <c r="B53" s="1363"/>
      <c r="C53" s="4158" t="s">
        <v>3993</v>
      </c>
      <c r="D53" s="4158"/>
      <c r="E53" s="4158"/>
      <c r="F53" s="4158"/>
      <c r="G53" s="4158"/>
      <c r="H53" s="4158"/>
      <c r="I53" s="4158"/>
      <c r="J53" s="4159"/>
      <c r="K53" s="1364" t="str">
        <f>IF(J17="no",0,IF(J17="yes",J16,"Error"))</f>
        <v>Error</v>
      </c>
      <c r="L53" s="4139"/>
      <c r="M53" s="4139"/>
    </row>
    <row r="54" spans="1:13" ht="15" customHeight="1" thickBot="1">
      <c r="B54" s="1363"/>
      <c r="C54" s="4160" t="s">
        <v>3994</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4" t="s">
        <v>4012</v>
      </c>
      <c r="F57" s="4165"/>
      <c r="G57" s="4803" t="s">
        <v>3997</v>
      </c>
      <c r="H57" s="4804"/>
      <c r="I57" s="4164" t="s">
        <v>4011</v>
      </c>
      <c r="J57" s="4165"/>
      <c r="K57" s="4168"/>
    </row>
    <row r="58" spans="1:13" ht="15" customHeight="1">
      <c r="A58" s="1465"/>
      <c r="B58" s="1381"/>
      <c r="C58" s="1359">
        <f>SUMIF(C33:C51, "0", H33:H51)</f>
        <v>0</v>
      </c>
      <c r="D58" s="1484">
        <f t="shared" ref="D58:D63" si="4">ROUNDUP(C58*1.1,0)</f>
        <v>0</v>
      </c>
      <c r="E58" s="4170" t="s">
        <v>3998</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3999</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4000</v>
      </c>
      <c r="F63" s="4180"/>
      <c r="G63" s="4808">
        <f>'DCA Underwriting Assumptions'!H133</f>
        <v>316236</v>
      </c>
      <c r="H63" s="4809"/>
      <c r="I63" s="4181">
        <f t="shared" si="5"/>
        <v>0</v>
      </c>
      <c r="J63" s="4181"/>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3"/>
      <c r="B65" s="4163"/>
      <c r="C65" s="4163"/>
      <c r="D65" s="4163"/>
      <c r="E65" s="4163"/>
      <c r="F65" s="4163"/>
      <c r="G65" s="4163"/>
      <c r="H65" s="4163"/>
      <c r="I65" s="4163"/>
      <c r="J65" s="4163"/>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78" t="s">
        <v>4007</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Westchester Village</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39826.970999999998</v>
      </c>
      <c r="K4" s="1008" t="s">
        <v>3664</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15556447</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4081</v>
      </c>
      <c r="B23" s="4828"/>
      <c r="C23" s="4828"/>
      <c r="D23" s="4828"/>
      <c r="E23" s="4828"/>
      <c r="F23" s="4828"/>
      <c r="G23" s="4828"/>
      <c r="H23" s="4828"/>
    </row>
    <row r="24" spans="1:8" ht="9" customHeight="1" thickBot="1">
      <c r="A24" s="611"/>
    </row>
    <row r="25" spans="1:8" ht="16.2" customHeight="1" thickBot="1">
      <c r="A25" s="4829">
        <v>20</v>
      </c>
      <c r="B25" s="4830"/>
      <c r="C25" s="1451" t="s">
        <v>975</v>
      </c>
    </row>
    <row r="26" spans="1:8" ht="9" customHeight="1">
      <c r="A26" s="611"/>
    </row>
    <row r="27" spans="1:8" ht="28.2" customHeight="1">
      <c r="A27" s="4822" t="s">
        <v>4086</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4084</v>
      </c>
      <c r="E33" s="4822" t="s">
        <v>3122</v>
      </c>
      <c r="F33" s="4822"/>
      <c r="G33" s="4822"/>
      <c r="H33" s="4822"/>
    </row>
    <row r="34" spans="1:11" ht="12.75" customHeight="1">
      <c r="C34" s="1450"/>
      <c r="D34" s="1448" t="s">
        <v>2984</v>
      </c>
      <c r="E34" s="4823" t="s">
        <v>3123</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4084</v>
      </c>
      <c r="E38" s="4822" t="s">
        <v>3122</v>
      </c>
      <c r="F38" s="4822"/>
      <c r="G38" s="4822"/>
      <c r="H38" s="4822"/>
    </row>
    <row r="39" spans="1:11" ht="12.75" customHeight="1">
      <c r="C39" s="1450"/>
      <c r="D39" s="1448" t="s">
        <v>2984</v>
      </c>
      <c r="E39" s="4823" t="s">
        <v>3123</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4084</v>
      </c>
      <c r="E43" s="4822" t="s">
        <v>3122</v>
      </c>
      <c r="F43" s="4822"/>
      <c r="G43" s="4822"/>
      <c r="H43" s="4822"/>
    </row>
    <row r="44" spans="1:11" ht="12.75" customHeight="1">
      <c r="C44" s="1450"/>
      <c r="D44" s="1448" t="s">
        <v>2984</v>
      </c>
      <c r="E44" s="4823" t="s">
        <v>3123</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4084</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4084</v>
      </c>
      <c r="E55" s="4822" t="s">
        <v>3122</v>
      </c>
      <c r="F55" s="4822"/>
      <c r="G55" s="4822"/>
      <c r="H55" s="4822"/>
    </row>
    <row r="56" spans="1:11" ht="12.75" customHeight="1">
      <c r="C56" s="1450"/>
      <c r="D56" s="1448" t="s">
        <v>2984</v>
      </c>
      <c r="E56" s="4823" t="s">
        <v>3123</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4084</v>
      </c>
      <c r="E60" s="4822" t="s">
        <v>3122</v>
      </c>
      <c r="F60" s="4822"/>
      <c r="G60" s="4822"/>
      <c r="H60" s="4822"/>
    </row>
    <row r="61" spans="1:11" ht="12.75" customHeight="1">
      <c r="C61" s="1450"/>
      <c r="D61" s="1448" t="s">
        <v>2984</v>
      </c>
      <c r="E61" s="4823" t="s">
        <v>3123</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4084</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4084</v>
      </c>
      <c r="E72" s="4822" t="s">
        <v>3122</v>
      </c>
      <c r="F72" s="4822"/>
      <c r="G72" s="4822"/>
      <c r="H72" s="4822"/>
    </row>
    <row r="73" spans="1:8" ht="12.75" customHeight="1">
      <c r="C73" s="1450"/>
      <c r="D73" s="1448" t="s">
        <v>2984</v>
      </c>
      <c r="E73" s="4823" t="s">
        <v>3123</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4084</v>
      </c>
      <c r="E77" s="4822" t="s">
        <v>3122</v>
      </c>
      <c r="F77" s="4822"/>
      <c r="G77" s="4822"/>
      <c r="H77" s="4822"/>
    </row>
    <row r="78" spans="1:8" ht="12.75" customHeight="1">
      <c r="C78" s="1450"/>
      <c r="D78" s="1448" t="s">
        <v>2984</v>
      </c>
      <c r="E78" s="4823" t="s">
        <v>3123</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4084</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4084</v>
      </c>
      <c r="E89" s="4822" t="s">
        <v>3122</v>
      </c>
      <c r="F89" s="4822"/>
      <c r="G89" s="4822"/>
      <c r="H89" s="4822"/>
    </row>
    <row r="90" spans="3:8" ht="12.75" customHeight="1">
      <c r="C90" s="1450"/>
      <c r="D90" s="1448" t="s">
        <v>2984</v>
      </c>
      <c r="E90" s="4823" t="s">
        <v>3123</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4084</v>
      </c>
      <c r="E94" s="4822" t="s">
        <v>3122</v>
      </c>
      <c r="F94" s="4822"/>
      <c r="G94" s="4822"/>
      <c r="H94" s="4822"/>
    </row>
    <row r="95" spans="3:8" ht="12.75" customHeight="1">
      <c r="C95" s="1450"/>
      <c r="D95" s="1448" t="s">
        <v>2984</v>
      </c>
      <c r="E95" s="4823" t="s">
        <v>3123</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2" customHeight="1" thickBot="1">
      <c r="A104" s="4829">
        <v>30</v>
      </c>
      <c r="B104" s="4830"/>
      <c r="C104" s="1451" t="s">
        <v>975</v>
      </c>
    </row>
    <row r="105" spans="1:11" ht="9" customHeight="1">
      <c r="A105" s="611"/>
    </row>
    <row r="106" spans="1:11" ht="28.2" customHeight="1">
      <c r="A106" s="4822" t="s">
        <v>4087</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4084</v>
      </c>
      <c r="E112" s="4822" t="s">
        <v>3122</v>
      </c>
      <c r="F112" s="4822"/>
      <c r="G112" s="4822"/>
      <c r="H112" s="4822"/>
    </row>
    <row r="113" spans="1:8" ht="12.75" customHeight="1">
      <c r="C113" s="1450"/>
      <c r="D113" s="1448" t="s">
        <v>2984</v>
      </c>
      <c r="E113" s="4823" t="s">
        <v>3123</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4084</v>
      </c>
      <c r="E117" s="4822" t="s">
        <v>3122</v>
      </c>
      <c r="F117" s="4822"/>
      <c r="G117" s="4822"/>
      <c r="H117" s="4822"/>
    </row>
    <row r="118" spans="1:8" ht="12.75" customHeight="1">
      <c r="C118" s="1450"/>
      <c r="D118" s="1448" t="s">
        <v>2984</v>
      </c>
      <c r="E118" s="4823" t="s">
        <v>3123</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4084</v>
      </c>
      <c r="E122" s="4822" t="s">
        <v>3122</v>
      </c>
      <c r="F122" s="4822"/>
      <c r="G122" s="4822"/>
      <c r="H122" s="4822"/>
    </row>
    <row r="123" spans="1:8" ht="12.75" customHeight="1">
      <c r="C123" s="1450"/>
      <c r="D123" s="1448" t="s">
        <v>2984</v>
      </c>
      <c r="E123" s="4823" t="s">
        <v>3123</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4084</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4084</v>
      </c>
      <c r="E134" s="4822" t="s">
        <v>3122</v>
      </c>
      <c r="F134" s="4822"/>
      <c r="G134" s="4822"/>
      <c r="H134" s="4822"/>
    </row>
    <row r="135" spans="1:8" ht="12.75" customHeight="1">
      <c r="C135" s="1450"/>
      <c r="D135" s="1448" t="s">
        <v>2984</v>
      </c>
      <c r="E135" s="4823" t="s">
        <v>3123</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4084</v>
      </c>
      <c r="E139" s="4822" t="s">
        <v>3122</v>
      </c>
      <c r="F139" s="4822"/>
      <c r="G139" s="4822"/>
      <c r="H139" s="4822"/>
    </row>
    <row r="140" spans="1:8" ht="12.75" customHeight="1">
      <c r="C140" s="1450"/>
      <c r="D140" s="1448" t="s">
        <v>2984</v>
      </c>
      <c r="E140" s="4823" t="s">
        <v>3123</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4084</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4084</v>
      </c>
      <c r="E151" s="4822" t="s">
        <v>3122</v>
      </c>
      <c r="F151" s="4822"/>
      <c r="G151" s="4822"/>
      <c r="H151" s="4822"/>
    </row>
    <row r="152" spans="1:8" ht="12.75" customHeight="1">
      <c r="C152" s="1450"/>
      <c r="D152" s="1448" t="s">
        <v>2984</v>
      </c>
      <c r="E152" s="4823" t="s">
        <v>3123</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4084</v>
      </c>
      <c r="E156" s="4822" t="s">
        <v>3122</v>
      </c>
      <c r="F156" s="4822"/>
      <c r="G156" s="4822"/>
      <c r="H156" s="4822"/>
    </row>
    <row r="157" spans="1:8" ht="12.75" customHeight="1">
      <c r="C157" s="1450"/>
      <c r="D157" s="1448" t="s">
        <v>2984</v>
      </c>
      <c r="E157" s="4823" t="s">
        <v>3123</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4084</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4084</v>
      </c>
      <c r="E168" s="4822" t="s">
        <v>3122</v>
      </c>
      <c r="F168" s="4822"/>
      <c r="G168" s="4822"/>
      <c r="H168" s="4822"/>
    </row>
    <row r="169" spans="1:8" ht="12.75" customHeight="1">
      <c r="C169" s="1450"/>
      <c r="D169" s="1448" t="s">
        <v>2984</v>
      </c>
      <c r="E169" s="4823" t="s">
        <v>3123</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4084</v>
      </c>
      <c r="E173" s="4822" t="s">
        <v>3122</v>
      </c>
      <c r="F173" s="4822"/>
      <c r="G173" s="4822"/>
      <c r="H173" s="4822"/>
    </row>
    <row r="174" spans="1:8" ht="12.75" customHeight="1">
      <c r="C174" s="1450"/>
      <c r="D174" s="1448" t="s">
        <v>2984</v>
      </c>
      <c r="E174" s="4823" t="s">
        <v>3123</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2" customHeight="1" thickBot="1">
      <c r="A183" s="4829">
        <v>40</v>
      </c>
      <c r="B183" s="4830"/>
      <c r="C183" s="1451" t="s">
        <v>975</v>
      </c>
    </row>
    <row r="184" spans="1:11" ht="9" customHeight="1">
      <c r="A184" s="611"/>
    </row>
    <row r="185" spans="1:11" ht="28.2" customHeight="1">
      <c r="A185" s="4822" t="s">
        <v>4088</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4084</v>
      </c>
      <c r="E191" s="4822" t="s">
        <v>3122</v>
      </c>
      <c r="F191" s="4822"/>
      <c r="G191" s="4822"/>
      <c r="H191" s="4822"/>
    </row>
    <row r="192" spans="1:11" ht="12.75" customHeight="1">
      <c r="C192" s="1450"/>
      <c r="D192" s="1448" t="s">
        <v>2984</v>
      </c>
      <c r="E192" s="4823" t="s">
        <v>3123</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4084</v>
      </c>
      <c r="E196" s="4822" t="s">
        <v>3122</v>
      </c>
      <c r="F196" s="4822"/>
      <c r="G196" s="4822"/>
      <c r="H196" s="4822"/>
    </row>
    <row r="197" spans="1:8" ht="12.75" customHeight="1">
      <c r="C197" s="1450"/>
      <c r="D197" s="1448" t="s">
        <v>2984</v>
      </c>
      <c r="E197" s="4823" t="s">
        <v>3123</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4084</v>
      </c>
      <c r="E201" s="4822" t="s">
        <v>3122</v>
      </c>
      <c r="F201" s="4822"/>
      <c r="G201" s="4822"/>
      <c r="H201" s="4822"/>
    </row>
    <row r="202" spans="1:8" ht="12.75" customHeight="1">
      <c r="C202" s="1450"/>
      <c r="D202" s="1448" t="s">
        <v>2984</v>
      </c>
      <c r="E202" s="4823" t="s">
        <v>3123</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4084</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4084</v>
      </c>
      <c r="E213" s="4822" t="s">
        <v>3122</v>
      </c>
      <c r="F213" s="4822"/>
      <c r="G213" s="4822"/>
      <c r="H213" s="4822"/>
    </row>
    <row r="214" spans="1:8" ht="12.75" customHeight="1">
      <c r="C214" s="1450"/>
      <c r="D214" s="1448" t="s">
        <v>2984</v>
      </c>
      <c r="E214" s="4823" t="s">
        <v>3123</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4084</v>
      </c>
      <c r="E218" s="4822" t="s">
        <v>3122</v>
      </c>
      <c r="F218" s="4822"/>
      <c r="G218" s="4822"/>
      <c r="H218" s="4822"/>
    </row>
    <row r="219" spans="1:8" ht="12.75" customHeight="1">
      <c r="C219" s="1450"/>
      <c r="D219" s="1448" t="s">
        <v>2984</v>
      </c>
      <c r="E219" s="4823" t="s">
        <v>3123</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4084</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4084</v>
      </c>
      <c r="E230" s="4822" t="s">
        <v>3122</v>
      </c>
      <c r="F230" s="4822"/>
      <c r="G230" s="4822"/>
      <c r="H230" s="4822"/>
    </row>
    <row r="231" spans="1:8" ht="12.75" customHeight="1">
      <c r="C231" s="1450"/>
      <c r="D231" s="1448" t="s">
        <v>2984</v>
      </c>
      <c r="E231" s="4823" t="s">
        <v>3123</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4084</v>
      </c>
      <c r="E235" s="4822" t="s">
        <v>3122</v>
      </c>
      <c r="F235" s="4822"/>
      <c r="G235" s="4822"/>
      <c r="H235" s="4822"/>
    </row>
    <row r="236" spans="1:8" ht="12.75" customHeight="1">
      <c r="C236" s="1450"/>
      <c r="D236" s="1448" t="s">
        <v>2984</v>
      </c>
      <c r="E236" s="4823" t="s">
        <v>3123</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4084</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4084</v>
      </c>
      <c r="E247" s="4822" t="s">
        <v>3122</v>
      </c>
      <c r="F247" s="4822"/>
      <c r="G247" s="4822"/>
      <c r="H247" s="4822"/>
    </row>
    <row r="248" spans="1:8" ht="12.75" customHeight="1">
      <c r="C248" s="1450"/>
      <c r="D248" s="1448" t="s">
        <v>2984</v>
      </c>
      <c r="E248" s="4823" t="s">
        <v>3123</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4084</v>
      </c>
      <c r="E252" s="4822" t="s">
        <v>3122</v>
      </c>
      <c r="F252" s="4822"/>
      <c r="G252" s="4822"/>
      <c r="H252" s="4822"/>
    </row>
    <row r="253" spans="1:8" ht="12.75" customHeight="1">
      <c r="C253" s="1450"/>
      <c r="D253" s="1448" t="s">
        <v>2984</v>
      </c>
      <c r="E253" s="4823" t="s">
        <v>3123</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2" customHeight="1" thickBot="1">
      <c r="A262" s="4829">
        <v>50</v>
      </c>
      <c r="B262" s="4830"/>
      <c r="C262" s="1451" t="s">
        <v>975</v>
      </c>
    </row>
    <row r="263" spans="1:11" ht="9" customHeight="1">
      <c r="A263" s="611"/>
    </row>
    <row r="264" spans="1:11" ht="28.2" customHeight="1">
      <c r="A264" s="4822" t="s">
        <v>4085</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4084</v>
      </c>
      <c r="E270" s="4822" t="s">
        <v>3122</v>
      </c>
      <c r="F270" s="4822"/>
      <c r="G270" s="4822"/>
      <c r="H270" s="4822"/>
    </row>
    <row r="271" spans="1:11" ht="12.75" customHeight="1">
      <c r="C271" s="1450"/>
      <c r="D271" s="1448" t="s">
        <v>2984</v>
      </c>
      <c r="E271" s="4823" t="s">
        <v>3123</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4084</v>
      </c>
      <c r="E275" s="4822" t="s">
        <v>3122</v>
      </c>
      <c r="F275" s="4822"/>
      <c r="G275" s="4822"/>
      <c r="H275" s="4822"/>
    </row>
    <row r="276" spans="1:8" ht="12.75" customHeight="1">
      <c r="C276" s="1450"/>
      <c r="D276" s="1448" t="s">
        <v>2984</v>
      </c>
      <c r="E276" s="4823" t="s">
        <v>3123</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4084</v>
      </c>
      <c r="E280" s="4822" t="s">
        <v>3122</v>
      </c>
      <c r="F280" s="4822"/>
      <c r="G280" s="4822"/>
      <c r="H280" s="4822"/>
    </row>
    <row r="281" spans="1:8" ht="12.75" customHeight="1">
      <c r="C281" s="1450"/>
      <c r="D281" s="1448" t="s">
        <v>2984</v>
      </c>
      <c r="E281" s="4823" t="s">
        <v>3123</v>
      </c>
      <c r="F281" s="4823"/>
      <c r="G281" s="4823"/>
      <c r="H281" s="4823"/>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4084</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4084</v>
      </c>
      <c r="E292" s="4822" t="s">
        <v>3122</v>
      </c>
      <c r="F292" s="4822"/>
      <c r="G292" s="4822"/>
      <c r="H292" s="4822"/>
    </row>
    <row r="293" spans="1:8" ht="12.75" customHeight="1">
      <c r="C293" s="1450"/>
      <c r="D293" s="1448" t="s">
        <v>2984</v>
      </c>
      <c r="E293" s="4823" t="s">
        <v>3123</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4084</v>
      </c>
      <c r="E297" s="4822" t="s">
        <v>3122</v>
      </c>
      <c r="F297" s="4822"/>
      <c r="G297" s="4822"/>
      <c r="H297" s="4822"/>
    </row>
    <row r="298" spans="1:8" ht="12.75" customHeight="1">
      <c r="C298" s="1450"/>
      <c r="D298" s="1448" t="s">
        <v>2984</v>
      </c>
      <c r="E298" s="4823" t="s">
        <v>3123</v>
      </c>
      <c r="F298" s="4823"/>
      <c r="G298" s="4823"/>
      <c r="H298" s="4823"/>
    </row>
    <row r="299" spans="1:8" ht="6" customHeight="1">
      <c r="D299" s="639"/>
      <c r="E299" s="1025"/>
      <c r="F299" s="1025"/>
      <c r="G299" s="1025"/>
      <c r="H299" s="1025"/>
    </row>
    <row r="300" spans="1:8">
      <c r="A300" s="620" t="s">
        <v>2980</v>
      </c>
      <c r="B300" s="637">
        <f>IF('Part V-Revenues &amp; Expenses'!$M$59=0,"",'Part V-Revenues &amp; Expenses'!$M$59)</f>
        <v>5</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4084</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4084</v>
      </c>
      <c r="E309" s="4822" t="s">
        <v>3122</v>
      </c>
      <c r="F309" s="4822"/>
      <c r="G309" s="4822"/>
      <c r="H309" s="4822"/>
    </row>
    <row r="310" spans="1:8" ht="12.75" customHeight="1">
      <c r="C310" s="1450"/>
      <c r="D310" s="1448" t="s">
        <v>2984</v>
      </c>
      <c r="E310" s="4823" t="s">
        <v>3123</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4084</v>
      </c>
      <c r="E314" s="4822" t="s">
        <v>3122</v>
      </c>
      <c r="F314" s="4822"/>
      <c r="G314" s="4822"/>
      <c r="H314" s="4822"/>
    </row>
    <row r="315" spans="1:8" ht="12.75" customHeight="1">
      <c r="C315" s="1450"/>
      <c r="D315" s="1448" t="s">
        <v>2984</v>
      </c>
      <c r="E315" s="4823" t="s">
        <v>3123</v>
      </c>
      <c r="F315" s="4823"/>
      <c r="G315" s="4823"/>
      <c r="H315" s="4823"/>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4084</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4084</v>
      </c>
      <c r="E326" s="4822" t="s">
        <v>3122</v>
      </c>
      <c r="F326" s="4822"/>
      <c r="G326" s="4822"/>
      <c r="H326" s="4822"/>
    </row>
    <row r="327" spans="1:11" ht="12.75" customHeight="1">
      <c r="C327" s="1450"/>
      <c r="D327" s="1448" t="s">
        <v>2984</v>
      </c>
      <c r="E327" s="4823" t="s">
        <v>3123</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4084</v>
      </c>
      <c r="E331" s="4822" t="s">
        <v>3122</v>
      </c>
      <c r="F331" s="4822"/>
      <c r="G331" s="4822"/>
      <c r="H331" s="4822"/>
    </row>
    <row r="332" spans="1:11" ht="12.75" customHeight="1">
      <c r="C332" s="1450"/>
      <c r="D332" s="1448" t="s">
        <v>2984</v>
      </c>
      <c r="E332" s="4823" t="s">
        <v>3123</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2" customHeight="1" thickBot="1">
      <c r="A342" s="4829">
        <v>60</v>
      </c>
      <c r="B342" s="4830"/>
      <c r="C342" s="1451" t="s">
        <v>975</v>
      </c>
    </row>
    <row r="343" spans="1:8" ht="9" customHeight="1">
      <c r="A343" s="611"/>
    </row>
    <row r="344" spans="1:8" ht="28.2" customHeight="1">
      <c r="A344" s="4822" t="s">
        <v>4089</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4084</v>
      </c>
      <c r="E350" s="4822" t="s">
        <v>3122</v>
      </c>
      <c r="F350" s="4822"/>
      <c r="G350" s="4822"/>
      <c r="H350" s="4822"/>
    </row>
    <row r="351" spans="1:8" ht="12.75" customHeight="1">
      <c r="C351" s="1450"/>
      <c r="D351" s="1448" t="s">
        <v>2984</v>
      </c>
      <c r="E351" s="4823" t="s">
        <v>3123</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4084</v>
      </c>
      <c r="E355" s="4822" t="s">
        <v>3122</v>
      </c>
      <c r="F355" s="4822"/>
      <c r="G355" s="4822"/>
      <c r="H355" s="4822"/>
    </row>
    <row r="356" spans="1:8" ht="12.75" customHeight="1">
      <c r="C356" s="1450"/>
      <c r="D356" s="1448" t="s">
        <v>2984</v>
      </c>
      <c r="E356" s="4823" t="s">
        <v>3123</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4084</v>
      </c>
      <c r="E360" s="4822" t="s">
        <v>3122</v>
      </c>
      <c r="F360" s="4822"/>
      <c r="G360" s="4822"/>
      <c r="H360" s="4822"/>
    </row>
    <row r="361" spans="1:8" ht="12.75" customHeight="1">
      <c r="C361" s="1450"/>
      <c r="D361" s="1448" t="s">
        <v>2984</v>
      </c>
      <c r="E361" s="4823" t="s">
        <v>3123</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18</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4084</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4084</v>
      </c>
      <c r="E372" s="4822" t="s">
        <v>3122</v>
      </c>
      <c r="F372" s="4822"/>
      <c r="G372" s="4822"/>
      <c r="H372" s="4822"/>
    </row>
    <row r="373" spans="1:8" ht="12.75" customHeight="1">
      <c r="C373" s="1450"/>
      <c r="D373" s="1448" t="s">
        <v>2984</v>
      </c>
      <c r="E373" s="4823" t="s">
        <v>3123</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4084</v>
      </c>
      <c r="E377" s="4822" t="s">
        <v>3122</v>
      </c>
      <c r="F377" s="4822"/>
      <c r="G377" s="4822"/>
      <c r="H377" s="4822"/>
    </row>
    <row r="378" spans="1:8" ht="12.75" customHeight="1">
      <c r="C378" s="1450"/>
      <c r="D378" s="1448" t="s">
        <v>2984</v>
      </c>
      <c r="E378" s="4823" t="s">
        <v>3123</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18</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4084</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4084</v>
      </c>
      <c r="E389" s="4822" t="s">
        <v>3122</v>
      </c>
      <c r="F389" s="4822"/>
      <c r="G389" s="4822"/>
      <c r="H389" s="4822"/>
    </row>
    <row r="390" spans="1:8" ht="12.75" customHeight="1">
      <c r="C390" s="1450"/>
      <c r="D390" s="1448" t="s">
        <v>2984</v>
      </c>
      <c r="E390" s="4823" t="s">
        <v>3123</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4084</v>
      </c>
      <c r="E394" s="4822" t="s">
        <v>3122</v>
      </c>
      <c r="F394" s="4822"/>
      <c r="G394" s="4822"/>
      <c r="H394" s="4822"/>
    </row>
    <row r="395" spans="1:8" ht="12.75" customHeight="1">
      <c r="C395" s="1450"/>
      <c r="D395" s="1448" t="s">
        <v>2984</v>
      </c>
      <c r="E395" s="4823" t="s">
        <v>3123</v>
      </c>
      <c r="F395" s="4823"/>
      <c r="G395" s="4823"/>
      <c r="H395" s="4823"/>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4084</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4084</v>
      </c>
      <c r="E406" s="4822" t="s">
        <v>3122</v>
      </c>
      <c r="F406" s="4822"/>
      <c r="G406" s="4822"/>
      <c r="H406" s="4822"/>
    </row>
    <row r="407" spans="1:11" ht="12.75" customHeight="1">
      <c r="C407" s="1450"/>
      <c r="D407" s="1448" t="s">
        <v>2984</v>
      </c>
      <c r="E407" s="4823" t="s">
        <v>3123</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4084</v>
      </c>
      <c r="E411" s="4822" t="s">
        <v>3122</v>
      </c>
      <c r="F411" s="4822"/>
      <c r="G411" s="4822"/>
      <c r="H411" s="4822"/>
    </row>
    <row r="412" spans="1:11" ht="12.75" customHeight="1">
      <c r="C412" s="1450"/>
      <c r="D412" s="1448" t="s">
        <v>2984</v>
      </c>
      <c r="E412" s="4823" t="s">
        <v>3123</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2" customHeight="1" thickBot="1">
      <c r="A421" s="4829">
        <v>70</v>
      </c>
      <c r="B421" s="4830"/>
      <c r="C421" s="1451" t="s">
        <v>975</v>
      </c>
    </row>
    <row r="422" spans="1:8" ht="9" customHeight="1">
      <c r="A422" s="611"/>
    </row>
    <row r="423" spans="1:8" ht="28.2" customHeight="1">
      <c r="A423" s="4822" t="s">
        <v>4090</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4084</v>
      </c>
      <c r="E429" s="4822" t="s">
        <v>3122</v>
      </c>
      <c r="F429" s="4822"/>
      <c r="G429" s="4822"/>
      <c r="H429" s="4822"/>
    </row>
    <row r="430" spans="1:8" ht="12.75" customHeight="1">
      <c r="C430" s="1450"/>
      <c r="D430" s="1448" t="s">
        <v>2984</v>
      </c>
      <c r="E430" s="4823" t="s">
        <v>3123</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4084</v>
      </c>
      <c r="E434" s="4822" t="s">
        <v>3122</v>
      </c>
      <c r="F434" s="4822"/>
      <c r="G434" s="4822"/>
      <c r="H434" s="4822"/>
    </row>
    <row r="435" spans="1:8" ht="12.75" customHeight="1">
      <c r="C435" s="1450"/>
      <c r="D435" s="1448" t="s">
        <v>2984</v>
      </c>
      <c r="E435" s="4823" t="s">
        <v>3123</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4084</v>
      </c>
      <c r="E439" s="4822" t="s">
        <v>3122</v>
      </c>
      <c r="F439" s="4822"/>
      <c r="G439" s="4822"/>
      <c r="H439" s="4822"/>
    </row>
    <row r="440" spans="1:8" ht="12.75" customHeight="1">
      <c r="C440" s="1450"/>
      <c r="D440" s="1448" t="s">
        <v>2984</v>
      </c>
      <c r="E440" s="4823" t="s">
        <v>3123</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4084</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4084</v>
      </c>
      <c r="E451" s="4822" t="s">
        <v>3122</v>
      </c>
      <c r="F451" s="4822"/>
      <c r="G451" s="4822"/>
      <c r="H451" s="4822"/>
    </row>
    <row r="452" spans="1:8" ht="12.75" customHeight="1">
      <c r="C452" s="1450"/>
      <c r="D452" s="1448" t="s">
        <v>2984</v>
      </c>
      <c r="E452" s="4823" t="s">
        <v>3123</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4084</v>
      </c>
      <c r="E456" s="4822" t="s">
        <v>3122</v>
      </c>
      <c r="F456" s="4822"/>
      <c r="G456" s="4822"/>
      <c r="H456" s="4822"/>
    </row>
    <row r="457" spans="1:8" ht="12.75" customHeight="1">
      <c r="C457" s="1450"/>
      <c r="D457" s="1448" t="s">
        <v>2984</v>
      </c>
      <c r="E457" s="4823" t="s">
        <v>3123</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4084</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4084</v>
      </c>
      <c r="E468" s="4822" t="s">
        <v>3122</v>
      </c>
      <c r="F468" s="4822"/>
      <c r="G468" s="4822"/>
      <c r="H468" s="4822"/>
    </row>
    <row r="469" spans="1:8" ht="12.75" customHeight="1">
      <c r="C469" s="1450"/>
      <c r="D469" s="1448" t="s">
        <v>2984</v>
      </c>
      <c r="E469" s="4823" t="s">
        <v>3123</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4084</v>
      </c>
      <c r="E473" s="4822" t="s">
        <v>3122</v>
      </c>
      <c r="F473" s="4822"/>
      <c r="G473" s="4822"/>
      <c r="H473" s="4822"/>
    </row>
    <row r="474" spans="1:8" ht="12.75" customHeight="1">
      <c r="C474" s="1450"/>
      <c r="D474" s="1448" t="s">
        <v>2984</v>
      </c>
      <c r="E474" s="4823" t="s">
        <v>3123</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4084</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4084</v>
      </c>
      <c r="E485" s="4822" t="s">
        <v>3122</v>
      </c>
      <c r="F485" s="4822"/>
      <c r="G485" s="4822"/>
      <c r="H485" s="4822"/>
    </row>
    <row r="486" spans="1:11" ht="12.75" customHeight="1">
      <c r="C486" s="1450"/>
      <c r="D486" s="1448" t="s">
        <v>2984</v>
      </c>
      <c r="E486" s="4823" t="s">
        <v>3123</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4084</v>
      </c>
      <c r="E490" s="4822" t="s">
        <v>3122</v>
      </c>
      <c r="F490" s="4822"/>
      <c r="G490" s="4822"/>
      <c r="H490" s="4822"/>
    </row>
    <row r="491" spans="1:11" ht="12.75" customHeight="1">
      <c r="C491" s="1450"/>
      <c r="D491" s="1448" t="s">
        <v>2984</v>
      </c>
      <c r="E491" s="4823" t="s">
        <v>3123</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2" customHeight="1" thickBot="1">
      <c r="A500" s="4829">
        <v>80</v>
      </c>
      <c r="B500" s="4830"/>
      <c r="C500" s="1451" t="s">
        <v>975</v>
      </c>
    </row>
    <row r="501" spans="1:8" ht="9" customHeight="1">
      <c r="A501" s="611"/>
    </row>
    <row r="502" spans="1:8" ht="28.2" customHeight="1">
      <c r="A502" s="4822" t="s">
        <v>4091</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4084</v>
      </c>
      <c r="E508" s="4822" t="s">
        <v>3122</v>
      </c>
      <c r="F508" s="4822"/>
      <c r="G508" s="4822"/>
      <c r="H508" s="4822"/>
    </row>
    <row r="509" spans="1:8" ht="12.75" customHeight="1">
      <c r="C509" s="1450"/>
      <c r="D509" s="1448" t="s">
        <v>2984</v>
      </c>
      <c r="E509" s="4823" t="s">
        <v>3123</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4084</v>
      </c>
      <c r="E513" s="4822" t="s">
        <v>3122</v>
      </c>
      <c r="F513" s="4822"/>
      <c r="G513" s="4822"/>
      <c r="H513" s="4822"/>
    </row>
    <row r="514" spans="1:8" ht="12.75" customHeight="1">
      <c r="C514" s="1450"/>
      <c r="D514" s="1448" t="s">
        <v>2984</v>
      </c>
      <c r="E514" s="4823" t="s">
        <v>3123</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4084</v>
      </c>
      <c r="E518" s="4822" t="s">
        <v>3122</v>
      </c>
      <c r="F518" s="4822"/>
      <c r="G518" s="4822"/>
      <c r="H518" s="4822"/>
    </row>
    <row r="519" spans="1:8" ht="12.75" customHeight="1">
      <c r="C519" s="1450"/>
      <c r="D519" s="1448" t="s">
        <v>2984</v>
      </c>
      <c r="E519" s="4823" t="s">
        <v>3123</v>
      </c>
      <c r="F519" s="4823"/>
      <c r="G519" s="4823"/>
      <c r="H519" s="482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4084</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4084</v>
      </c>
      <c r="E530" s="4822" t="s">
        <v>3122</v>
      </c>
      <c r="F530" s="4822"/>
      <c r="G530" s="4822"/>
      <c r="H530" s="4822"/>
    </row>
    <row r="531" spans="1:8" ht="12.75" customHeight="1">
      <c r="C531" s="1450"/>
      <c r="D531" s="1448" t="s">
        <v>2984</v>
      </c>
      <c r="E531" s="4823" t="s">
        <v>3123</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4084</v>
      </c>
      <c r="E535" s="4822" t="s">
        <v>3122</v>
      </c>
      <c r="F535" s="4822"/>
      <c r="G535" s="4822"/>
      <c r="H535" s="4822"/>
    </row>
    <row r="536" spans="1:8" ht="12.75" customHeight="1">
      <c r="C536" s="1450"/>
      <c r="D536" s="1448" t="s">
        <v>2984</v>
      </c>
      <c r="E536" s="4823" t="s">
        <v>3123</v>
      </c>
      <c r="F536" s="4823"/>
      <c r="G536" s="4823"/>
      <c r="H536" s="482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4084</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4084</v>
      </c>
      <c r="E547" s="4822" t="s">
        <v>3122</v>
      </c>
      <c r="F547" s="4822"/>
      <c r="G547" s="4822"/>
      <c r="H547" s="4822"/>
    </row>
    <row r="548" spans="1:8" ht="12.75" customHeight="1">
      <c r="C548" s="1450"/>
      <c r="D548" s="1448" t="s">
        <v>2984</v>
      </c>
      <c r="E548" s="4823" t="s">
        <v>3123</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4084</v>
      </c>
      <c r="E552" s="4822" t="s">
        <v>3122</v>
      </c>
      <c r="F552" s="4822"/>
      <c r="G552" s="4822"/>
      <c r="H552" s="4822"/>
    </row>
    <row r="553" spans="1:8" ht="12.75" customHeight="1">
      <c r="C553" s="1450"/>
      <c r="D553" s="1448" t="s">
        <v>2984</v>
      </c>
      <c r="E553" s="4823" t="s">
        <v>3123</v>
      </c>
      <c r="F553" s="4823"/>
      <c r="G553" s="4823"/>
      <c r="H553" s="482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4084</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4084</v>
      </c>
      <c r="E564" s="4822" t="s">
        <v>3122</v>
      </c>
      <c r="F564" s="4822"/>
      <c r="G564" s="4822"/>
      <c r="H564" s="4822"/>
    </row>
    <row r="565" spans="1:11" ht="12.75" customHeight="1">
      <c r="C565" s="1450"/>
      <c r="D565" s="1448" t="s">
        <v>2984</v>
      </c>
      <c r="E565" s="4823" t="s">
        <v>3123</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4084</v>
      </c>
      <c r="E569" s="4822" t="s">
        <v>3122</v>
      </c>
      <c r="F569" s="4822"/>
      <c r="G569" s="4822"/>
      <c r="H569" s="4822"/>
    </row>
    <row r="570" spans="1:11" ht="12.75" customHeight="1">
      <c r="C570" s="1450"/>
      <c r="D570" s="1448" t="s">
        <v>2984</v>
      </c>
      <c r="E570" s="4823" t="s">
        <v>3123</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Westchester Village, Jonesboro, Clayton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Westchester Village</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39826.970999999998</v>
      </c>
      <c r="M4" s="4831"/>
      <c r="N4" s="1493" t="s">
        <v>3664</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15556447</v>
      </c>
      <c r="M11" s="4825"/>
    </row>
    <row r="12" spans="1:14" ht="1.5" customHeight="1">
      <c r="G12" s="617"/>
      <c r="H12" s="617"/>
    </row>
    <row r="13" spans="1:14" ht="25.95"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4081</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18</v>
      </c>
      <c r="G27" s="1585">
        <f>'Part V-Revenues &amp; Expenses'!M58</f>
        <v>18</v>
      </c>
      <c r="H27" s="1585">
        <f>'Part V-Revenues &amp; Expenses'!N58</f>
        <v>0</v>
      </c>
      <c r="I27" s="1585">
        <f>'Part V-Revenues &amp; Expenses'!O58</f>
        <v>0</v>
      </c>
      <c r="J27" s="1586">
        <f>'Part V-Revenues &amp; Expenses'!P58</f>
        <v>36</v>
      </c>
      <c r="K27" s="432"/>
      <c r="S27" s="432"/>
    </row>
    <row r="28" spans="1:19" ht="15" customHeight="1">
      <c r="C28" s="736" t="s">
        <v>112</v>
      </c>
      <c r="D28" s="439"/>
      <c r="E28" s="1584">
        <f>'Part V-Revenues &amp; Expenses'!K59</f>
        <v>0</v>
      </c>
      <c r="F28" s="1585">
        <f>'Part V-Revenues &amp; Expenses'!L59</f>
        <v>4</v>
      </c>
      <c r="G28" s="1585">
        <f>'Part V-Revenues &amp; Expenses'!M59</f>
        <v>5</v>
      </c>
      <c r="H28" s="1585">
        <f>'Part V-Revenues &amp; Expenses'!N59</f>
        <v>0</v>
      </c>
      <c r="I28" s="1585">
        <f>'Part V-Revenues &amp; Expenses'!O59</f>
        <v>0</v>
      </c>
      <c r="J28" s="1586">
        <f>'Part V-Revenues &amp; Expenses'!P59</f>
        <v>9</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22</v>
      </c>
      <c r="G32" s="1579">
        <f>'Part V-Revenues &amp; Expenses'!M63</f>
        <v>23</v>
      </c>
      <c r="H32" s="1579">
        <f>'Part V-Revenues &amp; Expenses'!N63</f>
        <v>0</v>
      </c>
      <c r="I32" s="1579">
        <f>'Part V-Revenues &amp; Expenses'!O63</f>
        <v>0</v>
      </c>
      <c r="J32" s="1588">
        <f>'Part V-Revenues &amp; Expenses'!P63</f>
        <v>45</v>
      </c>
      <c r="K32" s="432"/>
      <c r="S32" s="432"/>
    </row>
    <row r="33" spans="1:12" s="432" customFormat="1" ht="13.2" customHeight="1" thickBot="1">
      <c r="K33" s="1492"/>
    </row>
    <row r="34" spans="1:12" s="432" customFormat="1" ht="14.25" customHeight="1" thickBot="1">
      <c r="A34" s="1492"/>
      <c r="B34" s="4838" t="s">
        <v>6172</v>
      </c>
      <c r="E34" s="4839" t="s">
        <v>6068</v>
      </c>
      <c r="F34" s="4840"/>
      <c r="G34" s="4840"/>
      <c r="H34" s="4840"/>
      <c r="I34" s="4840"/>
      <c r="J34" s="4840"/>
      <c r="K34" s="4840"/>
      <c r="L34" s="4841"/>
    </row>
    <row r="35" spans="1:12" s="432" customFormat="1" ht="14.25" customHeight="1">
      <c r="A35" s="1492"/>
      <c r="B35" s="4838"/>
      <c r="C35" s="4842" t="s">
        <v>6173</v>
      </c>
      <c r="D35" s="4838" t="s">
        <v>6174</v>
      </c>
      <c r="E35" s="4843" t="s">
        <v>6071</v>
      </c>
      <c r="F35" s="4844"/>
      <c r="G35" s="4847" t="s">
        <v>1275</v>
      </c>
      <c r="H35" s="4849" t="s">
        <v>6067</v>
      </c>
      <c r="I35" s="4850"/>
      <c r="J35" s="4850"/>
      <c r="K35" s="4850"/>
      <c r="L35" s="4851"/>
    </row>
    <row r="36" spans="1:12" s="432" customFormat="1" ht="23.25" customHeight="1">
      <c r="A36" s="4842" t="s">
        <v>975</v>
      </c>
      <c r="B36" s="4838"/>
      <c r="C36" s="4842"/>
      <c r="D36" s="4838"/>
      <c r="E36" s="4845"/>
      <c r="F36" s="4846"/>
      <c r="G36" s="4848"/>
      <c r="H36" s="4852" t="s">
        <v>6069</v>
      </c>
      <c r="I36" s="4853"/>
      <c r="J36" s="4856" t="s">
        <v>1275</v>
      </c>
      <c r="K36" s="4853" t="s">
        <v>6070</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2" customHeight="1">
      <c r="A39" s="1571">
        <f>'Part V-Revenues &amp; Expenses'!B18</f>
        <v>50</v>
      </c>
      <c r="B39" s="1572">
        <f>'Part V-Revenues &amp; Expenses'!E18</f>
        <v>4</v>
      </c>
      <c r="C39" s="1573" t="str">
        <f>_xlfn.CONCAT('Part V-Revenues &amp; Expenses'!C18," / ",'Part V-Revenues &amp; Expenses'!D18)</f>
        <v>1 / 1</v>
      </c>
      <c r="D39" s="1572">
        <f>'Part V-Revenues &amp; Expenses'!F18</f>
        <v>750</v>
      </c>
      <c r="E39" s="4836">
        <f>'Part V-Revenues &amp; Expenses'!H18</f>
        <v>838</v>
      </c>
      <c r="F39" s="4837"/>
      <c r="G39" s="439"/>
      <c r="H39" s="4863"/>
      <c r="I39" s="4864"/>
      <c r="J39" s="4864"/>
      <c r="K39" s="4864"/>
      <c r="L39" s="4865"/>
    </row>
    <row r="40" spans="1:12" s="432" customFormat="1" ht="13.2" customHeight="1">
      <c r="A40" s="1574">
        <f>'Part V-Revenues &amp; Expenses'!B19</f>
        <v>50</v>
      </c>
      <c r="B40" s="1575">
        <f>'Part V-Revenues &amp; Expenses'!E19</f>
        <v>5</v>
      </c>
      <c r="C40" s="1576" t="str">
        <f>_xlfn.CONCAT('Part V-Revenues &amp; Expenses'!C19," / ",'Part V-Revenues &amp; Expenses'!D19)</f>
        <v>2 / 1</v>
      </c>
      <c r="D40" s="1575">
        <f>'Part V-Revenues &amp; Expenses'!F19</f>
        <v>1000</v>
      </c>
      <c r="E40" s="4834">
        <f>'Part V-Revenues &amp; Expenses'!H19</f>
        <v>975</v>
      </c>
      <c r="F40" s="4835"/>
      <c r="G40" s="439"/>
      <c r="H40" s="4860"/>
      <c r="I40" s="4861"/>
      <c r="J40" s="4861"/>
      <c r="K40" s="4861"/>
      <c r="L40" s="4862"/>
    </row>
    <row r="41" spans="1:12" s="432" customFormat="1" ht="13.2" customHeight="1">
      <c r="A41" s="1574">
        <f>'Part V-Revenues &amp; Expenses'!B20</f>
        <v>60</v>
      </c>
      <c r="B41" s="1575">
        <f>'Part V-Revenues &amp; Expenses'!E20</f>
        <v>18</v>
      </c>
      <c r="C41" s="1576" t="str">
        <f>_xlfn.CONCAT('Part V-Revenues &amp; Expenses'!C20," / ",'Part V-Revenues &amp; Expenses'!D20)</f>
        <v>1 / 1</v>
      </c>
      <c r="D41" s="1575">
        <f>'Part V-Revenues &amp; Expenses'!F20</f>
        <v>750</v>
      </c>
      <c r="E41" s="4834">
        <f>'Part V-Revenues &amp; Expenses'!H20</f>
        <v>923</v>
      </c>
      <c r="F41" s="4835"/>
      <c r="G41" s="439"/>
      <c r="H41" s="4860"/>
      <c r="I41" s="4861"/>
      <c r="J41" s="4861"/>
      <c r="K41" s="4861"/>
      <c r="L41" s="4862"/>
    </row>
    <row r="42" spans="1:12" s="432" customFormat="1" ht="13.2" customHeight="1">
      <c r="A42" s="1574">
        <f>'Part V-Revenues &amp; Expenses'!B21</f>
        <v>60</v>
      </c>
      <c r="B42" s="1575">
        <f>'Part V-Revenues &amp; Expenses'!E21</f>
        <v>18</v>
      </c>
      <c r="C42" s="1576" t="str">
        <f>_xlfn.CONCAT('Part V-Revenues &amp; Expenses'!C21," / ",'Part V-Revenues &amp; Expenses'!D21)</f>
        <v>2 / 1</v>
      </c>
      <c r="D42" s="1575">
        <f>'Part V-Revenues &amp; Expenses'!F21</f>
        <v>1000</v>
      </c>
      <c r="E42" s="4834">
        <f>'Part V-Revenues &amp; Expenses'!H21</f>
        <v>1060</v>
      </c>
      <c r="F42" s="4835"/>
      <c r="G42" s="439"/>
      <c r="H42" s="4860"/>
      <c r="I42" s="4861"/>
      <c r="J42" s="4861"/>
      <c r="K42" s="4861"/>
      <c r="L42" s="4862"/>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60"/>
      <c r="I43" s="4861"/>
      <c r="J43" s="4861"/>
      <c r="K43" s="4861"/>
      <c r="L43" s="4862"/>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60"/>
      <c r="I44" s="4861"/>
      <c r="J44" s="4861"/>
      <c r="K44" s="4861"/>
      <c r="L44" s="4862"/>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60"/>
      <c r="I45" s="4861"/>
      <c r="J45" s="4861"/>
      <c r="K45" s="4861"/>
      <c r="L45" s="4862"/>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60"/>
      <c r="I46" s="4861"/>
      <c r="J46" s="4861"/>
      <c r="K46" s="4861"/>
      <c r="L46" s="4862"/>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2" t="s">
        <v>3480</v>
      </c>
      <c r="C1" s="4732"/>
      <c r="D1" s="4732"/>
      <c r="E1" s="4732"/>
      <c r="F1" s="4732"/>
      <c r="G1" s="4732"/>
      <c r="H1" s="4732"/>
      <c r="I1" s="4732"/>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Westchester Village</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4" t="s">
        <v>3488</v>
      </c>
      <c r="I35" s="4869"/>
    </row>
    <row r="36" spans="2:9">
      <c r="B36" s="1059" t="s">
        <v>3487</v>
      </c>
      <c r="C36" s="523"/>
      <c r="D36" s="523"/>
      <c r="F36" s="1258"/>
      <c r="G36" s="617"/>
      <c r="H36" s="4824"/>
      <c r="I36" s="4869"/>
    </row>
    <row r="37" spans="2:9">
      <c r="B37" s="1059" t="s">
        <v>3485</v>
      </c>
      <c r="D37" s="523"/>
      <c r="F37" s="1259"/>
      <c r="G37" s="617"/>
      <c r="H37" s="4824"/>
      <c r="I37" s="4869"/>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3490</v>
      </c>
      <c r="C52" s="4898" t="str">
        <f>'Part I-Project Identification'!F26</f>
        <v>Jonesboro</v>
      </c>
      <c r="D52" s="4899"/>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13199307</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13199307</v>
      </c>
      <c r="G84" s="4873"/>
      <c r="I84" s="1049"/>
    </row>
    <row r="85" spans="2:9">
      <c r="B85" s="1047"/>
      <c r="C85" s="432" t="s">
        <v>2928</v>
      </c>
      <c r="F85" s="4897">
        <f>'Part II-Sources of Funds'!I47+'Part II-Sources of Funds'!L47</f>
        <v>47542.084785643921</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13257849.084785644</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13257849.084785644</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E00-000000000000}">
      <formula1>$C$108:$C$109</formula1>
    </dataValidation>
    <dataValidation showDropDown="1" showInputMessage="1" showErrorMessage="1" sqref="I9" xr:uid="{00000000-0002-0000-1E00-000001000000}"/>
    <dataValidation type="list" allowBlank="1" showInputMessage="1" showErrorMessage="1" sqref="I16" xr:uid="{00000000-0002-0000-1E00-000002000000}">
      <formula1>"1, 2, 3"</formula1>
    </dataValidation>
    <dataValidation type="list" allowBlank="1" showInputMessage="1" showErrorMessage="1" sqref="F36:F42" xr:uid="{00000000-0002-0000-1E00-000003000000}">
      <formula1>"Y"</formula1>
    </dataValidation>
    <dataValidation type="list" allowBlank="1" showInputMessage="1" showErrorMessage="1" sqref="I12" xr:uid="{00000000-0002-0000-1E00-000004000000}">
      <formula1>"&lt;&lt;Select&gt;&gt;, Yes, No"</formula1>
    </dataValidation>
    <dataValidation type="list" allowBlank="1" showInputMessage="1" showErrorMessage="1" sqref="I18" xr:uid="{00000000-0002-0000-1E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9" t="s">
        <v>6618</v>
      </c>
      <c r="R11" s="4959"/>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3908</v>
      </c>
      <c r="R13" s="4966"/>
      <c r="S13" s="144"/>
      <c r="T13" s="144"/>
      <c r="U13" s="144"/>
      <c r="AA13" s="68"/>
      <c r="AB13" s="68"/>
    </row>
    <row r="14" spans="1:28" s="145" customFormat="1" ht="12.75" hidden="1" customHeight="1">
      <c r="A14" s="147"/>
      <c r="B14" s="147"/>
      <c r="C14" s="147"/>
      <c r="K14" s="236" t="s">
        <v>3909</v>
      </c>
      <c r="L14" s="236"/>
      <c r="N14" s="234"/>
      <c r="O14" s="147"/>
      <c r="P14" s="144"/>
      <c r="Q14" s="4964">
        <v>0.2</v>
      </c>
      <c r="R14" s="4965"/>
      <c r="S14" s="144"/>
      <c r="T14" s="144"/>
      <c r="U14" s="144"/>
      <c r="AA14" s="68"/>
      <c r="AB14" s="68"/>
    </row>
    <row r="15" spans="1:28" s="145" customFormat="1" ht="12.75" hidden="1" customHeight="1">
      <c r="A15" s="147"/>
      <c r="B15" s="147"/>
      <c r="C15" s="147"/>
      <c r="K15" s="236" t="s">
        <v>3910</v>
      </c>
      <c r="L15" s="236"/>
      <c r="N15" s="234"/>
      <c r="O15" s="147"/>
      <c r="P15" s="144"/>
      <c r="Q15" s="4962">
        <v>0.15</v>
      </c>
      <c r="R15" s="4963"/>
      <c r="S15" s="144"/>
      <c r="T15" s="144"/>
      <c r="U15" s="144"/>
      <c r="AA15" s="68"/>
      <c r="AB15" s="68"/>
    </row>
    <row r="16" spans="1:28" s="145" customFormat="1" ht="12.75" hidden="1" customHeight="1">
      <c r="A16" s="147"/>
      <c r="B16" s="147"/>
      <c r="C16" s="147"/>
      <c r="K16" s="236" t="s">
        <v>3911</v>
      </c>
      <c r="L16" s="236"/>
      <c r="N16" s="234"/>
      <c r="O16" s="147"/>
      <c r="P16" s="144"/>
      <c r="Q16" s="4962">
        <v>0.15</v>
      </c>
      <c r="R16" s="4963"/>
      <c r="S16" s="144"/>
      <c r="T16" s="144"/>
      <c r="U16" s="144"/>
      <c r="AA16" s="68"/>
      <c r="AB16" s="68"/>
    </row>
    <row r="17" spans="1:28" s="145" customFormat="1" ht="12.75" hidden="1" customHeight="1">
      <c r="A17" s="147"/>
      <c r="B17" s="147"/>
      <c r="C17" s="147"/>
      <c r="K17" s="236" t="s">
        <v>3912</v>
      </c>
      <c r="L17" s="236"/>
      <c r="N17" s="234"/>
      <c r="O17" s="147"/>
      <c r="P17" s="144"/>
      <c r="Q17" s="4962">
        <v>0.1</v>
      </c>
      <c r="R17" s="4963"/>
      <c r="S17" s="144"/>
      <c r="T17" s="144"/>
      <c r="U17" s="144"/>
      <c r="AA17" s="68"/>
      <c r="AB17" s="68"/>
    </row>
    <row r="18" spans="1:28" s="145" customFormat="1" ht="12.75" hidden="1" customHeight="1">
      <c r="A18" s="147"/>
      <c r="B18" s="147"/>
      <c r="C18" s="147"/>
      <c r="K18" s="236" t="s">
        <v>3913</v>
      </c>
      <c r="L18" s="236"/>
      <c r="N18" s="234"/>
      <c r="O18" s="147"/>
      <c r="P18" s="144"/>
      <c r="Q18" s="4960">
        <v>0.1</v>
      </c>
      <c r="R18" s="4961"/>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33">
        <v>2500</v>
      </c>
      <c r="R44" s="4934"/>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33">
        <v>2500</v>
      </c>
      <c r="R45" s="4934"/>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33">
        <v>2000</v>
      </c>
      <c r="R46" s="4934"/>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35">
        <v>1500</v>
      </c>
      <c r="R47" s="4936"/>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33">
        <v>6500</v>
      </c>
      <c r="R48" s="4934"/>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33">
        <v>5500</v>
      </c>
      <c r="R49" s="4934"/>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33">
        <v>500</v>
      </c>
      <c r="R50" s="4934"/>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33">
        <v>10000</v>
      </c>
      <c r="R51" s="4934"/>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33">
        <v>1500</v>
      </c>
      <c r="R53" s="4934"/>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33">
        <v>1500</v>
      </c>
      <c r="R54" s="4934"/>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33">
        <v>2500</v>
      </c>
      <c r="R55" s="4934"/>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4969">
        <v>0.08</v>
      </c>
      <c r="R56" s="4969"/>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69">
        <v>0.08</v>
      </c>
      <c r="R57" s="4969"/>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33">
        <v>8000</v>
      </c>
      <c r="R58" s="4934"/>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33"/>
      <c r="R59" s="4934"/>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31">
        <v>1000</v>
      </c>
      <c r="R61" s="4932"/>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31">
        <v>800</v>
      </c>
      <c r="R62" s="4932"/>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17">
        <v>750</v>
      </c>
      <c r="R64" s="4618"/>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3916</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41">
        <v>0.15</v>
      </c>
      <c r="R79" s="4942"/>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53">
        <v>0.02</v>
      </c>
      <c r="R98" s="4953"/>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47">
        <v>1225000</v>
      </c>
      <c r="R107" s="4947"/>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6759</v>
      </c>
      <c r="J108" s="147" t="s">
        <v>6515</v>
      </c>
      <c r="K108" s="147"/>
      <c r="L108" s="147"/>
      <c r="M108" s="147"/>
      <c r="O108" s="147" t="s">
        <v>6509</v>
      </c>
      <c r="P108" s="144"/>
      <c r="Q108" s="4948">
        <v>1105000</v>
      </c>
      <c r="R108" s="4948"/>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43">
        <v>1225000</v>
      </c>
      <c r="R109" s="4943"/>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43">
        <v>1105000</v>
      </c>
      <c r="R110" s="4943"/>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50">
        <v>1105000</v>
      </c>
      <c r="R111" s="4951"/>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44">
        <v>1150000</v>
      </c>
      <c r="R112" s="4944"/>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16" t="s">
        <v>6760</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6101</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45"/>
      <c r="R118" s="4946"/>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30">
        <v>4000000</v>
      </c>
      <c r="R119" s="4930"/>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6756</v>
      </c>
      <c r="B125" s="4904"/>
      <c r="C125" s="2002"/>
      <c r="D125" s="4913"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8">
      <c r="A127" s="4904"/>
      <c r="B127" s="4904"/>
      <c r="C127" s="147"/>
      <c r="D127" s="4914"/>
      <c r="H127" s="4928" t="s">
        <v>6754</v>
      </c>
      <c r="J127" s="142" t="s">
        <v>748</v>
      </c>
      <c r="K127" s="142"/>
      <c r="L127" s="223"/>
    </row>
    <row r="128" spans="1:28" ht="13.8">
      <c r="C128" s="715" t="s">
        <v>751</v>
      </c>
      <c r="D128" s="1304" t="s">
        <v>2995</v>
      </c>
      <c r="F128" s="715" t="s">
        <v>6752</v>
      </c>
      <c r="H128" s="4929"/>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3402</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4058</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3962</v>
      </c>
      <c r="D303" s="4908" t="s">
        <v>3963</v>
      </c>
      <c r="E303" s="4908" t="s">
        <v>3964</v>
      </c>
      <c r="F303" s="4908" t="s">
        <v>3965</v>
      </c>
      <c r="G303" s="4905" t="s">
        <v>3962</v>
      </c>
      <c r="H303" s="4908" t="s">
        <v>3963</v>
      </c>
      <c r="I303" s="4908" t="s">
        <v>3964</v>
      </c>
      <c r="J303" s="4908" t="s">
        <v>3965</v>
      </c>
      <c r="L303" s="4905" t="s">
        <v>3962</v>
      </c>
      <c r="M303" s="4908" t="s">
        <v>3963</v>
      </c>
      <c r="N303" s="4908" t="s">
        <v>3964</v>
      </c>
      <c r="O303" s="4908" t="s">
        <v>3965</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Jonesboro, Westchester Village,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3290</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3267</v>
      </c>
      <c r="G9" s="1819"/>
      <c r="H9" s="1819"/>
      <c r="I9" s="2543">
        <f>'Part III-A-Uses of Funds'!$J$191</f>
        <v>1225000</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2023PA-023</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Westchester Ventures, LLC</v>
      </c>
      <c r="G14" s="1819"/>
      <c r="H14" s="1819"/>
      <c r="I14" s="1819" t="s">
        <v>1670</v>
      </c>
      <c r="J14" s="1819" t="str">
        <f>'Part I-Project Identification'!J15</f>
        <v>Philip Searles</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6784676861</v>
      </c>
      <c r="G15" s="2628"/>
      <c r="H15" s="2628"/>
      <c r="I15" s="2623" t="s">
        <v>1598</v>
      </c>
      <c r="J15" s="2629">
        <f>'Part I-Project Identification'!J16</f>
        <v>0</v>
      </c>
      <c r="M15" s="2623" t="s">
        <v>1600</v>
      </c>
      <c r="N15" s="2628">
        <f>'Part I-Project Identification'!N16</f>
        <v>6784676861</v>
      </c>
      <c r="O15" s="2628"/>
      <c r="P15" s="2628"/>
      <c r="Q15" s="357"/>
      <c r="R15" s="357"/>
      <c r="S15" s="357"/>
      <c r="V15" s="2630"/>
      <c r="W15" s="2630"/>
      <c r="X15" s="2630"/>
      <c r="Z15" s="1622">
        <v>18</v>
      </c>
    </row>
    <row r="16" spans="1:26" s="1819" customFormat="1" ht="13.8">
      <c r="B16" s="2623" t="s">
        <v>1842</v>
      </c>
      <c r="F16" s="2631" t="str">
        <f>'Part I-Project Identification'!F17</f>
        <v>philipsearles@gmail.com</v>
      </c>
      <c r="G16" s="2631"/>
      <c r="H16" s="2631"/>
      <c r="I16" s="2631"/>
      <c r="J16" s="2631"/>
      <c r="K16" s="2631"/>
      <c r="L16" s="2631"/>
      <c r="M16" s="2623" t="s">
        <v>1838</v>
      </c>
      <c r="N16" s="2628">
        <f>'Part I-Project Identification'!N17</f>
        <v>6784676861</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f>'Part I-Project Identification'!F19</f>
        <v>0</v>
      </c>
      <c r="G18" s="1819"/>
      <c r="H18" s="1819"/>
      <c r="I18" s="1819" t="s">
        <v>1670</v>
      </c>
      <c r="J18" s="1819">
        <f>'Part I-Project Identification'!J19</f>
        <v>0</v>
      </c>
      <c r="K18" s="1819"/>
      <c r="L18" s="1819"/>
      <c r="M18" s="2623" t="s">
        <v>1839</v>
      </c>
      <c r="N18" s="1819">
        <f>'Part I-Project Identification'!N19</f>
        <v>0</v>
      </c>
      <c r="O18" s="1819"/>
      <c r="P18" s="1819"/>
    </row>
    <row r="19" spans="1:26" s="1819" customFormat="1" ht="12.75" customHeight="1">
      <c r="B19" s="2623" t="s">
        <v>1599</v>
      </c>
      <c r="F19" s="2628">
        <f>'Part I-Project Identification'!F20</f>
        <v>0</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8">
      <c r="B20" s="2623" t="s">
        <v>1842</v>
      </c>
      <c r="F20" s="2631">
        <f>'Part I-Project Identification'!F21</f>
        <v>0</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Westchester Village</v>
      </c>
      <c r="G24" s="1819"/>
      <c r="H24" s="1819"/>
      <c r="I24" s="1819"/>
      <c r="J24" s="1819"/>
      <c r="K24" s="1819"/>
      <c r="L24" s="1819"/>
      <c r="M24" s="2623" t="s">
        <v>425</v>
      </c>
      <c r="N24" s="1819"/>
      <c r="O24" s="1819"/>
      <c r="P24" s="2545" t="str">
        <f>'Part I-Project Identification'!P25</f>
        <v>Yes</v>
      </c>
    </row>
    <row r="25" spans="1:26" ht="13.8">
      <c r="A25" s="2615"/>
      <c r="B25" s="1819" t="s">
        <v>575</v>
      </c>
      <c r="C25" s="1819"/>
      <c r="D25" s="1819"/>
      <c r="E25" s="1819"/>
      <c r="F25" s="1819" t="str">
        <f>'Part I-Project Identification'!F26</f>
        <v>Jonesboro</v>
      </c>
      <c r="G25" s="1819"/>
      <c r="H25" s="1819"/>
      <c r="I25" s="2632" t="s">
        <v>576</v>
      </c>
      <c r="J25" s="1819" t="str">
        <f>'Part I-Project Identification'!J26</f>
        <v>Clayton</v>
      </c>
      <c r="K25" s="1819"/>
      <c r="L25" s="1819"/>
      <c r="M25" s="2623" t="s">
        <v>426</v>
      </c>
      <c r="N25" s="1819"/>
      <c r="O25" s="1819"/>
      <c r="P25" s="2545" t="str">
        <f>'Part I-Project Identification'!P26</f>
        <v>No</v>
      </c>
    </row>
    <row r="26" spans="1:26" ht="13.8">
      <c r="A26" s="2615"/>
      <c r="B26" s="1819" t="s">
        <v>3907</v>
      </c>
      <c r="C26" s="2633"/>
      <c r="D26" s="1681"/>
      <c r="E26" s="1681"/>
      <c r="F26" s="1819" t="str">
        <f>'Part I-Project Identification'!F27</f>
        <v>Unincorporated County</v>
      </c>
      <c r="G26" s="1819"/>
      <c r="H26" s="1819"/>
      <c r="I26" s="1622"/>
      <c r="J26" s="379" t="s">
        <v>6723</v>
      </c>
      <c r="K26" s="1622"/>
      <c r="L26" s="1819"/>
      <c r="M26" s="2623" t="s">
        <v>6666</v>
      </c>
      <c r="N26" s="1819"/>
      <c r="O26" s="2634">
        <f>'Part I-Project Identification'!O27</f>
        <v>4.3600000000000003</v>
      </c>
      <c r="P26" s="2634"/>
    </row>
    <row r="27" spans="1:26" ht="13.8">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6654</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6653</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3933</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Westchester Village, Jonesboro, Clayton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8">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8">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8">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8">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6710</v>
      </c>
      <c r="N57" s="2641"/>
      <c r="O57" s="2641"/>
      <c r="P57" s="2641"/>
      <c r="Q57" s="2641"/>
    </row>
    <row r="58" spans="1:17" ht="13.8">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8">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8">
      <c r="A60" s="2615"/>
      <c r="B60" s="2641" t="s">
        <v>3879</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7.6">
      <c r="A65" s="1819"/>
      <c r="B65" s="1819" t="s">
        <v>1486</v>
      </c>
      <c r="C65" s="1819"/>
      <c r="D65" s="1819"/>
      <c r="E65" s="1819"/>
      <c r="F65" s="1819"/>
      <c r="G65" s="1819"/>
      <c r="H65" s="2645" t="str">
        <f>'Part II-Sources of Funds'!H22</f>
        <v>Sterling Bank</v>
      </c>
      <c r="I65" s="2645"/>
      <c r="J65" s="2645"/>
      <c r="K65" s="2645"/>
      <c r="L65" s="2547">
        <f>'Part II-Sources of Funds'!L22</f>
        <v>13199307</v>
      </c>
      <c r="M65" s="2547"/>
      <c r="N65" s="2548">
        <f>'Part II-Sources of Funds'!N22</f>
        <v>7.7499999999999999E-2</v>
      </c>
      <c r="O65" s="2548"/>
      <c r="P65" s="2549">
        <f>'Part II-Sources of Funds'!P22</f>
        <v>24</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41.4">
      <c r="A71" s="1819"/>
      <c r="B71" s="1819" t="s">
        <v>746</v>
      </c>
      <c r="C71" s="1819"/>
      <c r="D71" s="1819"/>
      <c r="E71" s="1819"/>
      <c r="F71" s="2641"/>
      <c r="G71" s="2641"/>
      <c r="H71" s="2645" t="str">
        <f>'Part II-Sources of Funds'!H28</f>
        <v>Affordable Equity Partners</v>
      </c>
      <c r="I71" s="2645"/>
      <c r="J71" s="2645"/>
      <c r="K71" s="2645"/>
      <c r="L71" s="2547">
        <f>'Part II-Sources of Funds'!L28</f>
        <v>2106790</v>
      </c>
      <c r="M71" s="2547"/>
      <c r="N71" s="1819"/>
      <c r="O71" s="2641"/>
      <c r="P71" s="2641"/>
      <c r="Q71" s="1819"/>
    </row>
    <row r="72" spans="1:17" ht="41.4">
      <c r="A72" s="1819"/>
      <c r="B72" s="1819" t="s">
        <v>747</v>
      </c>
      <c r="C72" s="1819"/>
      <c r="D72" s="1819"/>
      <c r="E72" s="1819"/>
      <c r="F72" s="2641"/>
      <c r="G72" s="2641"/>
      <c r="H72" s="2645" t="str">
        <f>'Part II-Sources of Funds'!H29</f>
        <v>Affordable Equity Partners</v>
      </c>
      <c r="I72" s="2645"/>
      <c r="J72" s="2645"/>
      <c r="K72" s="2645"/>
      <c r="L72" s="2547">
        <f>'Part II-Sources of Funds'!L29</f>
        <v>1004500</v>
      </c>
      <c r="M72" s="2547"/>
      <c r="N72" s="1819"/>
      <c r="O72" s="2641"/>
      <c r="P72" s="2641"/>
      <c r="Q72" s="1819"/>
    </row>
    <row r="73" spans="1:17" ht="27.6">
      <c r="A73" s="1819"/>
      <c r="B73" s="1819" t="s">
        <v>232</v>
      </c>
      <c r="C73" s="1819"/>
      <c r="D73" s="2645" t="str">
        <f>'Part II-Sources of Funds'!D30</f>
        <v>Partner Equity</v>
      </c>
      <c r="E73" s="2645"/>
      <c r="F73" s="2645"/>
      <c r="G73" s="2645"/>
      <c r="H73" s="2645">
        <f>'Part II-Sources of Funds'!H30</f>
        <v>0</v>
      </c>
      <c r="I73" s="2645"/>
      <c r="J73" s="2645"/>
      <c r="K73" s="2645"/>
      <c r="L73" s="2547">
        <f>'Part II-Sources of Funds'!L30</f>
        <v>110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16310707</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16310707</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27.6">
      <c r="A83" s="1819"/>
      <c r="B83" s="1819" t="s">
        <v>2402</v>
      </c>
      <c r="C83" s="1819"/>
      <c r="D83" s="1819"/>
      <c r="E83" s="2645" t="str">
        <f>'Part II-Sources of Funds'!E40</f>
        <v>Sterling Bank</v>
      </c>
      <c r="F83" s="2645"/>
      <c r="G83" s="2645"/>
      <c r="H83" s="2645"/>
      <c r="I83" s="2648">
        <f>'Part II-Sources of Funds'!I40</f>
        <v>2125000</v>
      </c>
      <c r="J83" s="1819"/>
      <c r="K83" s="2649">
        <f>'Part II-Sources of Funds'!K40</f>
        <v>7.0000000000000007E-2</v>
      </c>
      <c r="L83" s="1622">
        <f>'Part II-Sources of Funds'!L40</f>
        <v>18</v>
      </c>
      <c r="M83" s="1622">
        <f>'Part II-Sources of Funds'!M40</f>
        <v>40</v>
      </c>
      <c r="N83" s="1819" t="str">
        <f>'Part II-Sources of Funds'!N40</f>
        <v>Amortizing</v>
      </c>
      <c r="O83" s="1819"/>
      <c r="P83" s="2551">
        <f>'Part II-Sources of Funds'!P40</f>
        <v>158464.97631648468</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41.4">
      <c r="A88" s="1819"/>
      <c r="B88" s="1819" t="s">
        <v>220</v>
      </c>
      <c r="C88" s="1819"/>
      <c r="D88" s="2650">
        <f>'Part II-Sources of Funds'!D45</f>
        <v>3.5880754716981135E-2</v>
      </c>
      <c r="E88" s="2645" t="str">
        <f>'Part II-Sources of Funds'!E45</f>
        <v>Westchester Ventures, LLC</v>
      </c>
      <c r="F88" s="2645"/>
      <c r="G88" s="2645"/>
      <c r="H88" s="2645"/>
      <c r="I88" s="2648">
        <f>'Part II-Sources of Funds'!I45</f>
        <v>47542</v>
      </c>
      <c r="J88" s="1819"/>
      <c r="K88" s="2649">
        <f>'Part II-Sources of Funds'!K45</f>
        <v>0</v>
      </c>
      <c r="L88" s="1622">
        <f>'Part II-Sources of Funds'!L45</f>
        <v>15</v>
      </c>
      <c r="M88" s="1622">
        <f>'Part II-Sources of Funds'!M45</f>
        <v>0</v>
      </c>
      <c r="N88" s="1819" t="str">
        <f>'Part II-Sources of Funds'!N45</f>
        <v>Cash Flow</v>
      </c>
      <c r="O88" s="1819"/>
      <c r="P88" s="2551">
        <f>'Part II-Sources of Funds'!P45</f>
        <v>0</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f>'Part II-Sources of Funds'!F47</f>
        <v>560731.72062242427</v>
      </c>
      <c r="G90" s="2641"/>
      <c r="H90" s="2654" t="s">
        <v>3405</v>
      </c>
      <c r="I90" s="2653">
        <f>'Part II-Sources of Funds'!I47</f>
        <v>47542</v>
      </c>
      <c r="J90" s="2641"/>
      <c r="K90" s="2654" t="s">
        <v>3407</v>
      </c>
      <c r="L90" s="2655">
        <f>'Part II-Sources of Funds'!L47</f>
        <v>8.4785643921173853E-2</v>
      </c>
      <c r="M90" s="2655"/>
      <c r="N90" s="2551" t="s">
        <v>3848</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41.4">
      <c r="A94" s="1819"/>
      <c r="B94" s="1819" t="s">
        <v>746</v>
      </c>
      <c r="C94" s="1819"/>
      <c r="D94" s="1819"/>
      <c r="E94" s="2645" t="str">
        <f>'Part II-Sources of Funds'!E51</f>
        <v>Affordable Equity Partners</v>
      </c>
      <c r="F94" s="2645"/>
      <c r="G94" s="2645"/>
      <c r="H94" s="2645"/>
      <c r="I94" s="2648">
        <f>'Part II-Sources of Funds'!I51</f>
        <v>10533947</v>
      </c>
      <c r="J94" s="1819"/>
      <c r="K94" s="2641"/>
      <c r="L94" s="2659">
        <f>'Part II-Sources of Funds'!L51</f>
        <v>10535000</v>
      </c>
      <c r="M94" s="2659"/>
      <c r="N94" s="2660">
        <f>I94-L94</f>
        <v>-1053</v>
      </c>
      <c r="O94" s="2660"/>
      <c r="P94" s="2661">
        <f>I94/I104</f>
        <v>0.59416144046575636</v>
      </c>
      <c r="Q94" s="1819"/>
    </row>
    <row r="95" spans="1:17" ht="41.4">
      <c r="A95" s="1819"/>
      <c r="B95" s="1819" t="s">
        <v>747</v>
      </c>
      <c r="C95" s="1819"/>
      <c r="D95" s="1819"/>
      <c r="E95" s="2645" t="str">
        <f>'Part II-Sources of Funds'!E52</f>
        <v>Affordable Equity Partners</v>
      </c>
      <c r="F95" s="2645"/>
      <c r="G95" s="2645"/>
      <c r="H95" s="2645"/>
      <c r="I95" s="2648">
        <f>'Part II-Sources of Funds'!I52</f>
        <v>5022500</v>
      </c>
      <c r="J95" s="1819"/>
      <c r="K95" s="2641"/>
      <c r="L95" s="2659">
        <f>'Part II-Sources of Funds'!L52</f>
        <v>5022500</v>
      </c>
      <c r="M95" s="2659"/>
      <c r="N95" s="2660">
        <f>I95-L95</f>
        <v>0</v>
      </c>
      <c r="O95" s="2660"/>
      <c r="P95" s="2661">
        <f>I95/I104</f>
        <v>0.28329132800262441</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0.87745276846838083</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7.6">
      <c r="A100" s="1819"/>
      <c r="B100" s="1819" t="s">
        <v>690</v>
      </c>
      <c r="C100" s="2645" t="str">
        <f>'Part II-Sources of Funds'!C57</f>
        <v>Partner Equity</v>
      </c>
      <c r="D100" s="2645"/>
      <c r="E100" s="2645">
        <f>'Part II-Sources of Funds'!E57</f>
        <v>0</v>
      </c>
      <c r="F100" s="2645"/>
      <c r="G100" s="2645"/>
      <c r="H100" s="2645"/>
      <c r="I100" s="2648">
        <f>'Part II-Sources of Funds'!I57</f>
        <v>110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17729099</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17729099</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3945</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Westchester Village,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12000</v>
      </c>
      <c r="H122" s="2547"/>
      <c r="I122" s="1819"/>
      <c r="J122" s="2547">
        <f>'Part III-A-Uses of Funds'!J9</f>
        <v>12000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8000</v>
      </c>
      <c r="H123" s="2547"/>
      <c r="I123" s="1819"/>
      <c r="J123" s="2547">
        <f>'Part III-A-Uses of Funds'!J10</f>
        <v>8000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12000</v>
      </c>
      <c r="H124" s="2547"/>
      <c r="I124" s="1819"/>
      <c r="J124" s="2547">
        <f>'Part III-A-Uses of Funds'!J11</f>
        <v>12000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12500</v>
      </c>
      <c r="H125" s="2547"/>
      <c r="I125" s="1819"/>
      <c r="J125" s="2547">
        <f>'Part III-A-Uses of Funds'!J12</f>
        <v>12500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20000</v>
      </c>
      <c r="H126" s="2547"/>
      <c r="I126" s="1819"/>
      <c r="J126" s="2547">
        <f>'Part III-A-Uses of Funds'!J13</f>
        <v>20000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64500</v>
      </c>
      <c r="H131" s="2547"/>
      <c r="I131" s="1819"/>
      <c r="J131" s="2547">
        <f>SUM(J122:J130)</f>
        <v>64500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321100.91743119265</v>
      </c>
      <c r="G133" s="2547">
        <f>'Part III-A-Uses of Funds'!G20</f>
        <v>1400000</v>
      </c>
      <c r="H133" s="2547"/>
      <c r="I133" s="1819"/>
      <c r="J133" s="2545"/>
      <c r="K133" s="2547"/>
      <c r="L133" s="2545"/>
      <c r="M133" s="2545"/>
      <c r="N133" s="2547"/>
      <c r="O133" s="1819"/>
      <c r="P133" s="2545"/>
      <c r="Q133" s="2547"/>
      <c r="R133" s="1819"/>
      <c r="S133" s="2547">
        <f>'Part III-A-Uses of Funds'!S20</f>
        <v>1400000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1400000</v>
      </c>
      <c r="H137" s="2547"/>
      <c r="I137" s="1819"/>
      <c r="J137" s="2545"/>
      <c r="K137" s="2547"/>
      <c r="L137" s="2545"/>
      <c r="M137" s="2547">
        <f>SUM(M135:M136)</f>
        <v>0</v>
      </c>
      <c r="N137" s="2547"/>
      <c r="O137" s="1819"/>
      <c r="P137" s="2545"/>
      <c r="Q137" s="2547"/>
      <c r="R137" s="1819"/>
      <c r="S137" s="2547">
        <f>SUM(S133:S136)</f>
        <v>1400000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552752.29357798165</v>
      </c>
      <c r="G139" s="2547">
        <f>'Part III-A-Uses of Funds'!G26</f>
        <v>2410000</v>
      </c>
      <c r="H139" s="2547"/>
      <c r="I139" s="1819"/>
      <c r="J139" s="2547">
        <f>'Part III-A-Uses of Funds'!J26</f>
        <v>2289500</v>
      </c>
      <c r="K139" s="2547"/>
      <c r="L139" s="2545"/>
      <c r="M139" s="2547">
        <f>'Part III-A-Uses of Funds'!M26</f>
        <v>0</v>
      </c>
      <c r="N139" s="2547"/>
      <c r="O139" s="1819"/>
      <c r="P139" s="2547">
        <f>'Part III-A-Uses of Funds'!P26</f>
        <v>0</v>
      </c>
      <c r="Q139" s="2547"/>
      <c r="R139" s="1819"/>
      <c r="S139" s="2547">
        <f>'Part III-A-Uses of Funds'!S26</f>
        <v>120500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2410000</v>
      </c>
      <c r="H141" s="2547"/>
      <c r="I141" s="1819"/>
      <c r="J141" s="2547">
        <f>SUM(J139:J140)</f>
        <v>2289500</v>
      </c>
      <c r="K141" s="2547"/>
      <c r="L141" s="2545"/>
      <c r="M141" s="2547">
        <f>M139</f>
        <v>0</v>
      </c>
      <c r="N141" s="2547"/>
      <c r="O141" s="1819"/>
      <c r="P141" s="2547">
        <f>P139</f>
        <v>0</v>
      </c>
      <c r="Q141" s="2547"/>
      <c r="R141" s="1819"/>
      <c r="S141" s="2547">
        <f>SUM(S139:S140)</f>
        <v>120500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7936000</v>
      </c>
      <c r="H143" s="2547"/>
      <c r="I143" s="1819"/>
      <c r="J143" s="2547">
        <f>'Part III-A-Uses of Funds'!J30</f>
        <v>7936000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7936000</v>
      </c>
      <c r="H149" s="2547"/>
      <c r="I149" s="1819"/>
      <c r="J149" s="2547">
        <f>SUM(J143:J148)</f>
        <v>7936000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620760</v>
      </c>
      <c r="F151" s="2676">
        <f>IF(($G$24+$G$32)=0,0,G151/($G$24+$G$32))</f>
        <v>0</v>
      </c>
      <c r="G151" s="2547">
        <f>'Part III-A-Uses of Funds'!G38</f>
        <v>620760</v>
      </c>
      <c r="H151" s="2547"/>
      <c r="I151" s="1819"/>
      <c r="J151" s="2547">
        <f>'Part III-A-Uses of Funds'!J38</f>
        <v>620760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206920</v>
      </c>
      <c r="F152" s="2676">
        <f>IF(($G$24+$G$32)=0,0,G152/($G$24+$G$32))</f>
        <v>0</v>
      </c>
      <c r="G152" s="2547">
        <f>'Part III-A-Uses of Funds'!G39</f>
        <v>206920</v>
      </c>
      <c r="H152" s="2547"/>
      <c r="I152" s="378"/>
      <c r="J152" s="2547">
        <f>'Part III-A-Uses of Funds'!J39</f>
        <v>206920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620760</v>
      </c>
      <c r="F153" s="2676">
        <f>IF(($G$24+$G$32)=0,0,G153/($G$24+$G$32))</f>
        <v>0</v>
      </c>
      <c r="G153" s="2547">
        <f>'Part III-A-Uses of Funds'!G40</f>
        <v>620760</v>
      </c>
      <c r="H153" s="2547"/>
      <c r="I153" s="378"/>
      <c r="J153" s="2547">
        <f>'Part III-A-Uses of Funds'!J40</f>
        <v>620760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1448440</v>
      </c>
      <c r="F154" s="2669" t="s">
        <v>184</v>
      </c>
      <c r="G154" s="2547">
        <f>SUM(G151:G153)</f>
        <v>1448440</v>
      </c>
      <c r="H154" s="2547"/>
      <c r="I154" s="1819"/>
      <c r="J154" s="2547">
        <f>SUM(J151:J153)</f>
        <v>1448440</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6490</v>
      </c>
      <c r="D156" s="1819"/>
      <c r="E156" s="2615"/>
      <c r="F156" s="2615"/>
      <c r="G156" s="2679">
        <f>G141+G149+G154</f>
        <v>11794440</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235888.8</v>
      </c>
      <c r="G161" s="2682" t="s">
        <v>6957</v>
      </c>
      <c r="H161" s="1819"/>
      <c r="I161" s="1819"/>
      <c r="J161" s="2558">
        <f>C162/'Part V-Revenues &amp; Expenses'!$P$67</f>
        <v>235888.8</v>
      </c>
      <c r="K161" s="2558"/>
      <c r="L161" s="1819"/>
      <c r="M161" s="2683" t="s">
        <v>6476</v>
      </c>
      <c r="N161" s="2683"/>
      <c r="O161" s="1819"/>
      <c r="P161" s="2558">
        <f>C162/'Part V-Revenues &amp; Expenses'!$K$175</f>
        <v>210.61500000000001</v>
      </c>
      <c r="Q161" s="2558"/>
      <c r="R161" s="1819"/>
      <c r="S161" s="2684" t="s">
        <v>6478</v>
      </c>
      <c r="T161" s="2684"/>
      <c r="U161" s="1819"/>
      <c r="V161" s="2665"/>
    </row>
    <row r="162" spans="1:22" ht="13.8">
      <c r="A162" s="1819"/>
      <c r="B162" s="2685" t="s">
        <v>6489</v>
      </c>
      <c r="C162" s="2686">
        <f>G141+G149+G154+G159</f>
        <v>11794440</v>
      </c>
      <c r="D162" s="1819"/>
      <c r="E162" s="2616"/>
      <c r="F162" s="2557">
        <f>C162/'Part V-Revenues &amp; Expenses'!$P$166</f>
        <v>268.05545454545455</v>
      </c>
      <c r="G162" s="2684" t="s">
        <v>6958</v>
      </c>
      <c r="H162" s="1819"/>
      <c r="I162" s="1819"/>
      <c r="J162" s="2558">
        <f>C162/'Part V-Revenues &amp; Expenses'!$P$168</f>
        <v>268.05545454545455</v>
      </c>
      <c r="K162" s="2558"/>
      <c r="L162" s="1819"/>
      <c r="M162" s="2684" t="s">
        <v>6477</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589722</v>
      </c>
      <c r="F168" s="2650">
        <f>G168/C162</f>
        <v>0.05</v>
      </c>
      <c r="G168" s="2547">
        <f>'Part III-A-Uses of Funds'!G55</f>
        <v>589722</v>
      </c>
      <c r="H168" s="2547"/>
      <c r="I168" s="1819"/>
      <c r="J168" s="2547">
        <f>'Part III-A-Uses of Funds'!J55</f>
        <v>589722</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247683.24</v>
      </c>
      <c r="G170" s="2682" t="s">
        <v>6957</v>
      </c>
      <c r="H170" s="1819"/>
      <c r="I170" s="1819"/>
      <c r="J170" s="2558">
        <f>B171/'Part V-Revenues &amp; Expenses'!$P$67</f>
        <v>247683.24</v>
      </c>
      <c r="K170" s="2558"/>
      <c r="L170" s="1819"/>
      <c r="M170" s="2683" t="s">
        <v>6476</v>
      </c>
      <c r="N170" s="2683"/>
      <c r="O170" s="1819"/>
      <c r="P170" s="2558">
        <f>B171/'Part V-Revenues &amp; Expenses'!$K$175</f>
        <v>221.14574999999999</v>
      </c>
      <c r="Q170" s="2558"/>
      <c r="R170" s="1819"/>
      <c r="S170" s="2684" t="s">
        <v>6478</v>
      </c>
      <c r="T170" s="2684"/>
      <c r="U170" s="1819"/>
      <c r="V170" s="2665"/>
    </row>
    <row r="171" spans="1:22" ht="13.8">
      <c r="A171" s="1819"/>
      <c r="B171" s="2686">
        <f>C162+G168</f>
        <v>12384162</v>
      </c>
      <c r="C171" s="2686"/>
      <c r="D171" s="1819"/>
      <c r="E171" s="2616"/>
      <c r="F171" s="2557">
        <f>B171/'Part V-Revenues &amp; Expenses'!$P$166</f>
        <v>281.4582272727273</v>
      </c>
      <c r="G171" s="2684" t="s">
        <v>6958</v>
      </c>
      <c r="H171" s="1819"/>
      <c r="I171" s="1819"/>
      <c r="J171" s="2558">
        <f>B171/'Part V-Revenues &amp; Expenses'!$P$168</f>
        <v>281.4582272727273</v>
      </c>
      <c r="K171" s="2558"/>
      <c r="L171" s="1819"/>
      <c r="M171" s="2684" t="s">
        <v>6477</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131994</v>
      </c>
      <c r="H176" s="2547"/>
      <c r="I176" s="1819"/>
      <c r="J176" s="2547">
        <f>'Part III-A-Uses of Funds'!J63</f>
        <v>131994</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838770</v>
      </c>
      <c r="H177" s="2547"/>
      <c r="I177" s="1819"/>
      <c r="J177" s="2547">
        <f>'Part III-A-Uses of Funds'!J64</f>
        <v>755511</v>
      </c>
      <c r="K177" s="2547"/>
      <c r="L177" s="2545"/>
      <c r="M177" s="2547">
        <f>'Part III-A-Uses of Funds'!M64</f>
        <v>0</v>
      </c>
      <c r="N177" s="2547"/>
      <c r="O177" s="1819"/>
      <c r="P177" s="2547">
        <f>'Part III-A-Uses of Funds'!P64</f>
        <v>0</v>
      </c>
      <c r="Q177" s="2547"/>
      <c r="R177" s="1819"/>
      <c r="S177" s="2547">
        <f>'Part III-A-Uses of Funds'!S64</f>
        <v>83259</v>
      </c>
      <c r="T177" s="2547"/>
      <c r="U177" s="1819"/>
      <c r="V177" s="2665"/>
    </row>
    <row r="178" spans="1:22" ht="13.8">
      <c r="A178" s="1819"/>
      <c r="B178" s="1819" t="s">
        <v>2168</v>
      </c>
      <c r="C178" s="1819"/>
      <c r="D178" s="1819"/>
      <c r="E178" s="1819"/>
      <c r="F178" s="1819"/>
      <c r="G178" s="2547">
        <f>'Part III-A-Uses of Funds'!G65</f>
        <v>45000</v>
      </c>
      <c r="H178" s="2547"/>
      <c r="I178" s="1819"/>
      <c r="J178" s="2547">
        <f>'Part III-A-Uses of Funds'!J65</f>
        <v>45000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25000</v>
      </c>
      <c r="H179" s="2547"/>
      <c r="I179" s="1819"/>
      <c r="J179" s="2547">
        <f>'Part III-A-Uses of Funds'!J66</f>
        <v>25000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15000</v>
      </c>
      <c r="H180" s="2547"/>
      <c r="I180" s="1819"/>
      <c r="J180" s="2547">
        <f>'Part III-A-Uses of Funds'!J67</f>
        <v>15000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30000</v>
      </c>
      <c r="H181" s="2547"/>
      <c r="I181" s="1819"/>
      <c r="J181" s="2547">
        <f>'Part III-A-Uses of Funds'!J68</f>
        <v>30000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1135764</v>
      </c>
      <c r="H186" s="2547"/>
      <c r="I186" s="1819"/>
      <c r="J186" s="2547">
        <f>SUM(J174:J185)</f>
        <v>1052505</v>
      </c>
      <c r="K186" s="2547"/>
      <c r="L186" s="2545"/>
      <c r="M186" s="2547">
        <f>SUM(M174:M185)</f>
        <v>0</v>
      </c>
      <c r="N186" s="2547"/>
      <c r="O186" s="1819"/>
      <c r="P186" s="2547">
        <f>SUM(P174:P185)</f>
        <v>0</v>
      </c>
      <c r="Q186" s="2547"/>
      <c r="R186" s="1819"/>
      <c r="S186" s="2547">
        <f>SUM(S174:S185)</f>
        <v>83259</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150000</v>
      </c>
      <c r="H188" s="2547"/>
      <c r="I188" s="1819"/>
      <c r="J188" s="2547">
        <f>'Part III-A-Uses of Funds'!J75</f>
        <v>150000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40000</v>
      </c>
      <c r="H189" s="2547"/>
      <c r="I189" s="1819"/>
      <c r="J189" s="2547">
        <f>'Part III-A-Uses of Funds'!J76</f>
        <v>40000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15000</v>
      </c>
      <c r="H191" s="2547"/>
      <c r="I191" s="1819"/>
      <c r="J191" s="2547">
        <f>'Part III-A-Uses of Funds'!J78</f>
        <v>15000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15000</v>
      </c>
      <c r="H192" s="2547"/>
      <c r="I192" s="1819"/>
      <c r="J192" s="2547">
        <f>'Part III-A-Uses of Funds'!J79</f>
        <v>15000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45000</v>
      </c>
      <c r="H193" s="2547"/>
      <c r="I193" s="1819"/>
      <c r="J193" s="2547">
        <f>'Part III-A-Uses of Funds'!J80</f>
        <v>45000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115000</v>
      </c>
      <c r="H194" s="2547"/>
      <c r="I194" s="1819"/>
      <c r="J194" s="2547">
        <f>'Part III-A-Uses of Funds'!J81</f>
        <v>115000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75000</v>
      </c>
      <c r="H195" s="2547"/>
      <c r="I195" s="1819"/>
      <c r="J195" s="2547">
        <f>'Part III-A-Uses of Funds'!J82</f>
        <v>55000</v>
      </c>
      <c r="K195" s="2547"/>
      <c r="L195" s="2545"/>
      <c r="M195" s="2547">
        <f>'Part III-A-Uses of Funds'!M82</f>
        <v>0</v>
      </c>
      <c r="N195" s="2547"/>
      <c r="O195" s="1819"/>
      <c r="P195" s="2547">
        <f>'Part III-A-Uses of Funds'!P82</f>
        <v>0</v>
      </c>
      <c r="Q195" s="2547"/>
      <c r="R195" s="1819"/>
      <c r="S195" s="2547">
        <f>'Part III-A-Uses of Funds'!S82</f>
        <v>20000</v>
      </c>
      <c r="T195" s="2547"/>
      <c r="U195" s="1819"/>
      <c r="V195" s="2665"/>
    </row>
    <row r="196" spans="1:22" ht="13.8">
      <c r="A196" s="1819"/>
      <c r="B196" s="1819" t="s">
        <v>1899</v>
      </c>
      <c r="C196" s="1819"/>
      <c r="D196" s="1819"/>
      <c r="E196" s="1819"/>
      <c r="F196" s="1819"/>
      <c r="G196" s="2547">
        <f>'Part III-A-Uses of Funds'!G83</f>
        <v>32500</v>
      </c>
      <c r="H196" s="2547"/>
      <c r="I196" s="1819"/>
      <c r="J196" s="2547">
        <f>'Part III-A-Uses of Funds'!J83</f>
        <v>32500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522500</v>
      </c>
      <c r="H199" s="2547"/>
      <c r="I199" s="1819"/>
      <c r="J199" s="2547">
        <f>SUM(J188:J198)</f>
        <v>502500</v>
      </c>
      <c r="K199" s="2547"/>
      <c r="L199" s="2545"/>
      <c r="M199" s="2547">
        <f>SUM(M188:M198)</f>
        <v>0</v>
      </c>
      <c r="N199" s="2547"/>
      <c r="O199" s="1819"/>
      <c r="P199" s="2547">
        <f>SUM(P188:P198)</f>
        <v>0</v>
      </c>
      <c r="Q199" s="2547"/>
      <c r="R199" s="1819"/>
      <c r="S199" s="2547">
        <f>SUM(S188:S198)</f>
        <v>20000</v>
      </c>
      <c r="T199" s="2547"/>
      <c r="U199" s="1819"/>
      <c r="V199" s="2665">
        <f>SUM(V188:V198)</f>
        <v>0</v>
      </c>
    </row>
    <row r="200" spans="1:22" ht="13.8">
      <c r="A200" s="1819"/>
      <c r="B200" s="2614" t="s">
        <v>1193</v>
      </c>
      <c r="C200" s="1819"/>
      <c r="D200" s="2692" t="s">
        <v>3229</v>
      </c>
      <c r="E200" s="2693">
        <f>G205/'Part V-Revenues &amp; Expenses'!$P$67</f>
        <v>4835.62</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69151</v>
      </c>
      <c r="H201" s="2547"/>
      <c r="I201" s="1819"/>
      <c r="J201" s="2547">
        <f>'Part III-A-Uses of Funds'!J88</f>
        <v>69151</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76200</v>
      </c>
      <c r="H202" s="2547"/>
      <c r="I202" s="1819"/>
      <c r="J202" s="2547">
        <f>'Part III-A-Uses of Funds'!J89</f>
        <v>76200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61305</v>
      </c>
      <c r="H203" s="2547"/>
      <c r="I203" s="378"/>
      <c r="J203" s="2547">
        <f>'Part III-A-Uses of Funds'!J90</f>
        <v>61305</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35125</v>
      </c>
      <c r="H204" s="2547"/>
      <c r="I204" s="378"/>
      <c r="J204" s="2547">
        <f>'Part III-A-Uses of Funds'!J91</f>
        <v>35125</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241781</v>
      </c>
      <c r="H205" s="2547"/>
      <c r="I205" s="1819"/>
      <c r="J205" s="2547">
        <f>SUM(J201:J204)</f>
        <v>241781</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21250</v>
      </c>
      <c r="H210" s="2547"/>
      <c r="I210" s="1819"/>
      <c r="J210" s="2547"/>
      <c r="K210" s="2547"/>
      <c r="L210" s="2545"/>
      <c r="M210" s="2547"/>
      <c r="N210" s="2547"/>
      <c r="O210" s="1819"/>
      <c r="P210" s="2547"/>
      <c r="Q210" s="2547"/>
      <c r="R210" s="1819"/>
      <c r="S210" s="2547">
        <f>'Part III-A-Uses of Funds'!S97</f>
        <v>21250</v>
      </c>
      <c r="T210" s="2547"/>
      <c r="U210" s="1819"/>
      <c r="V210" s="2665"/>
    </row>
    <row r="211" spans="1:33" ht="13.8">
      <c r="A211" s="1819"/>
      <c r="B211" s="1819" t="s">
        <v>1199</v>
      </c>
      <c r="C211" s="1819"/>
      <c r="D211" s="1819"/>
      <c r="E211" s="1819"/>
      <c r="F211" s="1819"/>
      <c r="G211" s="2547">
        <f>'Part III-A-Uses of Funds'!G98</f>
        <v>10000</v>
      </c>
      <c r="H211" s="2547"/>
      <c r="I211" s="1819"/>
      <c r="J211" s="2547"/>
      <c r="K211" s="2547"/>
      <c r="L211" s="2545"/>
      <c r="M211" s="2547"/>
      <c r="N211" s="2547"/>
      <c r="O211" s="1819"/>
      <c r="P211" s="2547"/>
      <c r="Q211" s="2547"/>
      <c r="R211" s="1819"/>
      <c r="S211" s="2547">
        <f>'Part III-A-Uses of Funds'!S98</f>
        <v>10000</v>
      </c>
      <c r="T211" s="2547"/>
      <c r="U211" s="1819"/>
      <c r="V211" s="2665"/>
    </row>
    <row r="212" spans="1:33" ht="13.8">
      <c r="A212" s="1819"/>
      <c r="B212" s="1819" t="s">
        <v>1200</v>
      </c>
      <c r="C212" s="1819"/>
      <c r="D212" s="1819"/>
      <c r="E212" s="1819"/>
      <c r="F212" s="1819"/>
      <c r="G212" s="2547">
        <f>'Part III-A-Uses of Funds'!G99</f>
        <v>10000</v>
      </c>
      <c r="H212" s="2547"/>
      <c r="I212" s="1819"/>
      <c r="J212" s="2547"/>
      <c r="K212" s="2547"/>
      <c r="L212" s="2545"/>
      <c r="M212" s="2547"/>
      <c r="N212" s="2547"/>
      <c r="O212" s="1819"/>
      <c r="P212" s="2547"/>
      <c r="Q212" s="2547"/>
      <c r="R212" s="1819"/>
      <c r="S212" s="2547">
        <f>'Part III-A-Uses of Funds'!S99</f>
        <v>10000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41250</v>
      </c>
      <c r="H216" s="2547"/>
      <c r="I216" s="1819"/>
      <c r="J216" s="2547"/>
      <c r="K216" s="2547"/>
      <c r="L216" s="2545"/>
      <c r="M216" s="2547"/>
      <c r="N216" s="2547"/>
      <c r="O216" s="1819"/>
      <c r="P216" s="2547"/>
      <c r="Q216" s="2547"/>
      <c r="R216" s="1819"/>
      <c r="S216" s="2547">
        <f>SUM(S210:S215)</f>
        <v>41250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6646</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50</v>
      </c>
      <c r="AC219" s="1819"/>
      <c r="AD219" s="1819"/>
      <c r="AE219" s="1819"/>
      <c r="AF219" s="1819"/>
      <c r="AG219" s="1819"/>
    </row>
    <row r="220" spans="1:33" ht="13.8">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6708</v>
      </c>
      <c r="Z220" s="2622"/>
      <c r="AA220" s="2622"/>
      <c r="AB220" s="2622"/>
      <c r="AC220" s="1819"/>
      <c r="AD220" s="2701" t="s">
        <v>6709</v>
      </c>
      <c r="AE220" s="1819"/>
      <c r="AF220" s="1819"/>
      <c r="AG220" s="1819"/>
    </row>
    <row r="221" spans="1:33" ht="13.8">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40000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50</v>
      </c>
      <c r="AC226" s="1819"/>
      <c r="AD226" s="2703">
        <f>IF($AD$101="Income Averaging",AB226*'DCA Underwriting Assumptions'!$Q$61,AB226*'DCA Underwriting Assumptions'!$Q$60)</f>
        <v>40000</v>
      </c>
      <c r="AE226" s="1819"/>
      <c r="AF226" s="1819"/>
      <c r="AG226" s="1819"/>
    </row>
    <row r="227" spans="1:33" ht="13.8">
      <c r="A227" s="1819"/>
      <c r="B227" s="1819"/>
      <c r="C227" s="1819"/>
      <c r="D227" s="1819"/>
      <c r="E227" s="1819"/>
      <c r="F227" s="2669" t="s">
        <v>184</v>
      </c>
      <c r="G227" s="2547">
        <f>SUM(G218:G226)</f>
        <v>161000</v>
      </c>
      <c r="H227" s="2547"/>
      <c r="I227" s="1819"/>
      <c r="J227" s="2545"/>
      <c r="K227" s="2545"/>
      <c r="L227" s="2545"/>
      <c r="M227" s="2545"/>
      <c r="N227" s="2545"/>
      <c r="O227" s="1819"/>
      <c r="P227" s="2545"/>
      <c r="Q227" s="2545"/>
      <c r="R227" s="1819"/>
      <c r="S227" s="2547">
        <f>SUM(S218:S226)</f>
        <v>161000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50</v>
      </c>
      <c r="AC228" s="1819"/>
      <c r="AD228" s="2706">
        <f>SUM(AD226:AD227)</f>
        <v>40000</v>
      </c>
      <c r="AE228" s="1819"/>
      <c r="AF228" s="1819"/>
      <c r="AG228" s="1819"/>
    </row>
    <row r="229" spans="1:33" ht="13.8">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6742</v>
      </c>
      <c r="AG233" s="2710"/>
    </row>
    <row r="234" spans="1:33" ht="13.8">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8">
      <c r="A235" s="1819"/>
      <c r="B235" s="1819" t="s">
        <v>1724</v>
      </c>
      <c r="C235" s="1819"/>
      <c r="D235" s="1819"/>
      <c r="E235" s="1819"/>
      <c r="F235" s="2649">
        <f>'Part III-A-Uses of Funds'!F122</f>
        <v>0.20226415094339623</v>
      </c>
      <c r="G235" s="2547">
        <f>'Part III-A-Uses of Funds'!G122</f>
        <v>268000</v>
      </c>
      <c r="H235" s="2547"/>
      <c r="I235" s="1819"/>
      <c r="J235" s="2547">
        <f>'Part III-A-Uses of Funds'!J122</f>
        <v>268000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3412</v>
      </c>
      <c r="C236" s="1819"/>
      <c r="D236" s="1819"/>
      <c r="E236" s="1819"/>
      <c r="F236" s="2564">
        <f>'Part III-A-Uses of Funds'!F123</f>
        <v>268000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7.5471698113207548E-3</v>
      </c>
      <c r="G237" s="2547">
        <f>'Part III-A-Uses of Funds'!G124</f>
        <v>10000</v>
      </c>
      <c r="H237" s="2547"/>
      <c r="I237" s="1819"/>
      <c r="J237" s="2547">
        <f>'Part III-A-Uses of Funds'!J124</f>
        <v>10000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0.79018867924528302</v>
      </c>
      <c r="G239" s="2547">
        <f>'Part III-A-Uses of Funds'!G126</f>
        <v>1047000</v>
      </c>
      <c r="H239" s="2547"/>
      <c r="I239" s="1819"/>
      <c r="J239" s="2547">
        <f>'Part III-A-Uses of Funds'!J126</f>
        <v>1047000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3922</v>
      </c>
      <c r="E240" s="2716">
        <f>'Part III-A-Uses of Funds'!E127</f>
        <v>1375000</v>
      </c>
      <c r="F240" s="2669" t="s">
        <v>184</v>
      </c>
      <c r="G240" s="2547">
        <f>SUM(G235:G239)</f>
        <v>1325000</v>
      </c>
      <c r="H240" s="2547"/>
      <c r="I240" s="1819"/>
      <c r="J240" s="2547">
        <f>SUM(J235:J239)</f>
        <v>1325000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35000</v>
      </c>
      <c r="H242" s="2547"/>
      <c r="I242" s="1819"/>
      <c r="J242" s="2560"/>
      <c r="K242" s="2560"/>
      <c r="L242" s="2560"/>
      <c r="M242" s="2560"/>
      <c r="N242" s="2560"/>
      <c r="O242" s="1819"/>
      <c r="P242" s="2560"/>
      <c r="Q242" s="2560"/>
      <c r="R242" s="1819"/>
      <c r="S242" s="2547">
        <f>'Part III-A-Uses of Funds'!S129</f>
        <v>35000</v>
      </c>
      <c r="T242" s="2547"/>
      <c r="U242" s="1819"/>
      <c r="V242" s="2665"/>
    </row>
    <row r="243" spans="1:22" ht="13.8">
      <c r="A243" s="1819"/>
      <c r="B243" s="1819" t="s">
        <v>1436</v>
      </c>
      <c r="C243" s="1819"/>
      <c r="D243" s="1819"/>
      <c r="E243" s="1819"/>
      <c r="F243" s="2717">
        <f>'Part III-A-Uses of Funds'!F130</f>
        <v>66969.5</v>
      </c>
      <c r="G243" s="2547">
        <f>'Part III-A-Uses of Funds'!G130</f>
        <v>66970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66970</v>
      </c>
      <c r="T243" s="2547"/>
      <c r="U243" s="1819"/>
      <c r="V243" s="2665"/>
    </row>
    <row r="244" spans="1:22" ht="13.8">
      <c r="A244" s="1819"/>
      <c r="B244" s="1819" t="s">
        <v>632</v>
      </c>
      <c r="C244" s="1819"/>
      <c r="D244" s="1819"/>
      <c r="E244" s="1819"/>
      <c r="F244" s="2717">
        <f>'Part III-A-Uses of Funds'!F131</f>
        <v>213171.48815824234</v>
      </c>
      <c r="G244" s="2547">
        <f>'Part III-A-Uses of Funds'!G131</f>
        <v>213172</v>
      </c>
      <c r="H244" s="2547"/>
      <c r="I244" s="1819"/>
      <c r="J244" s="2565" t="str">
        <f>IF(E244&gt;G244,"WARNING! ODR proposed is below minimum - add comment.","")</f>
        <v/>
      </c>
      <c r="K244" s="2560"/>
      <c r="L244" s="2560"/>
      <c r="M244" s="2560"/>
      <c r="N244" s="2560"/>
      <c r="O244" s="1819"/>
      <c r="P244" s="2560"/>
      <c r="Q244" s="2560"/>
      <c r="R244" s="1819"/>
      <c r="S244" s="2547">
        <f>'Part III-A-Uses of Funds'!S131</f>
        <v>213172</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3138</v>
      </c>
      <c r="F246" s="2717">
        <f>'Part III-A-Uses of Funds'!F133</f>
        <v>1700</v>
      </c>
      <c r="G246" s="2547">
        <f>'Part III-A-Uses of Funds'!G133</f>
        <v>85000</v>
      </c>
      <c r="H246" s="2547"/>
      <c r="I246" s="1819"/>
      <c r="J246" s="2547">
        <f>'Part III-A-Uses of Funds'!J133</f>
        <v>85000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Community Improvement Fund</v>
      </c>
      <c r="D247" s="2667"/>
      <c r="E247" s="2667"/>
      <c r="F247" s="2667"/>
      <c r="G247" s="2547">
        <f>'Part III-A-Uses of Funds'!G134</f>
        <v>50000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50000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450142</v>
      </c>
      <c r="H248" s="2547"/>
      <c r="I248" s="1819"/>
      <c r="J248" s="2547">
        <f>SUM(J246:J247)</f>
        <v>85000</v>
      </c>
      <c r="K248" s="2547"/>
      <c r="L248" s="2545"/>
      <c r="M248" s="2547">
        <f>SUM(M246:M247)</f>
        <v>0</v>
      </c>
      <c r="N248" s="2547"/>
      <c r="O248" s="1819"/>
      <c r="P248" s="2547">
        <f>SUM(P246:P247)</f>
        <v>0</v>
      </c>
      <c r="Q248" s="2547"/>
      <c r="R248" s="1819"/>
      <c r="S248" s="2547">
        <f>SUM(S242:S247)</f>
        <v>365142</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6961</v>
      </c>
      <c r="C259" s="1819"/>
      <c r="D259" s="1819"/>
      <c r="E259" s="2670"/>
      <c r="F259" s="2722"/>
      <c r="G259" s="2567">
        <f>G131+G137+G141+G149+G154+G159+G168+G186+G199+G205+G216+G227+G233+G240+G248+G257</f>
        <v>17729099</v>
      </c>
      <c r="H259" s="2567"/>
      <c r="I259" s="1819"/>
      <c r="J259" s="2567">
        <f>J131+J137+J141+J149+J154+J159+J168+J186+J199+J205+J216+J227+J233+J240+J248+J257</f>
        <v>15534948</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2194151</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6962</v>
      </c>
      <c r="C261" s="2681"/>
      <c r="D261" s="2568">
        <f>IF('Part V-Revenues &amp; Expenses'!$P$67=0,0,G259/'Part V-Revenues &amp; Expenses'!$P$67)</f>
        <v>354581.98</v>
      </c>
      <c r="E261" s="2568"/>
      <c r="F261" s="2695" t="s">
        <v>2487</v>
      </c>
      <c r="G261" s="2568">
        <f>IF('Part V-Revenues &amp; Expenses'!$K$175=0,0,G259/'Part V-Revenues &amp; Expenses'!$K$175)</f>
        <v>316.59105357142857</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15534948</v>
      </c>
      <c r="K275" s="2648"/>
      <c r="L275" s="1819"/>
      <c r="M275" s="2648">
        <f>M259</f>
        <v>0</v>
      </c>
      <c r="N275" s="2648"/>
      <c r="O275" s="1819"/>
      <c r="P275" s="2648">
        <f>P259</f>
        <v>0</v>
      </c>
      <c r="Q275" s="2648"/>
      <c r="R275" s="2727" t="s">
        <v>3774</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15534948</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20195432.400000002</v>
      </c>
      <c r="K279" s="2648"/>
      <c r="L279" s="1819"/>
      <c r="M279" s="2648">
        <f>+M277</f>
        <v>0</v>
      </c>
      <c r="N279" s="2648"/>
      <c r="O279" s="1819"/>
      <c r="P279" s="2648">
        <f>P277*P278</f>
        <v>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0.89772727272727271</v>
      </c>
      <c r="K280" s="2729"/>
      <c r="L280" s="1819"/>
      <c r="M280" s="2729">
        <f>MIN('Part V-Revenues &amp; Expenses'!$P$63/'Part V-Revenues &amp; Expenses'!$P$65,'Part V-Revenues &amp; Expenses'!$P$164/'Part V-Revenues &amp; Expenses'!$P$166)</f>
        <v>0.89772727272727271</v>
      </c>
      <c r="N280" s="2729"/>
      <c r="O280" s="1819"/>
      <c r="P280" s="2729">
        <f>MIN('Part V-Revenues &amp; Expenses'!$P$63/'Part V-Revenues &amp; Expenses'!$P$65,'Part V-Revenues &amp; Expenses'!$P$164/'Part V-Revenues &amp; Expenses'!$P$166)</f>
        <v>0.89772727272727271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18129990.450000003</v>
      </c>
      <c r="K281" s="2648"/>
      <c r="L281" s="1819"/>
      <c r="M281" s="2648">
        <f>M279*M280</f>
        <v>0</v>
      </c>
      <c r="N281" s="2648"/>
      <c r="O281" s="1819"/>
      <c r="P281" s="2648">
        <f>P279*P280</f>
        <v>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1631699.1405000002</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1631699</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17729099</v>
      </c>
      <c r="K289" s="2648"/>
      <c r="L289" s="2648"/>
      <c r="M289" s="1819"/>
      <c r="N289" s="2727" t="s">
        <v>6716</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2125110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15603989</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1560398.9</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6964</v>
      </c>
      <c r="C295" s="1819"/>
      <c r="D295" s="1819"/>
      <c r="E295" s="1819"/>
      <c r="F295" s="1819"/>
      <c r="G295" s="1819"/>
      <c r="H295" s="1819"/>
      <c r="I295" s="1819"/>
      <c r="J295" s="2733">
        <f>N295+Q295</f>
        <v>1.27</v>
      </c>
      <c r="K295" s="2733"/>
      <c r="L295" s="2733"/>
      <c r="M295" s="1622" t="s">
        <v>1212</v>
      </c>
      <c r="N295" s="2734">
        <f>'Part III-A-Uses of Funds'!N182</f>
        <v>0.86</v>
      </c>
      <c r="O295" s="2734"/>
      <c r="P295" s="1622" t="s">
        <v>570</v>
      </c>
      <c r="Q295" s="2734">
        <f>'Part III-A-Uses of Funds'!Q182</f>
        <v>0.41</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1228660</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6965</v>
      </c>
      <c r="C300" s="1819"/>
      <c r="D300" s="1819"/>
      <c r="E300" s="1819"/>
      <c r="F300" s="1819"/>
      <c r="G300" s="1819"/>
      <c r="H300" s="1819"/>
      <c r="I300" s="1819"/>
      <c r="J300" s="2647">
        <f>'Part III-A-Uses of Funds'!J187</f>
        <v>1225000</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6966</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6967</v>
      </c>
      <c r="C304" s="1819"/>
      <c r="D304" s="378"/>
      <c r="E304" s="378"/>
      <c r="F304" s="2623"/>
      <c r="G304" s="1819"/>
      <c r="H304" s="1819"/>
      <c r="I304" s="1819"/>
      <c r="J304" s="2647">
        <f>IF(J302="",0,+MIN(J300,J302))</f>
        <v>1225000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The Site Construction costs were determined by a third-party civil engineer’s site visit and opinion of probable costs and then re-evaluated by the general contractor. 
The Residential Structures cost estimate was fully vetted with the general contractor and was based on their experience with the proposed development design and current market conditions.
Please see Tab 2 in this application for a breakout of the Local Government Fees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Westchester Village  -  Jonesboro  -  Clayton,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Community Improvement Fund</v>
      </c>
      <c r="B384" s="2571"/>
      <c r="C384" s="2571"/>
      <c r="D384" s="2571"/>
      <c r="E384" s="2745"/>
      <c r="F384" s="2572" t="str">
        <f>'Part III-B-Other Items'!F71</f>
        <v>Applicant has commited $50,000 towards a Community Improvement Fund as part of the transformation plan. The 2023 QAP maximum Developer Fee has been reduced by this $50,000 and established this Community Improvement Fund line item as a designated financial account to support the services of the community transformational plan.</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50000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Westchester Village,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Local PHA</v>
      </c>
    </row>
    <row r="403" spans="1:13">
      <c r="A403" s="2754" t="s">
        <v>6972</v>
      </c>
    </row>
    <row r="405" spans="1:13" ht="39.6">
      <c r="A405" s="361" t="s">
        <v>573</v>
      </c>
      <c r="B405" s="361" t="s">
        <v>2059</v>
      </c>
      <c r="F405" s="359" t="s">
        <v>2317</v>
      </c>
      <c r="G405" s="359"/>
      <c r="H405" s="359"/>
      <c r="I405" s="2621" t="str">
        <f>'Part IV-Utility Allowances'!I7</f>
        <v>Jonesboro Housing Authority</v>
      </c>
      <c r="J405" s="2621"/>
      <c r="K405" s="2621"/>
      <c r="L405" s="2621"/>
      <c r="M405" s="2621"/>
    </row>
    <row r="406" spans="1:13">
      <c r="A406" s="361"/>
      <c r="F406" s="359" t="s">
        <v>593</v>
      </c>
      <c r="G406" s="359"/>
      <c r="H406" s="359"/>
      <c r="I406" s="2755">
        <f>'Part IV-Utility Allowances'!I8</f>
        <v>44652</v>
      </c>
      <c r="J406" s="2755"/>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42</v>
      </c>
      <c r="K410" s="1894">
        <f>'Part IV-Utility Allowances'!K12</f>
        <v>50</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9</v>
      </c>
      <c r="K411" s="1894">
        <f>'Part IV-Utility Allowances'!K13</f>
        <v>11</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15</v>
      </c>
      <c r="K412" s="1894">
        <f>'Part IV-Utility Allowances'!K14</f>
        <v>20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14</v>
      </c>
      <c r="K413" s="1894">
        <f>'Part IV-Utility Allowances'!K15</f>
        <v>16</v>
      </c>
      <c r="L413" s="1894">
        <f>'Part IV-Utility Allowances'!L15</f>
        <v>0</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46</v>
      </c>
      <c r="K416" s="1894">
        <f>'Part IV-Utility Allowances'!K18</f>
        <v>56</v>
      </c>
      <c r="L416" s="1894">
        <f>'Part IV-Utility Allowances'!L18</f>
        <v>0</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36</v>
      </c>
      <c r="K417" s="1894">
        <f>'Part IV-Utility Allowances'!K19</f>
        <v>46</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Senior Credit - GA Power</v>
      </c>
      <c r="D419" s="362"/>
      <c r="E419" s="362"/>
      <c r="F419" s="2756" t="str">
        <f>'Part IV-Utility Allowances'!F21</f>
        <v>X</v>
      </c>
      <c r="G419" s="2756">
        <f>'Part IV-Utility Allowances'!G21</f>
        <v>0</v>
      </c>
      <c r="I419" s="1894">
        <f>'Part IV-Utility Allowances'!I21</f>
        <v>0</v>
      </c>
      <c r="J419" s="1894">
        <f>'Part IV-Utility Allowances'!J21</f>
        <v>-24</v>
      </c>
      <c r="K419" s="1894">
        <f>'Part IV-Utility Allowances'!K21</f>
        <v>-24</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138</v>
      </c>
      <c r="K420" s="2756">
        <f>IF(SUM(K410:K419)=0,0,IF(OR($D410="&lt;&lt;Select Fuel &gt;&gt;",$D411="&lt;&lt;Select Fuel &gt;&gt;",$D412="&lt;&lt;Select Fuel &gt;&gt;"),"Select Fuel",IF($E417="&lt;Select&gt;","Submeter?",SUM(K410:K419))))</f>
        <v>175</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159.6">
      <c r="B441" s="2757" t="str">
        <f>'Part IV-Utility Allowances'!B43</f>
        <v xml:space="preserve">Applicant has used the Jonesboro Housing Authority UA's. The UA's that took effect April 1, 2022 were is effect on January 1, 2023.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Westchester Village,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Westchester Village,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6975</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www.huduser.gov</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6976</v>
      </c>
      <c r="L456" s="1634" t="s">
        <v>139</v>
      </c>
      <c r="M456" s="1634"/>
      <c r="N456" s="2765" t="s">
        <v>2184</v>
      </c>
      <c r="O456" s="2765" t="s">
        <v>6483</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756" t="str">
        <f t="shared" si="0"/>
        <v/>
      </c>
      <c r="B463" s="2575" t="str">
        <f>'Part V-Revenues &amp; Expenses'!B16</f>
        <v>Unrestricted</v>
      </c>
      <c r="C463" s="2576">
        <f>'Part V-Revenues &amp; Expenses'!C16</f>
        <v>1</v>
      </c>
      <c r="D463" s="2577">
        <f>'Part V-Revenues &amp; Expenses'!D16</f>
        <v>1</v>
      </c>
      <c r="E463" s="2578">
        <f>'Part V-Revenues &amp; Expenses'!E16</f>
        <v>2</v>
      </c>
      <c r="F463" s="2578">
        <f>'Part V-Revenues &amp; Expenses'!F16</f>
        <v>750</v>
      </c>
      <c r="G463" s="2578">
        <f>'Part V-Revenues &amp; Expenses'!G16</f>
        <v>950</v>
      </c>
      <c r="H463" s="2578">
        <f>'Part V-Revenues &amp; Expenses'!H16</f>
        <v>950</v>
      </c>
      <c r="I463" s="2578">
        <f>'Part V-Revenues &amp; Expenses'!I16</f>
        <v>0</v>
      </c>
      <c r="J463" s="2578">
        <f>'Part V-Revenues &amp; Expenses'!J16</f>
        <v>0</v>
      </c>
      <c r="K463" s="2579">
        <f>'Part V-Revenues &amp; Expenses'!K16</f>
        <v>0</v>
      </c>
      <c r="L463" s="2580">
        <f t="shared" si="1"/>
        <v>950</v>
      </c>
      <c r="M463" s="2580">
        <f t="shared" si="2"/>
        <v>1900</v>
      </c>
      <c r="N463" s="2651" t="str">
        <f>'Part V-Revenues &amp; Expenses'!N16</f>
        <v>No</v>
      </c>
      <c r="O463" s="1320" t="str">
        <f>'Part V-Revenues &amp; Expenses'!O16</f>
        <v>Low-Rise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f t="shared" si="39"/>
        <v>2</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f t="shared" si="154"/>
        <v>1500</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f t="shared" si="174"/>
        <v>2</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f t="shared" si="214"/>
        <v>2</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f t="shared" si="264"/>
        <v>2</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2</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756" t="str">
        <f t="shared" si="0"/>
        <v/>
      </c>
      <c r="B464" s="2575" t="str">
        <f>'Part V-Revenues &amp; Expenses'!B17</f>
        <v>Unrestricted</v>
      </c>
      <c r="C464" s="2576">
        <f>'Part V-Revenues &amp; Expenses'!C17</f>
        <v>2</v>
      </c>
      <c r="D464" s="2577">
        <f>'Part V-Revenues &amp; Expenses'!D17</f>
        <v>1</v>
      </c>
      <c r="E464" s="2578">
        <f>'Part V-Revenues &amp; Expenses'!E17</f>
        <v>3</v>
      </c>
      <c r="F464" s="2578">
        <f>'Part V-Revenues &amp; Expenses'!F17</f>
        <v>1000</v>
      </c>
      <c r="G464" s="2578">
        <f>'Part V-Revenues &amp; Expenses'!G17</f>
        <v>1075</v>
      </c>
      <c r="H464" s="2578">
        <f>'Part V-Revenues &amp; Expenses'!H17</f>
        <v>1075</v>
      </c>
      <c r="I464" s="2578">
        <f>'Part V-Revenues &amp; Expenses'!I17</f>
        <v>0</v>
      </c>
      <c r="J464" s="2578">
        <f>'Part V-Revenues &amp; Expenses'!J17</f>
        <v>0</v>
      </c>
      <c r="K464" s="2579">
        <f>'Part V-Revenues &amp; Expenses'!K17</f>
        <v>0</v>
      </c>
      <c r="L464" s="2580">
        <f t="shared" si="1"/>
        <v>1075</v>
      </c>
      <c r="M464" s="2580">
        <f t="shared" si="2"/>
        <v>3225</v>
      </c>
      <c r="N464" s="2651" t="str">
        <f>'Part V-Revenues &amp; Expenses'!N17</f>
        <v>No</v>
      </c>
      <c r="O464" s="1320" t="str">
        <f>'Part V-Revenues &amp; Expenses'!O17</f>
        <v>Low-Rise Elevator</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f t="shared" si="40"/>
        <v>3</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f t="shared" si="155"/>
        <v>3000</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f t="shared" si="175"/>
        <v>3</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f t="shared" si="215"/>
        <v>3</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f t="shared" si="265"/>
        <v>3</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3</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750</v>
      </c>
      <c r="G465" s="2578">
        <f>'Part V-Revenues &amp; Expenses'!G18</f>
        <v>904</v>
      </c>
      <c r="H465" s="2578">
        <f>'Part V-Revenues &amp; Expenses'!H18</f>
        <v>838</v>
      </c>
      <c r="I465" s="2578">
        <f>'Part V-Revenues &amp; Expenses'!I18</f>
        <v>0</v>
      </c>
      <c r="J465" s="2578">
        <f>'Part V-Revenues &amp; Expenses'!J18</f>
        <v>138</v>
      </c>
      <c r="K465" s="2579">
        <f>'Part V-Revenues &amp; Expenses'!K18</f>
        <v>0</v>
      </c>
      <c r="L465" s="2580">
        <f t="shared" si="1"/>
        <v>700</v>
      </c>
      <c r="M465" s="2580">
        <f t="shared" si="2"/>
        <v>2800</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3000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4</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756" t="str">
        <f t="shared" si="0"/>
        <v/>
      </c>
      <c r="B466" s="2575">
        <f>'Part V-Revenues &amp; Expenses'!B19</f>
        <v>50</v>
      </c>
      <c r="C466" s="2576">
        <f>'Part V-Revenues &amp; Expenses'!C19</f>
        <v>2</v>
      </c>
      <c r="D466" s="2577">
        <f>'Part V-Revenues &amp; Expenses'!D19</f>
        <v>1</v>
      </c>
      <c r="E466" s="2578">
        <f>'Part V-Revenues &amp; Expenses'!E19</f>
        <v>5</v>
      </c>
      <c r="F466" s="2578">
        <f>'Part V-Revenues &amp; Expenses'!F19</f>
        <v>1000</v>
      </c>
      <c r="G466" s="2578">
        <f>'Part V-Revenues &amp; Expenses'!G19</f>
        <v>1085</v>
      </c>
      <c r="H466" s="2578">
        <f>'Part V-Revenues &amp; Expenses'!H19</f>
        <v>975</v>
      </c>
      <c r="I466" s="2578">
        <f>'Part V-Revenues &amp; Expenses'!I19</f>
        <v>0</v>
      </c>
      <c r="J466" s="2578">
        <f>'Part V-Revenues &amp; Expenses'!J19</f>
        <v>175</v>
      </c>
      <c r="K466" s="2579">
        <f>'Part V-Revenues &amp; Expenses'!K19</f>
        <v>0</v>
      </c>
      <c r="L466" s="2580">
        <f t="shared" si="1"/>
        <v>800</v>
      </c>
      <c r="M466" s="2580">
        <f t="shared" si="2"/>
        <v>4000</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5</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5000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5</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5</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f t="shared" si="265"/>
        <v>5</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5</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756" t="str">
        <f t="shared" si="0"/>
        <v/>
      </c>
      <c r="B467" s="2575">
        <f>'Part V-Revenues &amp; Expenses'!B20</f>
        <v>60</v>
      </c>
      <c r="C467" s="2576">
        <f>'Part V-Revenues &amp; Expenses'!C20</f>
        <v>1</v>
      </c>
      <c r="D467" s="2577">
        <f>'Part V-Revenues &amp; Expenses'!D20</f>
        <v>1</v>
      </c>
      <c r="E467" s="2578">
        <f>'Part V-Revenues &amp; Expenses'!E20</f>
        <v>18</v>
      </c>
      <c r="F467" s="2578">
        <f>'Part V-Revenues &amp; Expenses'!F20</f>
        <v>750</v>
      </c>
      <c r="G467" s="2578">
        <f>'Part V-Revenues &amp; Expenses'!G20</f>
        <v>1085</v>
      </c>
      <c r="H467" s="2578">
        <f>'Part V-Revenues &amp; Expenses'!H20</f>
        <v>923</v>
      </c>
      <c r="I467" s="2578">
        <f>'Part V-Revenues &amp; Expenses'!I20</f>
        <v>0</v>
      </c>
      <c r="J467" s="2578">
        <f>'Part V-Revenues &amp; Expenses'!J20</f>
        <v>138</v>
      </c>
      <c r="K467" s="2579">
        <f>'Part V-Revenues &amp; Expenses'!K20</f>
        <v>0</v>
      </c>
      <c r="L467" s="2580">
        <f t="shared" si="1"/>
        <v>785</v>
      </c>
      <c r="M467" s="2580">
        <f t="shared" si="2"/>
        <v>14130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18</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13500</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18</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18</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18</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18</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756" t="str">
        <f t="shared" si="0"/>
        <v/>
      </c>
      <c r="B468" s="2575">
        <f>'Part V-Revenues &amp; Expenses'!B21</f>
        <v>60</v>
      </c>
      <c r="C468" s="2576">
        <f>'Part V-Revenues &amp; Expenses'!C21</f>
        <v>2</v>
      </c>
      <c r="D468" s="2577">
        <f>'Part V-Revenues &amp; Expenses'!D21</f>
        <v>1</v>
      </c>
      <c r="E468" s="2578">
        <f>'Part V-Revenues &amp; Expenses'!E21</f>
        <v>18</v>
      </c>
      <c r="F468" s="2578">
        <f>'Part V-Revenues &amp; Expenses'!F21</f>
        <v>1000</v>
      </c>
      <c r="G468" s="2578">
        <f>'Part V-Revenues &amp; Expenses'!G21</f>
        <v>1302</v>
      </c>
      <c r="H468" s="2578">
        <f>'Part V-Revenues &amp; Expenses'!H21</f>
        <v>1060</v>
      </c>
      <c r="I468" s="2578">
        <f>'Part V-Revenues &amp; Expenses'!I21</f>
        <v>0</v>
      </c>
      <c r="J468" s="2578">
        <f>'Part V-Revenues &amp; Expenses'!J21</f>
        <v>175</v>
      </c>
      <c r="K468" s="2579">
        <f>'Part V-Revenues &amp; Expenses'!K21</f>
        <v>0</v>
      </c>
      <c r="L468" s="2580">
        <f t="shared" si="1"/>
        <v>885</v>
      </c>
      <c r="M468" s="2580">
        <f t="shared" si="2"/>
        <v>15930</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18</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18000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18</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18</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18</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18</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50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44000</v>
      </c>
      <c r="H496" s="2583" t="s">
        <v>3766</v>
      </c>
      <c r="I496" s="2787" t="s">
        <v>3767</v>
      </c>
      <c r="J496" s="2584" t="str">
        <f>IF(P514=0,"",IF(SUM(P505:P509)/P514&gt;=0.4,"Pass","Fail"))</f>
        <v>Pass</v>
      </c>
      <c r="K496" s="363"/>
      <c r="L496" s="2788" t="s">
        <v>1225</v>
      </c>
      <c r="M496" s="2585">
        <f>SUM(M458:M495)</f>
        <v>41985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18</v>
      </c>
      <c r="AJ496" s="1749">
        <f t="shared" si="338"/>
        <v>18</v>
      </c>
      <c r="AK496" s="1749">
        <f t="shared" si="338"/>
        <v>0</v>
      </c>
      <c r="AL496" s="1749">
        <f t="shared" si="338"/>
        <v>0</v>
      </c>
      <c r="AM496" s="1749">
        <f>SUM(AM458:AM495)</f>
        <v>0</v>
      </c>
      <c r="AN496" s="1749">
        <f>SUM(AN458:AN495)</f>
        <v>4</v>
      </c>
      <c r="AO496" s="1749">
        <f>SUM(AO458:AO495)</f>
        <v>5</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2</v>
      </c>
      <c r="BI496" s="1749">
        <f t="shared" si="338"/>
        <v>3</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13500</v>
      </c>
      <c r="EU496" s="1749">
        <f t="shared" si="338"/>
        <v>18000</v>
      </c>
      <c r="EV496" s="1749">
        <f t="shared" si="338"/>
        <v>0</v>
      </c>
      <c r="EW496" s="1749">
        <f t="shared" si="338"/>
        <v>0</v>
      </c>
      <c r="EX496" s="1749">
        <f t="shared" si="338"/>
        <v>0</v>
      </c>
      <c r="EY496" s="1749">
        <f t="shared" si="338"/>
        <v>3000</v>
      </c>
      <c r="EZ496" s="1749">
        <f t="shared" si="338"/>
        <v>5000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1500</v>
      </c>
      <c r="FT496" s="1749">
        <f t="shared" si="340"/>
        <v>3000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22</v>
      </c>
      <c r="GI496" s="1749">
        <f t="shared" si="340"/>
        <v>23</v>
      </c>
      <c r="GJ496" s="1749">
        <f t="shared" si="340"/>
        <v>0</v>
      </c>
      <c r="GK496" s="1749">
        <f t="shared" si="340"/>
        <v>0</v>
      </c>
      <c r="GL496" s="1749">
        <f t="shared" si="340"/>
        <v>0</v>
      </c>
      <c r="GM496" s="1749">
        <f t="shared" si="340"/>
        <v>2</v>
      </c>
      <c r="GN496" s="1749">
        <f t="shared" si="340"/>
        <v>3</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24</v>
      </c>
      <c r="IB496" s="1749">
        <f t="shared" si="341"/>
        <v>26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24</v>
      </c>
      <c r="JZ496" s="1749">
        <f>SUM(JZ458:JZ495)</f>
        <v>26</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24</v>
      </c>
      <c r="MM496" s="1749">
        <f t="shared" si="343"/>
        <v>26</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89">
        <f>'Part V-Revenues &amp; Expenses'!B50</f>
        <v>58</v>
      </c>
      <c r="C497" s="2789"/>
      <c r="D497" s="2756" t="s">
        <v>3676</v>
      </c>
      <c r="E497" s="2581">
        <f>SUM(E465:E495)</f>
        <v>45</v>
      </c>
      <c r="F497" s="2582">
        <f>(E465*F465+E466*F466+E467*F467+E468*F468+E469*F469+E470*F470+E471*F471+E472*F472+E473*F473+E474*F474+E475*F475+E476*F476+E477*F477+E478*F478+E479*F479+E480*F480+E481*F481+E482*F482+E483*F483+E484*F484+E485*F485+E486*F486+E487*F487+E488*F488+E489*F489+E490*F490+E491*F491+E492*F492+E493*F493+E494*F494+E495*F495)</f>
        <v>39500</v>
      </c>
      <c r="H497" s="2583"/>
      <c r="I497" s="2787" t="s">
        <v>3768</v>
      </c>
      <c r="J497" s="2584" t="str">
        <f>IF(P514=0,"",IF(SUM(P506:P509)/P514&gt;=0.2,"Pass","Fail"))</f>
        <v>Fail</v>
      </c>
      <c r="K497" s="363"/>
      <c r="L497" s="2786" t="s">
        <v>757</v>
      </c>
      <c r="M497" s="2585">
        <f>M496*12</f>
        <v>503820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18</v>
      </c>
      <c r="M505" s="2586">
        <f>AJ496</f>
        <v>18</v>
      </c>
      <c r="N505" s="2586">
        <f>AK496</f>
        <v>0</v>
      </c>
      <c r="O505" s="2586">
        <f>AL496</f>
        <v>0</v>
      </c>
      <c r="P505" s="2586">
        <f t="shared" si="344"/>
        <v>36</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v>
      </c>
      <c r="M506" s="2586">
        <f>AO496</f>
        <v>5</v>
      </c>
      <c r="N506" s="2586">
        <f>AP496</f>
        <v>0</v>
      </c>
      <c r="O506" s="2586">
        <f>AQ496</f>
        <v>0</v>
      </c>
      <c r="P506" s="2586">
        <f t="shared" si="344"/>
        <v>9</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22</v>
      </c>
      <c r="M510" s="2586">
        <f>SUM(M503:M509)</f>
        <v>23</v>
      </c>
      <c r="N510" s="2586">
        <f>SUM(N503:N509)</f>
        <v>0</v>
      </c>
      <c r="O510" s="2586">
        <f>SUM(O503:O509)</f>
        <v>0</v>
      </c>
      <c r="P510" s="2586">
        <f t="shared" si="344"/>
        <v>45</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2</v>
      </c>
      <c r="M511" s="2586">
        <f>BI496</f>
        <v>3</v>
      </c>
      <c r="N511" s="2586">
        <f>BJ496</f>
        <v>0</v>
      </c>
      <c r="O511" s="2586">
        <f>BK496</f>
        <v>0</v>
      </c>
      <c r="P511" s="2586">
        <f t="shared" si="344"/>
        <v>5</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24</v>
      </c>
      <c r="M512" s="2587">
        <f>SUM(M510:M511)</f>
        <v>26</v>
      </c>
      <c r="N512" s="2587">
        <f>SUM(N510:N511)</f>
        <v>0</v>
      </c>
      <c r="O512" s="2587">
        <f>SUM(O510:O511)</f>
        <v>0</v>
      </c>
      <c r="P512" s="2587">
        <f t="shared" si="344"/>
        <v>50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24</v>
      </c>
      <c r="M514" s="2588">
        <f>SUM(M512:M513)</f>
        <v>26</v>
      </c>
      <c r="N514" s="2588">
        <f>SUM(N512:N513)</f>
        <v>0</v>
      </c>
      <c r="O514" s="2588">
        <f>SUM(O512:O513)</f>
        <v>0</v>
      </c>
      <c r="P514" s="2588">
        <f t="shared" si="344"/>
        <v>50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0.75</v>
      </c>
      <c r="M523" s="2803">
        <f t="shared" si="349"/>
        <v>0.69230769230769229</v>
      </c>
      <c r="N523" s="2803" t="str">
        <f t="shared" si="349"/>
        <v/>
      </c>
      <c r="O523" s="2803" t="str">
        <f t="shared" si="349"/>
        <v/>
      </c>
      <c r="P523" s="2803">
        <f t="shared" si="349"/>
        <v>0.72</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17.28</v>
      </c>
      <c r="M524" s="2804">
        <f>IF(OR(M505=0,P523="",M514=0),"",P523*M514)</f>
        <v>18.72</v>
      </c>
      <c r="N524" s="2804" t="str">
        <f>IF(OR(N505=0,P523="",N514=0),"",P523*N514)</f>
        <v/>
      </c>
      <c r="O524" s="2804" t="str">
        <f>IF(OR(O505=0,P523="",O514=0),"",P523*O514)</f>
        <v/>
      </c>
      <c r="P524" s="2804">
        <f>IF(OR(P523="",P514=0),"",P523*P514)</f>
        <v>36</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0.71999999999999886</v>
      </c>
      <c r="M525" s="2804">
        <f t="shared" si="350"/>
        <v>-0.71999999999999886</v>
      </c>
      <c r="N525" s="2804" t="str">
        <f t="shared" si="350"/>
        <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0.16666666666666666</v>
      </c>
      <c r="M526" s="2803">
        <f t="shared" si="351"/>
        <v>0.19230769230769232</v>
      </c>
      <c r="N526" s="2803" t="str">
        <f t="shared" si="351"/>
        <v/>
      </c>
      <c r="O526" s="2803" t="str">
        <f t="shared" si="351"/>
        <v/>
      </c>
      <c r="P526" s="2803">
        <f t="shared" si="351"/>
        <v>0.18</v>
      </c>
    </row>
    <row r="527" spans="1:343">
      <c r="C527" s="2805"/>
      <c r="D527" s="2805"/>
      <c r="E527" s="2805"/>
      <c r="H527" s="1503" t="s">
        <v>6979</v>
      </c>
      <c r="I527" s="362"/>
      <c r="J527" s="359"/>
      <c r="K527" s="2804" t="str">
        <f>IF(OR(K506=0,P526="",K514=0),"",P526*K514)</f>
        <v/>
      </c>
      <c r="L527" s="2804">
        <f>IF(OR(L506=0,P526="",L514=0),"",P526*L514)</f>
        <v>4.32</v>
      </c>
      <c r="M527" s="2804">
        <f>IF(OR(M506=0,P526="",M514=0),"",P526*M514)</f>
        <v>4.68</v>
      </c>
      <c r="N527" s="2804" t="str">
        <f>IF(OR(N506=0,P526="",N514=0),"",P526*N514)</f>
        <v/>
      </c>
      <c r="O527" s="2804" t="str">
        <f>IF(OR(O506=0,P526="",O514=0),"",P526*O514)</f>
        <v/>
      </c>
      <c r="P527" s="2804">
        <f>IF(OR(P526="",P514=0),"",P526*P514)</f>
        <v>9</v>
      </c>
    </row>
    <row r="528" spans="1:343">
      <c r="C528" s="2805"/>
      <c r="D528" s="2805"/>
      <c r="E528" s="2805"/>
      <c r="G528" s="2787"/>
      <c r="H528" s="1503" t="s">
        <v>6980</v>
      </c>
      <c r="I528" s="362"/>
      <c r="J528" s="359"/>
      <c r="K528" s="2804" t="str">
        <f t="shared" ref="K528:P528" si="352">IF(OR(K527="",K506=0),"", K506-K527)</f>
        <v/>
      </c>
      <c r="L528" s="2804">
        <f t="shared" si="352"/>
        <v>-0.32000000000000028</v>
      </c>
      <c r="M528" s="2804">
        <f t="shared" si="352"/>
        <v>0.32000000000000028</v>
      </c>
      <c r="N528" s="2804" t="str">
        <f t="shared" si="352"/>
        <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22</v>
      </c>
      <c r="M560" s="2586">
        <f>GI496</f>
        <v>23</v>
      </c>
      <c r="N560" s="2586">
        <f>GJ496</f>
        <v>0</v>
      </c>
      <c r="O560" s="2586">
        <f>GK496</f>
        <v>0</v>
      </c>
      <c r="P560" s="2586">
        <f t="shared" ref="P560:P570" si="361">SUM(K560:O560)</f>
        <v>45</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2</v>
      </c>
      <c r="M561" s="2586">
        <f>GN496</f>
        <v>3</v>
      </c>
      <c r="N561" s="2586">
        <f>GO496</f>
        <v>0</v>
      </c>
      <c r="O561" s="2586">
        <f>GP496</f>
        <v>0</v>
      </c>
      <c r="P561" s="2586">
        <f t="shared" si="361"/>
        <v>5</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24</v>
      </c>
      <c r="M562" s="2588">
        <f>SUM(M560:M561)+GS496</f>
        <v>26</v>
      </c>
      <c r="N562" s="2588">
        <f>SUM(N560:N561)+GT496</f>
        <v>0</v>
      </c>
      <c r="O562" s="2588">
        <f>SUM(O560:O561)+GU496</f>
        <v>0</v>
      </c>
      <c r="P562" s="2588">
        <f t="shared" si="361"/>
        <v>50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24</v>
      </c>
      <c r="M574" s="2588">
        <f t="shared" si="362"/>
        <v>26</v>
      </c>
      <c r="N574" s="2588">
        <f t="shared" si="362"/>
        <v>0</v>
      </c>
      <c r="O574" s="2588">
        <f t="shared" si="362"/>
        <v>0</v>
      </c>
      <c r="P574" s="2588">
        <f t="shared" si="362"/>
        <v>50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24</v>
      </c>
      <c r="M577" s="2586">
        <f>JZ496</f>
        <v>26</v>
      </c>
      <c r="N577" s="2586">
        <f>KA496</f>
        <v>0</v>
      </c>
      <c r="O577" s="2586">
        <f>KB496</f>
        <v>0</v>
      </c>
      <c r="P577" s="2586">
        <f t="shared" si="363"/>
        <v>50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24</v>
      </c>
      <c r="M600" s="2586">
        <f t="shared" si="367"/>
        <v>26</v>
      </c>
      <c r="N600" s="2586">
        <f t="shared" si="367"/>
        <v>0</v>
      </c>
      <c r="O600" s="2586">
        <f t="shared" si="367"/>
        <v>0</v>
      </c>
      <c r="P600" s="2588">
        <f t="shared" si="365"/>
        <v>50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13500</v>
      </c>
      <c r="M606" s="2590">
        <f>EU496</f>
        <v>18000</v>
      </c>
      <c r="N606" s="2590">
        <f>EV496</f>
        <v>0</v>
      </c>
      <c r="O606" s="2590">
        <f>EW496</f>
        <v>0</v>
      </c>
      <c r="P606" s="2590">
        <f t="shared" si="368"/>
        <v>31500</v>
      </c>
      <c r="Q606" s="2804">
        <f t="shared" si="369"/>
        <v>875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3000</v>
      </c>
      <c r="M607" s="2590">
        <f>EZ496</f>
        <v>5000</v>
      </c>
      <c r="N607" s="2590">
        <f>FA496</f>
        <v>0</v>
      </c>
      <c r="O607" s="2590">
        <f>FB496</f>
        <v>0</v>
      </c>
      <c r="P607" s="2590">
        <f t="shared" si="368"/>
        <v>8000</v>
      </c>
      <c r="Q607" s="2804">
        <f t="shared" si="369"/>
        <v>888.88888888888891</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16500</v>
      </c>
      <c r="M611" s="2591">
        <f>SUM(M604:M610)</f>
        <v>23000</v>
      </c>
      <c r="N611" s="2591">
        <f>SUM(N604:N610)</f>
        <v>0</v>
      </c>
      <c r="O611" s="2591">
        <f>SUM(O604:O610)</f>
        <v>0</v>
      </c>
      <c r="P611" s="2591">
        <f>SUM(K611:O611)</f>
        <v>39500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1500</v>
      </c>
      <c r="M612" s="2590">
        <f>FT496</f>
        <v>3000</v>
      </c>
      <c r="N612" s="2590">
        <f>FU496</f>
        <v>0</v>
      </c>
      <c r="O612" s="2590">
        <f>FV496</f>
        <v>0</v>
      </c>
      <c r="P612" s="2590">
        <f>SUM(K612:O612)</f>
        <v>4500</v>
      </c>
      <c r="Q612" s="2804">
        <f>IF(OR(P511=0,P511=""),"",P612/P511)</f>
        <v>900</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18000</v>
      </c>
      <c r="M613" s="2592">
        <f>SUM(M611:M612)</f>
        <v>26000</v>
      </c>
      <c r="N613" s="2592">
        <f>SUM(N611:N612)</f>
        <v>0</v>
      </c>
      <c r="O613" s="2592">
        <f>SUM(O611:O612)</f>
        <v>0</v>
      </c>
      <c r="P613" s="2592">
        <f>SUM(K613:O613)</f>
        <v>44000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18000</v>
      </c>
      <c r="M615" s="2593">
        <f>SUM(M613:M614)</f>
        <v>26000</v>
      </c>
      <c r="N615" s="2593">
        <f>SUM(N613:N614)</f>
        <v>0</v>
      </c>
      <c r="O615" s="2593">
        <f>SUM(O613:O614)</f>
        <v>0</v>
      </c>
      <c r="P615" s="2593">
        <f>SUM(K615:O615)</f>
        <v>44000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750</v>
      </c>
      <c r="M618" s="2818">
        <f>IF(OR(M514="",M514=0),"",M615/M514)</f>
        <v>1000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12000</v>
      </c>
      <c r="L621" s="2549"/>
      <c r="Z621" s="1622">
        <v>68</v>
      </c>
    </row>
    <row r="622" spans="1:380" s="1819" customFormat="1" ht="13.35" customHeight="1">
      <c r="A622" s="2615"/>
      <c r="C622" s="377" t="s">
        <v>242</v>
      </c>
      <c r="K622" s="2549">
        <f>P615+K621</f>
        <v>56000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10076.4</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27000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50500</v>
      </c>
      <c r="G668" s="2590"/>
      <c r="I668" s="359" t="s">
        <v>1300</v>
      </c>
      <c r="L668" s="2590">
        <f>'Part V-Revenues &amp; Expenses'!L221</f>
        <v>0</v>
      </c>
      <c r="M668" s="2590"/>
      <c r="O668" s="2599">
        <f>+Q667/(P514*0.93)</f>
        <v>580.64516129032256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30900</v>
      </c>
      <c r="G669" s="2590"/>
      <c r="I669" s="359" t="s">
        <v>1301</v>
      </c>
      <c r="L669" s="2590">
        <f>'Part V-Revenues &amp; Expenses'!L222</f>
        <v>600</v>
      </c>
      <c r="M669" s="2590"/>
      <c r="O669" s="2599">
        <f>+Q667/(P514*0.93)/12</f>
        <v>48.387096774193544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81400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267878</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v>
      </c>
      <c r="M676" s="2590"/>
      <c r="N676" s="2771"/>
      <c r="O676" s="2799" t="s">
        <v>2486</v>
      </c>
      <c r="P676" s="2599">
        <f>+Q675/P514</f>
        <v>5357.56</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1750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225000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6000</v>
      </c>
      <c r="G678" s="2590"/>
      <c r="I678" s="1747"/>
      <c r="K678" s="2828" t="s">
        <v>184</v>
      </c>
      <c r="L678" s="2818">
        <f>SUM(L674:L677)</f>
        <v>8000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6200</v>
      </c>
      <c r="G681" s="2590"/>
      <c r="I681" s="1747" t="s">
        <v>1297</v>
      </c>
      <c r="K681" s="1622" t="s">
        <v>3884</v>
      </c>
      <c r="O681" s="1747" t="s">
        <v>3085</v>
      </c>
      <c r="P681" s="1747"/>
      <c r="Q681" s="2600">
        <f>'Part V-Revenues &amp; Expenses'!Q234</f>
        <v>12500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22</v>
      </c>
      <c r="L682" s="2590">
        <f>'Part V-Revenues &amp; Expenses'!L235</f>
        <v>13200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13950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5.8333333333333339</v>
      </c>
      <c r="L684" s="2590">
        <f>'Part V-Revenues &amp; Expenses'!L237</f>
        <v>3500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7.5</v>
      </c>
      <c r="L685" s="2590">
        <f>'Part V-Revenues &amp; Expenses'!L238</f>
        <v>4500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2500</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6000</v>
      </c>
      <c r="G687" s="2590"/>
      <c r="I687" s="2832" t="str">
        <f>'Part V-Revenues &amp; Expenses'!I240</f>
        <v>Cable TV &amp; Internet</v>
      </c>
      <c r="J687" s="2832"/>
      <c r="K687" s="2717">
        <f>L687/12/P514</f>
        <v>3.333333333333333</v>
      </c>
      <c r="L687" s="2590">
        <f>'Part V-Revenues &amp; Expenses'!L240</f>
        <v>2000</v>
      </c>
      <c r="M687" s="2590"/>
      <c r="N687" s="2771"/>
      <c r="O687" s="2622" t="s">
        <v>3051</v>
      </c>
      <c r="P687" s="2837" t="str">
        <f>CONCATENATE(SUM(MK496:MO496)," units x $",'DCA Underwriting Assumptions'!$Q$29," =")</f>
        <v>50 units x $250 =</v>
      </c>
      <c r="Q687" s="2837">
        <f>'Part V-Revenues &amp; Expenses'!Q240</f>
        <v>12500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16000</v>
      </c>
      <c r="G688" s="2590"/>
      <c r="K688" s="2828" t="s">
        <v>184</v>
      </c>
      <c r="L688" s="2818">
        <f>SUM(L682:L687)</f>
        <v>23200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5500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1200</v>
      </c>
      <c r="G690" s="2590"/>
      <c r="I690" s="1747" t="s">
        <v>1298</v>
      </c>
      <c r="O690" s="2788" t="s">
        <v>2467</v>
      </c>
      <c r="P690" s="2782">
        <f>'Part V-Revenues &amp; Expenses'!P243</f>
        <v>50</v>
      </c>
      <c r="Q690" s="2838">
        <f>SUM(Q686:Q689)</f>
        <v>12500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3500</v>
      </c>
      <c r="G691" s="2590"/>
      <c r="I691" s="359" t="s">
        <v>6993</v>
      </c>
      <c r="L691" s="2590">
        <f>'Part V-Revenues &amp; Expenses'!L244</f>
        <v>49893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500</v>
      </c>
      <c r="G692" s="2590"/>
      <c r="I692" s="359" t="s">
        <v>140</v>
      </c>
      <c r="L692" s="2590">
        <f>'Part V-Revenues &amp; Expenses'!L245</f>
        <v>28635</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35200</v>
      </c>
      <c r="G694" s="2590"/>
      <c r="K694" s="2828" t="s">
        <v>184</v>
      </c>
      <c r="L694" s="2818">
        <f>SUM(L690:L693)</f>
        <v>78528</v>
      </c>
      <c r="M694" s="2818"/>
      <c r="O694" s="1747" t="s">
        <v>2030</v>
      </c>
      <c r="Q694" s="2818">
        <f>Q675+Q681</f>
        <v>280378</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Documentation for Real Estate Taxes and Insurance budgets can be found in Tab 2 of the application.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Westchester Village,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7500</v>
      </c>
      <c r="H713" s="2814" t="s">
        <v>1768</v>
      </c>
      <c r="K713" s="2842">
        <f>'Part VI-Pro Forma'!K6</f>
        <v>-1.5692883096733619E-2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5.6494379148241028E-2</v>
      </c>
    </row>
    <row r="716" spans="1:11" ht="13.8">
      <c r="A716" s="357" t="s">
        <v>2033</v>
      </c>
      <c r="B716" s="2841">
        <f>'Part VI-Pro Forma'!B9</f>
        <v>7.0000000000000007E-2</v>
      </c>
      <c r="C716" s="2615" t="str">
        <f>IF(B716&lt;0.07, "Must be &gt;= 7%!","")</f>
        <v/>
      </c>
      <c r="D716" s="359" t="s">
        <v>2307</v>
      </c>
      <c r="G716" s="2845" t="str">
        <f>'Part VI-Pro Forma'!G9</f>
        <v>Yes</v>
      </c>
      <c r="H716" s="2846" t="s">
        <v>1355</v>
      </c>
      <c r="K716" s="2604">
        <f>'Part VI-Pro Forma'!K9</f>
        <v>27000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503820</v>
      </c>
      <c r="C722" s="2606">
        <f>'Part VI-Pro Forma'!C15</f>
        <v>513896.4</v>
      </c>
      <c r="D722" s="2606">
        <f>'Part VI-Pro Forma'!D15</f>
        <v>524174.32799999998</v>
      </c>
      <c r="E722" s="2606">
        <f>'Part VI-Pro Forma'!E15</f>
        <v>534657.81455999997</v>
      </c>
      <c r="F722" s="2606">
        <f>'Part VI-Pro Forma'!F15</f>
        <v>545350.97085119993</v>
      </c>
      <c r="G722" s="2606">
        <f>'Part VI-Pro Forma'!G15</f>
        <v>556257.99026822404</v>
      </c>
      <c r="H722" s="2606">
        <f>'Part VI-Pro Forma'!H15</f>
        <v>567383.15007358848</v>
      </c>
      <c r="I722" s="2606">
        <f>'Part VI-Pro Forma'!I15</f>
        <v>578730.81307506014</v>
      </c>
      <c r="J722" s="2606">
        <f>'Part VI-Pro Forma'!J15</f>
        <v>590305.42933656147</v>
      </c>
      <c r="K722" s="2606">
        <f>'Part VI-Pro Forma'!K15</f>
        <v>602111.53792329261</v>
      </c>
    </row>
    <row r="723" spans="1:11">
      <c r="A723" s="357" t="s">
        <v>952</v>
      </c>
      <c r="B723" s="2606">
        <f>'Part VI-Pro Forma'!B16</f>
        <v>10076.4</v>
      </c>
      <c r="C723" s="2606">
        <f>'Part VI-Pro Forma'!C16</f>
        <v>10277.928</v>
      </c>
      <c r="D723" s="2606">
        <f>'Part VI-Pro Forma'!D16</f>
        <v>10483.486559999999</v>
      </c>
      <c r="E723" s="2606">
        <f>'Part VI-Pro Forma'!E16</f>
        <v>10693.156291199999</v>
      </c>
      <c r="F723" s="2606">
        <f>'Part VI-Pro Forma'!F16</f>
        <v>10907.019417023999</v>
      </c>
      <c r="G723" s="2606">
        <f>'Part VI-Pro Forma'!G16</f>
        <v>11125.159805364479</v>
      </c>
      <c r="H723" s="2606">
        <f>'Part VI-Pro Forma'!H16</f>
        <v>11347.66300147177</v>
      </c>
      <c r="I723" s="2606">
        <f>'Part VI-Pro Forma'!I16</f>
        <v>11574.616261501204</v>
      </c>
      <c r="J723" s="2606">
        <f>'Part VI-Pro Forma'!J16</f>
        <v>11806.108586731229</v>
      </c>
      <c r="K723" s="2606">
        <f>'Part VI-Pro Forma'!K16</f>
        <v>12042.230758465852</v>
      </c>
    </row>
    <row r="724" spans="1:11">
      <c r="A724" s="357" t="s">
        <v>2216</v>
      </c>
      <c r="B724" s="2606">
        <f>'Part VI-Pro Forma'!B17</f>
        <v>-35972.748000000007</v>
      </c>
      <c r="C724" s="2606">
        <f>'Part VI-Pro Forma'!C17</f>
        <v>-36692.20296000001</v>
      </c>
      <c r="D724" s="2606">
        <f>'Part VI-Pro Forma'!D17</f>
        <v>-37426.047019199999</v>
      </c>
      <c r="E724" s="2606">
        <f>'Part VI-Pro Forma'!E17</f>
        <v>-38174.567959583997</v>
      </c>
      <c r="F724" s="2606">
        <f>'Part VI-Pro Forma'!F17</f>
        <v>-38938.059318775675</v>
      </c>
      <c r="G724" s="2606">
        <f>'Part VI-Pro Forma'!G17</f>
        <v>-39716.820505151198</v>
      </c>
      <c r="H724" s="2606">
        <f>'Part VI-Pro Forma'!H17</f>
        <v>-40511.156915254222</v>
      </c>
      <c r="I724" s="2606">
        <f>'Part VI-Pro Forma'!I17</f>
        <v>-41321.380053559296</v>
      </c>
      <c r="J724" s="2606">
        <f>'Part VI-Pro Forma'!J17</f>
        <v>-42147.807654630495</v>
      </c>
      <c r="K724" s="2606">
        <f>'Part VI-Pro Forma'!K17</f>
        <v>-42990.763807723095</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477923.652</v>
      </c>
      <c r="C727" s="2606">
        <f>'Part VI-Pro Forma'!C20</f>
        <v>487482.12504000001</v>
      </c>
      <c r="D727" s="2606">
        <f>'Part VI-Pro Forma'!D20</f>
        <v>497231.76754079998</v>
      </c>
      <c r="E727" s="2606">
        <f>'Part VI-Pro Forma'!E20</f>
        <v>507176.40289161593</v>
      </c>
      <c r="F727" s="2606">
        <f>'Part VI-Pro Forma'!F20</f>
        <v>517319.93094944826</v>
      </c>
      <c r="G727" s="2606">
        <f>'Part VI-Pro Forma'!G20</f>
        <v>527666.3295684373</v>
      </c>
      <c r="H727" s="2606">
        <f>'Part VI-Pro Forma'!H20</f>
        <v>538219.65615980607</v>
      </c>
      <c r="I727" s="2606">
        <f>'Part VI-Pro Forma'!I20</f>
        <v>548984.04928300204</v>
      </c>
      <c r="J727" s="2606">
        <f>'Part VI-Pro Forma'!J20</f>
        <v>559963.73026866221</v>
      </c>
      <c r="K727" s="2606">
        <f>'Part VI-Pro Forma'!K20</f>
        <v>571163.00487403537</v>
      </c>
    </row>
    <row r="728" spans="1:11">
      <c r="A728" s="357" t="s">
        <v>572</v>
      </c>
      <c r="B728" s="2606">
        <f>'Part VI-Pro Forma'!B21</f>
        <v>-240878</v>
      </c>
      <c r="C728" s="2606">
        <f>'Part VI-Pro Forma'!C21</f>
        <v>-248104.34</v>
      </c>
      <c r="D728" s="2606">
        <f>'Part VI-Pro Forma'!D21</f>
        <v>-255547.47019999998</v>
      </c>
      <c r="E728" s="2606">
        <f>'Part VI-Pro Forma'!E21</f>
        <v>-263213.89430599997</v>
      </c>
      <c r="F728" s="2606">
        <f>'Part VI-Pro Forma'!F21</f>
        <v>-271110.31113518</v>
      </c>
      <c r="G728" s="2606">
        <f>'Part VI-Pro Forma'!G21</f>
        <v>-279243.62046923535</v>
      </c>
      <c r="H728" s="2606">
        <f>'Part VI-Pro Forma'!H21</f>
        <v>-287620.92908331245</v>
      </c>
      <c r="I728" s="2606">
        <f>'Part VI-Pro Forma'!I21</f>
        <v>-296249.55695581186</v>
      </c>
      <c r="J728" s="2606">
        <f>'Part VI-Pro Forma'!J21</f>
        <v>-305137.04366448615</v>
      </c>
      <c r="K728" s="2606">
        <f>'Part VI-Pro Forma'!K21</f>
        <v>-314291.15497442073</v>
      </c>
    </row>
    <row r="729" spans="1:11">
      <c r="A729" s="357" t="s">
        <v>1050</v>
      </c>
      <c r="B729" s="2606">
        <f>'Part VI-Pro Forma'!B22</f>
        <v>-27000</v>
      </c>
      <c r="C729" s="2606">
        <f>'Part VI-Pro Forma'!C22</f>
        <v>-27810</v>
      </c>
      <c r="D729" s="2606">
        <f>'Part VI-Pro Forma'!D22</f>
        <v>-28644</v>
      </c>
      <c r="E729" s="2606">
        <f>'Part VI-Pro Forma'!E22</f>
        <v>-29504</v>
      </c>
      <c r="F729" s="2606">
        <f>'Part VI-Pro Forma'!F22</f>
        <v>-30389</v>
      </c>
      <c r="G729" s="2606">
        <f>'Part VI-Pro Forma'!G22</f>
        <v>-31300</v>
      </c>
      <c r="H729" s="2606">
        <f>'Part VI-Pro Forma'!H22</f>
        <v>-32239</v>
      </c>
      <c r="I729" s="2606">
        <f>'Part VI-Pro Forma'!I22</f>
        <v>-33207</v>
      </c>
      <c r="J729" s="2606">
        <f>'Part VI-Pro Forma'!J22</f>
        <v>-34203</v>
      </c>
      <c r="K729" s="2606">
        <f>'Part VI-Pro Forma'!K22</f>
        <v>-35229</v>
      </c>
    </row>
    <row r="730" spans="1:11">
      <c r="A730" s="357" t="s">
        <v>1128</v>
      </c>
      <c r="B730" s="2606">
        <f>'Part VI-Pro Forma'!B23</f>
        <v>-12500</v>
      </c>
      <c r="C730" s="2606">
        <f>'Part VI-Pro Forma'!C23</f>
        <v>-12875</v>
      </c>
      <c r="D730" s="2606">
        <f>'Part VI-Pro Forma'!D23</f>
        <v>-13261.25</v>
      </c>
      <c r="E730" s="2606">
        <f>'Part VI-Pro Forma'!E23</f>
        <v>-13659.0875</v>
      </c>
      <c r="F730" s="2606">
        <f>'Part VI-Pro Forma'!F23</f>
        <v>-14068.860124999999</v>
      </c>
      <c r="G730" s="2606">
        <f>'Part VI-Pro Forma'!G23</f>
        <v>-14490.925928749997</v>
      </c>
      <c r="H730" s="2606">
        <f>'Part VI-Pro Forma'!H23</f>
        <v>-14925.653706612498</v>
      </c>
      <c r="I730" s="2606">
        <f>'Part VI-Pro Forma'!I23</f>
        <v>-15373.423317810875</v>
      </c>
      <c r="J730" s="2606">
        <f>'Part VI-Pro Forma'!J23</f>
        <v>-15834.626017345199</v>
      </c>
      <c r="K730" s="2606">
        <f>'Part VI-Pro Forma'!K23</f>
        <v>-16309.664797865556</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197545.652</v>
      </c>
      <c r="C732" s="2606">
        <f t="shared" ref="C732:J732" si="377">SUM(C727:C731)</f>
        <v>198692.78504000002</v>
      </c>
      <c r="D732" s="2606">
        <f t="shared" si="377"/>
        <v>199779.0473408</v>
      </c>
      <c r="E732" s="2606">
        <f t="shared" si="377"/>
        <v>200799.42108561596</v>
      </c>
      <c r="F732" s="2606">
        <f t="shared" si="377"/>
        <v>201751.75968926825</v>
      </c>
      <c r="G732" s="2606">
        <f t="shared" si="377"/>
        <v>202631.78317045196</v>
      </c>
      <c r="H732" s="2606">
        <f t="shared" si="377"/>
        <v>203434.07336988111</v>
      </c>
      <c r="I732" s="2606">
        <f t="shared" si="377"/>
        <v>204154.06900937931</v>
      </c>
      <c r="J732" s="2606">
        <f t="shared" si="377"/>
        <v>204789.06058683086</v>
      </c>
      <c r="K732" s="2606">
        <f>SUM(K727:K731)</f>
        <v>205333.18510174908</v>
      </c>
    </row>
    <row r="733" spans="1:11">
      <c r="A733" s="357" t="s">
        <v>1486</v>
      </c>
      <c r="B733" s="2606">
        <f>'Part VI-Pro Forma'!B26</f>
        <v>-158464.97631648468</v>
      </c>
      <c r="C733" s="2606">
        <f>'Part VI-Pro Forma'!C26</f>
        <v>-158464.97631648468</v>
      </c>
      <c r="D733" s="2606">
        <f>'Part VI-Pro Forma'!D26</f>
        <v>-158464.97631648468</v>
      </c>
      <c r="E733" s="2606">
        <f>'Part VI-Pro Forma'!E26</f>
        <v>-158464.97631648468</v>
      </c>
      <c r="F733" s="2606">
        <f>'Part VI-Pro Forma'!F26</f>
        <v>-158464.97631648468</v>
      </c>
      <c r="G733" s="2606">
        <f>'Part VI-Pro Forma'!G26</f>
        <v>-158464.97631648468</v>
      </c>
      <c r="H733" s="2606">
        <f>'Part VI-Pro Forma'!H26</f>
        <v>-158464.97631648468</v>
      </c>
      <c r="I733" s="2606">
        <f>'Part VI-Pro Forma'!I26</f>
        <v>-158464.97631648468</v>
      </c>
      <c r="J733" s="2606">
        <f>'Part VI-Pro Forma'!J26</f>
        <v>-158464.97631648468</v>
      </c>
      <c r="K733" s="2606">
        <f>'Part VI-Pro Forma'!K26</f>
        <v>-158464.97631648468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3362</v>
      </c>
      <c r="B739" s="2606">
        <f>'Part VI-Pro Forma'!B32</f>
        <v>-31581</v>
      </c>
      <c r="C739" s="2606">
        <f>'Part VI-Pro Forma'!C32</f>
        <v>-15961</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-0.32431648467900231</v>
      </c>
      <c r="C740" s="2606">
        <f t="shared" si="378"/>
        <v>16766.808723515336</v>
      </c>
      <c r="D740" s="2606">
        <f t="shared" si="378"/>
        <v>33814.071024315315</v>
      </c>
      <c r="E740" s="2606">
        <f t="shared" si="378"/>
        <v>34834.444769131282</v>
      </c>
      <c r="F740" s="2606">
        <f t="shared" si="378"/>
        <v>35786.783372783568</v>
      </c>
      <c r="G740" s="2606">
        <f t="shared" si="378"/>
        <v>36666.806853967282</v>
      </c>
      <c r="H740" s="2606">
        <f t="shared" si="378"/>
        <v>37469.097053396428</v>
      </c>
      <c r="I740" s="2606">
        <f t="shared" si="378"/>
        <v>38189.092692894628</v>
      </c>
      <c r="J740" s="2606">
        <f t="shared" si="378"/>
        <v>38824.084270346182</v>
      </c>
      <c r="K740" s="2606">
        <f t="shared" si="378"/>
        <v>39368.208785264404</v>
      </c>
    </row>
    <row r="741" spans="1:11">
      <c r="A741" s="357" t="str">
        <f>IF('Part II-Sources of Funds'!$E$40 = "Neither", "", "DCR Mortgage A")</f>
        <v>DCR Mortgage A</v>
      </c>
      <c r="B741" s="2607">
        <f t="shared" ref="B741:K741" si="379">IF(B733=0,"",-B732/B733)</f>
        <v>1.2466202727690678</v>
      </c>
      <c r="C741" s="2607">
        <f t="shared" si="379"/>
        <v>1.2538593048041906</v>
      </c>
      <c r="D741" s="2607">
        <f t="shared" si="379"/>
        <v>1.2607142094402188</v>
      </c>
      <c r="E741" s="2607">
        <f t="shared" si="379"/>
        <v>1.2671533215300608</v>
      </c>
      <c r="F741" s="2607">
        <f t="shared" si="379"/>
        <v>1.2731630949562738</v>
      </c>
      <c r="G741" s="2607">
        <f t="shared" si="379"/>
        <v>1.2787165207140647</v>
      </c>
      <c r="H741" s="2607">
        <f t="shared" si="379"/>
        <v>1.283779407277887</v>
      </c>
      <c r="I741" s="2607">
        <f t="shared" si="379"/>
        <v>1.2883229705070276</v>
      </c>
      <c r="J741" s="2607">
        <f t="shared" si="379"/>
        <v>1.2923301119726809</v>
      </c>
      <c r="K741" s="2607">
        <f t="shared" si="379"/>
        <v>1.295763832959907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1.2466202727690678</v>
      </c>
      <c r="C745" s="2607">
        <f t="shared" si="383"/>
        <v>1.2538593048041906</v>
      </c>
      <c r="D745" s="2607">
        <f t="shared" si="383"/>
        <v>1.2607142094402188</v>
      </c>
      <c r="E745" s="2607">
        <f t="shared" si="383"/>
        <v>1.2671533215300608</v>
      </c>
      <c r="F745" s="2607">
        <f t="shared" si="383"/>
        <v>1.2731630949562738</v>
      </c>
      <c r="G745" s="2607">
        <f t="shared" si="383"/>
        <v>1.2787165207140647</v>
      </c>
      <c r="H745" s="2607">
        <f t="shared" si="383"/>
        <v>1.283779407277887</v>
      </c>
      <c r="I745" s="2607">
        <f t="shared" si="383"/>
        <v>1.2883229705070276</v>
      </c>
      <c r="J745" s="2607">
        <f t="shared" si="383"/>
        <v>1.2923301119726809</v>
      </c>
      <c r="K745" s="2607">
        <f t="shared" si="383"/>
        <v>1.295763832959907</v>
      </c>
    </row>
    <row r="746" spans="1:11">
      <c r="A746" s="357" t="s">
        <v>718</v>
      </c>
      <c r="B746" s="2608">
        <f t="shared" ref="B746:K746" si="384">IF(OR(B729="Choose mgt fee",B729="Choose One!"),"",(B722+B723+B724+B725+B726) / -(B728+B729+B730))</f>
        <v>1.7045690175406059</v>
      </c>
      <c r="C746" s="2608">
        <f t="shared" si="384"/>
        <v>1.688019803778076</v>
      </c>
      <c r="D746" s="2608">
        <f t="shared" si="384"/>
        <v>1.6716329479403429</v>
      </c>
      <c r="E746" s="2608">
        <f t="shared" si="384"/>
        <v>1.655399827695814</v>
      </c>
      <c r="F746" s="2608">
        <f t="shared" si="384"/>
        <v>1.6393286080899703</v>
      </c>
      <c r="G746" s="2608">
        <f t="shared" si="384"/>
        <v>1.6234161427331526</v>
      </c>
      <c r="H746" s="2608">
        <f t="shared" si="384"/>
        <v>1.6076548209590442</v>
      </c>
      <c r="I746" s="2608">
        <f t="shared" si="384"/>
        <v>1.5920426896970588</v>
      </c>
      <c r="J746" s="2608">
        <f t="shared" si="384"/>
        <v>1.5765868967240337</v>
      </c>
      <c r="K746" s="2608">
        <f t="shared" si="384"/>
        <v>1.5612806119237639</v>
      </c>
    </row>
    <row r="747" spans="1:11">
      <c r="A747" s="357" t="s">
        <v>2405</v>
      </c>
      <c r="B747" s="2606">
        <f>'Part VI-Pro Forma'!B40</f>
        <v>2114967.1939509269</v>
      </c>
      <c r="C747" s="2606">
        <f>'Part VI-Pro Forma'!C40</f>
        <v>2104209.1155413515</v>
      </c>
      <c r="D747" s="2606">
        <f>'Part VI-Pro Forma'!D40</f>
        <v>2092673.3347736902</v>
      </c>
      <c r="E747" s="2606">
        <f>'Part VI-Pro Forma'!E40</f>
        <v>2080303.6314815951</v>
      </c>
      <c r="F747" s="2606">
        <f>'Part VI-Pro Forma'!F40</f>
        <v>2067039.7213383468</v>
      </c>
      <c r="G747" s="2606">
        <f>'Part VI-Pro Forma'!G40</f>
        <v>2052816.9620583735</v>
      </c>
      <c r="H747" s="2606">
        <f>'Part VI-Pro Forma'!H40</f>
        <v>2037566.038360052</v>
      </c>
      <c r="I747" s="2606">
        <f>'Part VI-Pro Forma'!I40</f>
        <v>2021212.6241544464</v>
      </c>
      <c r="J747" s="2606">
        <f>'Part VI-Pro Forma'!J40</f>
        <v>2003677.0203136422</v>
      </c>
      <c r="K747" s="2606">
        <f>'Part VI-Pro Forma'!K40</f>
        <v>1984873.7662533231</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15961</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614153.76868175855</v>
      </c>
      <c r="C754" s="2606">
        <f>'Part VI-Pro Forma'!C47</f>
        <v>626436.84405539359</v>
      </c>
      <c r="D754" s="2606">
        <f>'Part VI-Pro Forma'!D47</f>
        <v>638965.5809365015</v>
      </c>
      <c r="E754" s="2606">
        <f>'Part VI-Pro Forma'!E47</f>
        <v>651744.89255523158</v>
      </c>
      <c r="F754" s="2606">
        <f>'Part VI-Pro Forma'!F47</f>
        <v>664779.79040633619</v>
      </c>
      <c r="G754" s="2606">
        <f>'Part VI-Pro Forma'!G47</f>
        <v>678075.38621446281</v>
      </c>
      <c r="H754" s="2606">
        <f>'Part VI-Pro Forma'!H47</f>
        <v>691636.89393875212</v>
      </c>
      <c r="I754" s="2606">
        <f>'Part VI-Pro Forma'!I47</f>
        <v>705469.63181752723</v>
      </c>
      <c r="J754" s="2606">
        <f>'Part VI-Pro Forma'!J47</f>
        <v>719579.0244538777</v>
      </c>
      <c r="K754" s="2606">
        <f>'Part VI-Pro Forma'!K47</f>
        <v>733970.60494295531</v>
      </c>
    </row>
    <row r="755" spans="1:11">
      <c r="A755" s="357" t="s">
        <v>952</v>
      </c>
      <c r="B755" s="2606">
        <f>'Part VI-Pro Forma'!B48</f>
        <v>12283.075373635171</v>
      </c>
      <c r="C755" s="2606">
        <f>'Part VI-Pro Forma'!C48</f>
        <v>12528.73688110787</v>
      </c>
      <c r="D755" s="2606">
        <f>'Part VI-Pro Forma'!D48</f>
        <v>12779.311618730031</v>
      </c>
      <c r="E755" s="2606">
        <f>'Part VI-Pro Forma'!E48</f>
        <v>13034.89785110463</v>
      </c>
      <c r="F755" s="2606">
        <f>'Part VI-Pro Forma'!F48</f>
        <v>13295.595808126724</v>
      </c>
      <c r="G755" s="2606">
        <f>'Part VI-Pro Forma'!G48</f>
        <v>13561.507724289255</v>
      </c>
      <c r="H755" s="2606">
        <f>'Part VI-Pro Forma'!H48</f>
        <v>13832.737878775042</v>
      </c>
      <c r="I755" s="2606">
        <f>'Part VI-Pro Forma'!I48</f>
        <v>14109.392636350545</v>
      </c>
      <c r="J755" s="2606">
        <f>'Part VI-Pro Forma'!J48</f>
        <v>14391.580489077554</v>
      </c>
      <c r="K755" s="2606">
        <f>'Part VI-Pro Forma'!K48</f>
        <v>14679.412098859104</v>
      </c>
    </row>
    <row r="756" spans="1:11">
      <c r="A756" s="357" t="s">
        <v>2216</v>
      </c>
      <c r="B756" s="2606">
        <f>'Part VI-Pro Forma'!B49</f>
        <v>-43850.579083877565</v>
      </c>
      <c r="C756" s="2606">
        <f>'Part VI-Pro Forma'!C49</f>
        <v>-44727.590665555108</v>
      </c>
      <c r="D756" s="2606">
        <f>'Part VI-Pro Forma'!D49</f>
        <v>-45622.142478866212</v>
      </c>
      <c r="E756" s="2606">
        <f>'Part VI-Pro Forma'!E49</f>
        <v>-46534.585328443536</v>
      </c>
      <c r="F756" s="2606">
        <f>'Part VI-Pro Forma'!F49</f>
        <v>-47465.277035012412</v>
      </c>
      <c r="G756" s="2606">
        <f>'Part VI-Pro Forma'!G49</f>
        <v>-48414.582575712644</v>
      </c>
      <c r="H756" s="2606">
        <f>'Part VI-Pro Forma'!H49</f>
        <v>-49382.874227226901</v>
      </c>
      <c r="I756" s="2606">
        <f>'Part VI-Pro Forma'!I49</f>
        <v>-50370.531711771451</v>
      </c>
      <c r="J756" s="2606">
        <f>'Part VI-Pro Forma'!J49</f>
        <v>-51377.942346006879</v>
      </c>
      <c r="K756" s="2606">
        <f>'Part VI-Pro Forma'!K49</f>
        <v>-52405.501192927011</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582586.2649715161</v>
      </c>
      <c r="C759" s="2606">
        <f>'Part VI-Pro Forma'!C52</f>
        <v>594237.99027094641</v>
      </c>
      <c r="D759" s="2606">
        <f>'Part VI-Pro Forma'!D52</f>
        <v>606122.75007636542</v>
      </c>
      <c r="E759" s="2606">
        <f>'Part VI-Pro Forma'!E52</f>
        <v>618245.20507789264</v>
      </c>
      <c r="F759" s="2606">
        <f>'Part VI-Pro Forma'!F52</f>
        <v>630610.10917945055</v>
      </c>
      <c r="G759" s="2606">
        <f>'Part VI-Pro Forma'!G52</f>
        <v>643222.31136303931</v>
      </c>
      <c r="H759" s="2606">
        <f>'Part VI-Pro Forma'!H52</f>
        <v>656086.75759030017</v>
      </c>
      <c r="I759" s="2606">
        <f>'Part VI-Pro Forma'!I52</f>
        <v>669208.49274210632</v>
      </c>
      <c r="J759" s="2606">
        <f>'Part VI-Pro Forma'!J52</f>
        <v>682592.66259694844</v>
      </c>
      <c r="K759" s="2606">
        <f>'Part VI-Pro Forma'!K52</f>
        <v>696244.51584888739</v>
      </c>
    </row>
    <row r="760" spans="1:11">
      <c r="A760" s="357" t="s">
        <v>572</v>
      </c>
      <c r="B760" s="2606">
        <f>'Part VI-Pro Forma'!B53</f>
        <v>-323719.88962365338</v>
      </c>
      <c r="C760" s="2606">
        <f>'Part VI-Pro Forma'!C53</f>
        <v>-333431.48631236301</v>
      </c>
      <c r="D760" s="2606">
        <f>'Part VI-Pro Forma'!D53</f>
        <v>-343434.43090173381</v>
      </c>
      <c r="E760" s="2606">
        <f>'Part VI-Pro Forma'!E53</f>
        <v>-353737.46382878581</v>
      </c>
      <c r="F760" s="2606">
        <f>'Part VI-Pro Forma'!F53</f>
        <v>-364349.58774364943</v>
      </c>
      <c r="G760" s="2606">
        <f>'Part VI-Pro Forma'!G53</f>
        <v>-375280.07537595893</v>
      </c>
      <c r="H760" s="2606">
        <f>'Part VI-Pro Forma'!H53</f>
        <v>-386538.47763723764</v>
      </c>
      <c r="I760" s="2606">
        <f>'Part VI-Pro Forma'!I53</f>
        <v>-398134.63196635479</v>
      </c>
      <c r="J760" s="2606">
        <f>'Part VI-Pro Forma'!J53</f>
        <v>-410078.67092534539</v>
      </c>
      <c r="K760" s="2606">
        <f>'Part VI-Pro Forma'!K53</f>
        <v>-422381.03105310578</v>
      </c>
    </row>
    <row r="761" spans="1:11">
      <c r="A761" s="357" t="s">
        <v>1050</v>
      </c>
      <c r="B761" s="2606">
        <f>'Part VI-Pro Forma'!B54</f>
        <v>-36286</v>
      </c>
      <c r="C761" s="2606">
        <f>'Part VI-Pro Forma'!C54</f>
        <v>-37374</v>
      </c>
      <c r="D761" s="2606">
        <f>'Part VI-Pro Forma'!D54</f>
        <v>-38496</v>
      </c>
      <c r="E761" s="2606">
        <f>'Part VI-Pro Forma'!E54</f>
        <v>-39650</v>
      </c>
      <c r="F761" s="2606">
        <f>'Part VI-Pro Forma'!F54</f>
        <v>-40840</v>
      </c>
      <c r="G761" s="2606">
        <f>'Part VI-Pro Forma'!G54</f>
        <v>-42065</v>
      </c>
      <c r="H761" s="2606">
        <f>'Part VI-Pro Forma'!H54</f>
        <v>-43327</v>
      </c>
      <c r="I761" s="2606">
        <f>'Part VI-Pro Forma'!I54</f>
        <v>-44627</v>
      </c>
      <c r="J761" s="2606">
        <f>'Part VI-Pro Forma'!J54</f>
        <v>-45966</v>
      </c>
      <c r="K761" s="2606">
        <f>'Part VI-Pro Forma'!K54</f>
        <v>-47345</v>
      </c>
    </row>
    <row r="762" spans="1:11">
      <c r="A762" s="357" t="s">
        <v>1128</v>
      </c>
      <c r="B762" s="2606">
        <f>'Part VI-Pro Forma'!B55</f>
        <v>-16798.954741801521</v>
      </c>
      <c r="C762" s="2606">
        <f>'Part VI-Pro Forma'!C55</f>
        <v>-17302.923384055568</v>
      </c>
      <c r="D762" s="2606">
        <f>'Part VI-Pro Forma'!D55</f>
        <v>-17822.011085577233</v>
      </c>
      <c r="E762" s="2606">
        <f>'Part VI-Pro Forma'!E55</f>
        <v>-18356.67141814455</v>
      </c>
      <c r="F762" s="2606">
        <f>'Part VI-Pro Forma'!F55</f>
        <v>-18907.371560688887</v>
      </c>
      <c r="G762" s="2606">
        <f>'Part VI-Pro Forma'!G55</f>
        <v>-19474.592707509557</v>
      </c>
      <c r="H762" s="2606">
        <f>'Part VI-Pro Forma'!H55</f>
        <v>-20058.830488734839</v>
      </c>
      <c r="I762" s="2606">
        <f>'Part VI-Pro Forma'!I55</f>
        <v>-20660.595403396885</v>
      </c>
      <c r="J762" s="2606">
        <f>'Part VI-Pro Forma'!J55</f>
        <v>-21280.413265498792</v>
      </c>
      <c r="K762" s="2606">
        <f>'Part VI-Pro Forma'!K55</f>
        <v>-21918.825663463755</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205781.42060606121</v>
      </c>
      <c r="C764" s="2606">
        <f t="shared" si="386"/>
        <v>206129.58057452785</v>
      </c>
      <c r="D764" s="2606">
        <f t="shared" si="386"/>
        <v>206370.30808905439</v>
      </c>
      <c r="E764" s="2606">
        <f t="shared" si="386"/>
        <v>206501.06983096228</v>
      </c>
      <c r="F764" s="2606">
        <f t="shared" si="386"/>
        <v>206513.14987511223</v>
      </c>
      <c r="G764" s="2606">
        <f t="shared" si="386"/>
        <v>206402.64327957082</v>
      </c>
      <c r="H764" s="2606">
        <f t="shared" si="386"/>
        <v>206162.44946432768</v>
      </c>
      <c r="I764" s="2606">
        <f t="shared" si="386"/>
        <v>205786.26537235465</v>
      </c>
      <c r="J764" s="2606">
        <f t="shared" si="386"/>
        <v>205267.57840610427</v>
      </c>
      <c r="K764" s="2606">
        <f t="shared" si="386"/>
        <v>204599.65913231784</v>
      </c>
    </row>
    <row r="765" spans="1:11">
      <c r="A765" s="357" t="str">
        <f>$A733</f>
        <v>Mortgage A</v>
      </c>
      <c r="B765" s="2606">
        <f>'Part VI-Pro Forma'!B58</f>
        <v>-158464.97631648468</v>
      </c>
      <c r="C765" s="2606">
        <f>'Part VI-Pro Forma'!C58</f>
        <v>-158464.97631648468</v>
      </c>
      <c r="D765" s="2606">
        <f>'Part VI-Pro Forma'!D58</f>
        <v>-158464.97631648468</v>
      </c>
      <c r="E765" s="2606">
        <f>'Part VI-Pro Forma'!E58</f>
        <v>-158464.97631648468</v>
      </c>
      <c r="F765" s="2606">
        <f>'Part VI-Pro Forma'!F58</f>
        <v>-158464.97631648468</v>
      </c>
      <c r="G765" s="2606">
        <f>'Part VI-Pro Forma'!G58</f>
        <v>-158464.97631648468</v>
      </c>
      <c r="H765" s="2606">
        <f>'Part VI-Pro Forma'!H58</f>
        <v>-158464.97631648468</v>
      </c>
      <c r="I765" s="2606">
        <f>'Part VI-Pro Forma'!I58</f>
        <v>-158464.97631648468</v>
      </c>
      <c r="J765" s="2606">
        <f>'Part VI-Pro Forma'!J58</f>
        <v>-158464.97631648468</v>
      </c>
      <c r="K765" s="2606">
        <f>'Part VI-Pro Forma'!K58</f>
        <v>-158464.97631648468</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39816.444289576524</v>
      </c>
      <c r="C772" s="2606">
        <f t="shared" si="387"/>
        <v>40164.604258043168</v>
      </c>
      <c r="D772" s="2606">
        <f t="shared" si="387"/>
        <v>40405.331772569712</v>
      </c>
      <c r="E772" s="2606">
        <f t="shared" si="387"/>
        <v>40536.093514477601</v>
      </c>
      <c r="F772" s="2606">
        <f t="shared" si="387"/>
        <v>40548.173558627546</v>
      </c>
      <c r="G772" s="2606">
        <f t="shared" si="387"/>
        <v>40437.666963086143</v>
      </c>
      <c r="H772" s="2606">
        <f t="shared" si="387"/>
        <v>40197.473147843004</v>
      </c>
      <c r="I772" s="2606">
        <f t="shared" si="387"/>
        <v>39821.289055869973</v>
      </c>
      <c r="J772" s="2606">
        <f t="shared" si="387"/>
        <v>39302.602089619584</v>
      </c>
      <c r="K772" s="2606">
        <f t="shared" si="387"/>
        <v>38634.682815833163</v>
      </c>
    </row>
    <row r="773" spans="1:11">
      <c r="A773" s="357" t="str">
        <f>$A741</f>
        <v>DCR Mortgage A</v>
      </c>
      <c r="B773" s="2607">
        <f t="shared" ref="B773:K773" si="388">IF(B765=0,"",-B764/B765)</f>
        <v>1.2985924422509401</v>
      </c>
      <c r="C773" s="2607">
        <f t="shared" si="388"/>
        <v>1.3007895205994786</v>
      </c>
      <c r="D773" s="2607">
        <f t="shared" si="388"/>
        <v>1.3023086418597234</v>
      </c>
      <c r="E773" s="2607">
        <f t="shared" si="388"/>
        <v>1.3031338194159723</v>
      </c>
      <c r="F773" s="2607">
        <f t="shared" si="388"/>
        <v>1.3032100510504365</v>
      </c>
      <c r="G773" s="2607">
        <f t="shared" si="388"/>
        <v>1.3025126944602921</v>
      </c>
      <c r="H773" s="2607">
        <f t="shared" si="388"/>
        <v>1.3009969411321658</v>
      </c>
      <c r="I773" s="2607">
        <f t="shared" si="388"/>
        <v>1.2986230153555216</v>
      </c>
      <c r="J773" s="2607">
        <f t="shared" si="388"/>
        <v>1.2953498191054273</v>
      </c>
      <c r="K773" s="2607">
        <f t="shared" si="388"/>
        <v>1.2911348860059364</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1.2985924422509401</v>
      </c>
      <c r="C777" s="2607">
        <f t="shared" si="392"/>
        <v>1.3007895205994786</v>
      </c>
      <c r="D777" s="2607">
        <f t="shared" si="392"/>
        <v>1.3023086418597234</v>
      </c>
      <c r="E777" s="2607">
        <f t="shared" si="392"/>
        <v>1.3031338194159723</v>
      </c>
      <c r="F777" s="2607">
        <f t="shared" si="392"/>
        <v>1.3032100510504365</v>
      </c>
      <c r="G777" s="2607">
        <f t="shared" si="392"/>
        <v>1.3025126944602921</v>
      </c>
      <c r="H777" s="2607">
        <f t="shared" si="392"/>
        <v>1.3009969411321658</v>
      </c>
      <c r="I777" s="2607">
        <f t="shared" si="392"/>
        <v>1.2986230153555216</v>
      </c>
      <c r="J777" s="2607">
        <f t="shared" si="392"/>
        <v>1.2953498191054273</v>
      </c>
      <c r="K777" s="2607">
        <f t="shared" si="392"/>
        <v>1.2911348860059364</v>
      </c>
    </row>
    <row r="778" spans="1:11">
      <c r="A778" s="357" t="s">
        <v>718</v>
      </c>
      <c r="B778" s="2608">
        <f t="shared" ref="B778:K778" si="393">IF(OR(B761="Choose mgt fee",B761="Choose One!"),"",(B754+B755+B756+B757+B758) / -(B760+B761+B762))</f>
        <v>1.5461220143084948</v>
      </c>
      <c r="C778" s="2608">
        <f t="shared" si="393"/>
        <v>1.5311134091007303</v>
      </c>
      <c r="D778" s="2608">
        <f t="shared" si="393"/>
        <v>1.516245271856538</v>
      </c>
      <c r="E778" s="2608">
        <f t="shared" si="393"/>
        <v>1.5015276531069954</v>
      </c>
      <c r="F778" s="2608">
        <f t="shared" si="393"/>
        <v>1.4869479616497681</v>
      </c>
      <c r="G778" s="2608">
        <f t="shared" si="393"/>
        <v>1.4725122478691388</v>
      </c>
      <c r="H778" s="2608">
        <f t="shared" si="393"/>
        <v>1.4582158504016749</v>
      </c>
      <c r="I778" s="2608">
        <f t="shared" si="393"/>
        <v>1.4440578229066332</v>
      </c>
      <c r="J778" s="2608">
        <f t="shared" si="393"/>
        <v>1.4300372748146504</v>
      </c>
      <c r="K778" s="2608">
        <f t="shared" si="393"/>
        <v>1.4161533601688188</v>
      </c>
    </row>
    <row r="779" spans="1:11">
      <c r="A779" s="357" t="s">
        <v>2405</v>
      </c>
      <c r="B779" s="2606">
        <f>'Part VI-Pro Forma'!B72</f>
        <v>1964711.2234366231</v>
      </c>
      <c r="C779" s="2606">
        <f>'Part VI-Pro Forma'!C72</f>
        <v>1943091.1287694366</v>
      </c>
      <c r="D779" s="2606">
        <f>'Part VI-Pro Forma'!D72</f>
        <v>1919908.1157106399</v>
      </c>
      <c r="E779" s="2606">
        <f>'Part VI-Pro Forma'!E72</f>
        <v>1895049.2007633315</v>
      </c>
      <c r="F779" s="2606">
        <f>'Part VI-Pro Forma'!F72</f>
        <v>1868393.232844484</v>
      </c>
      <c r="G779" s="2606">
        <f>'Part VI-Pro Forma'!G72</f>
        <v>1839810.3028494818</v>
      </c>
      <c r="H779" s="2606">
        <f>'Part VI-Pro Forma'!H72</f>
        <v>1809161.1105340328</v>
      </c>
      <c r="I779" s="2606">
        <f>'Part VI-Pro Forma'!I72</f>
        <v>1776296.2856279216</v>
      </c>
      <c r="J779" s="2606">
        <f>'Part VI-Pro Forma'!J72</f>
        <v>1741055.6598720215</v>
      </c>
      <c r="K779" s="2606">
        <f>'Part VI-Pro Forma'!K72</f>
        <v>1703267.4864308031</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748650.0170418144</v>
      </c>
      <c r="C786" s="2606">
        <f>'Part VI-Pro Forma'!C79</f>
        <v>763623.01738265064</v>
      </c>
      <c r="D786" s="2606">
        <f>'Part VI-Pro Forma'!D79</f>
        <v>778895.47773030377</v>
      </c>
      <c r="E786" s="2606">
        <f>'Part VI-Pro Forma'!E79</f>
        <v>794473.38728490961</v>
      </c>
      <c r="F786" s="2606">
        <f>'Part VI-Pro Forma'!F79</f>
        <v>810362.8550306079</v>
      </c>
      <c r="G786" s="2606">
        <f>'Part VI-Pro Forma'!G79</f>
        <v>826570.11213122006</v>
      </c>
      <c r="H786" s="2606">
        <f>'Part VI-Pro Forma'!H79</f>
        <v>843101.51437384449</v>
      </c>
      <c r="I786" s="2606">
        <f>'Part VI-Pro Forma'!I79</f>
        <v>859963.54466132121</v>
      </c>
      <c r="J786" s="2606">
        <f>'Part VI-Pro Forma'!J79</f>
        <v>877162.81555454782</v>
      </c>
      <c r="K786" s="2606">
        <f>'Part VI-Pro Forma'!K79</f>
        <v>894706.07186563872</v>
      </c>
    </row>
    <row r="787" spans="1:11">
      <c r="A787" s="357" t="s">
        <v>952</v>
      </c>
      <c r="B787" s="2606">
        <f>'Part VI-Pro Forma'!B80</f>
        <v>14973.000340836288</v>
      </c>
      <c r="C787" s="2606">
        <f>'Part VI-Pro Forma'!C80</f>
        <v>15272.460347653012</v>
      </c>
      <c r="D787" s="2606">
        <f>'Part VI-Pro Forma'!D80</f>
        <v>15577.909554606074</v>
      </c>
      <c r="E787" s="2606">
        <f>'Part VI-Pro Forma'!E80</f>
        <v>15889.467745698192</v>
      </c>
      <c r="F787" s="2606">
        <f>'Part VI-Pro Forma'!F80</f>
        <v>16207.257100612156</v>
      </c>
      <c r="G787" s="2606">
        <f>'Part VI-Pro Forma'!G80</f>
        <v>16531.402242624401</v>
      </c>
      <c r="H787" s="2606">
        <f>'Part VI-Pro Forma'!H80</f>
        <v>16862.030287476889</v>
      </c>
      <c r="I787" s="2606">
        <f>'Part VI-Pro Forma'!I80</f>
        <v>17199.270893226425</v>
      </c>
      <c r="J787" s="2606">
        <f>'Part VI-Pro Forma'!J80</f>
        <v>17543.256311090958</v>
      </c>
      <c r="K787" s="2606">
        <f>'Part VI-Pro Forma'!K80</f>
        <v>17894.121437312773</v>
      </c>
    </row>
    <row r="788" spans="1:11">
      <c r="A788" s="357" t="s">
        <v>2216</v>
      </c>
      <c r="B788" s="2606">
        <f>'Part VI-Pro Forma'!B81</f>
        <v>-53453.611216785546</v>
      </c>
      <c r="C788" s="2606">
        <f>'Part VI-Pro Forma'!C81</f>
        <v>-54522.683441121262</v>
      </c>
      <c r="D788" s="2606">
        <f>'Part VI-Pro Forma'!D81</f>
        <v>-55613.137109943695</v>
      </c>
      <c r="E788" s="2606">
        <f>'Part VI-Pro Forma'!E81</f>
        <v>-56725.399852142553</v>
      </c>
      <c r="F788" s="2606">
        <f>'Part VI-Pro Forma'!F81</f>
        <v>-57859.907849185409</v>
      </c>
      <c r="G788" s="2606">
        <f>'Part VI-Pro Forma'!G81</f>
        <v>-59017.106006169117</v>
      </c>
      <c r="H788" s="2606">
        <f>'Part VI-Pro Forma'!H81</f>
        <v>-60197.448126292496</v>
      </c>
      <c r="I788" s="2606">
        <f>'Part VI-Pro Forma'!I81</f>
        <v>-61401.397088818339</v>
      </c>
      <c r="J788" s="2606">
        <f>'Part VI-Pro Forma'!J81</f>
        <v>-62629.425030594721</v>
      </c>
      <c r="K788" s="2606">
        <f>'Part VI-Pro Forma'!K81</f>
        <v>-63882.013531206612</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710169.40616586513</v>
      </c>
      <c r="C791" s="2606">
        <f>'Part VI-Pro Forma'!C84</f>
        <v>724372.79428918241</v>
      </c>
      <c r="D791" s="2606">
        <f>'Part VI-Pro Forma'!D84</f>
        <v>738860.25017496618</v>
      </c>
      <c r="E791" s="2606">
        <f>'Part VI-Pro Forma'!E84</f>
        <v>753637.45517846523</v>
      </c>
      <c r="F791" s="2606">
        <f>'Part VI-Pro Forma'!F84</f>
        <v>768710.20428203465</v>
      </c>
      <c r="G791" s="2606">
        <f>'Part VI-Pro Forma'!G84</f>
        <v>784084.40836767538</v>
      </c>
      <c r="H791" s="2606">
        <f>'Part VI-Pro Forma'!H84</f>
        <v>799766.09653502889</v>
      </c>
      <c r="I791" s="2606">
        <f>'Part VI-Pro Forma'!I84</f>
        <v>815761.41846572922</v>
      </c>
      <c r="J791" s="2606">
        <f>'Part VI-Pro Forma'!J84</f>
        <v>832076.64683504414</v>
      </c>
      <c r="K791" s="2606">
        <f>'Part VI-Pro Forma'!K84</f>
        <v>848718.17977174488</v>
      </c>
    </row>
    <row r="792" spans="1:11">
      <c r="A792" s="357" t="s">
        <v>572</v>
      </c>
      <c r="B792" s="2606">
        <f>'Part VI-Pro Forma'!B85</f>
        <v>-435052.46198469895</v>
      </c>
      <c r="C792" s="2606">
        <f>'Part VI-Pro Forma'!C85</f>
        <v>-448104.03584423981</v>
      </c>
      <c r="D792" s="2606">
        <f>'Part VI-Pro Forma'!D85</f>
        <v>-461547.15691956709</v>
      </c>
      <c r="E792" s="2606">
        <f>'Part VI-Pro Forma'!E85</f>
        <v>-475393.57162715413</v>
      </c>
      <c r="F792" s="2606">
        <f>'Part VI-Pro Forma'!F85</f>
        <v>-489655.37877596868</v>
      </c>
      <c r="G792" s="2606">
        <f>'Part VI-Pro Forma'!G85</f>
        <v>-504345.04013924772</v>
      </c>
      <c r="H792" s="2606">
        <f>'Part VI-Pro Forma'!H85</f>
        <v>-519475.3913434252</v>
      </c>
      <c r="I792" s="2606">
        <f>'Part VI-Pro Forma'!I85</f>
        <v>-535059.65308372793</v>
      </c>
      <c r="J792" s="2606">
        <f>'Part VI-Pro Forma'!J85</f>
        <v>-551111.44267623976</v>
      </c>
      <c r="K792" s="2606">
        <f>'Part VI-Pro Forma'!K85</f>
        <v>-567644.78595652687</v>
      </c>
    </row>
    <row r="793" spans="1:11">
      <c r="A793" s="357" t="s">
        <v>1050</v>
      </c>
      <c r="B793" s="2606">
        <f>'Part VI-Pro Forma'!B86</f>
        <v>-48765</v>
      </c>
      <c r="C793" s="2606">
        <f>'Part VI-Pro Forma'!C86</f>
        <v>-50228</v>
      </c>
      <c r="D793" s="2606">
        <f>'Part VI-Pro Forma'!D86</f>
        <v>-51735</v>
      </c>
      <c r="E793" s="2606">
        <f>'Part VI-Pro Forma'!E86</f>
        <v>-53287</v>
      </c>
      <c r="F793" s="2606">
        <f>'Part VI-Pro Forma'!F86</f>
        <v>-54885</v>
      </c>
      <c r="G793" s="2606">
        <f>'Part VI-Pro Forma'!G86</f>
        <v>-56532</v>
      </c>
      <c r="H793" s="2606">
        <f>'Part VI-Pro Forma'!H86</f>
        <v>-58228</v>
      </c>
      <c r="I793" s="2606">
        <f>'Part VI-Pro Forma'!I86</f>
        <v>-59975</v>
      </c>
      <c r="J793" s="2606">
        <f>'Part VI-Pro Forma'!J86</f>
        <v>-61774</v>
      </c>
      <c r="K793" s="2606">
        <f>'Part VI-Pro Forma'!K86</f>
        <v>-63627</v>
      </c>
    </row>
    <row r="794" spans="1:11">
      <c r="A794" s="357" t="s">
        <v>1128</v>
      </c>
      <c r="B794" s="2606">
        <f>'Part VI-Pro Forma'!B87</f>
        <v>-22576.390433367666</v>
      </c>
      <c r="C794" s="2606">
        <f>'Part VI-Pro Forma'!C87</f>
        <v>-23253.682146368694</v>
      </c>
      <c r="D794" s="2606">
        <f>'Part VI-Pro Forma'!D87</f>
        <v>-23951.292610759756</v>
      </c>
      <c r="E794" s="2606">
        <f>'Part VI-Pro Forma'!E87</f>
        <v>-24669.831389082548</v>
      </c>
      <c r="F794" s="2606">
        <f>'Part VI-Pro Forma'!F87</f>
        <v>-25409.926330755021</v>
      </c>
      <c r="G794" s="2606">
        <f>'Part VI-Pro Forma'!G87</f>
        <v>-26172.224120677674</v>
      </c>
      <c r="H794" s="2606">
        <f>'Part VI-Pro Forma'!H87</f>
        <v>-26957.390844298006</v>
      </c>
      <c r="I794" s="2606">
        <f>'Part VI-Pro Forma'!I87</f>
        <v>-27766.112569626945</v>
      </c>
      <c r="J794" s="2606">
        <f>'Part VI-Pro Forma'!J87</f>
        <v>-28599.095946715752</v>
      </c>
      <c r="K794" s="2606">
        <f>'Part VI-Pro Forma'!K87</f>
        <v>-29457.068825117221</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203775.55374779852</v>
      </c>
      <c r="C796" s="2606">
        <f t="shared" si="395"/>
        <v>202787.0762985739</v>
      </c>
      <c r="D796" s="2606">
        <f t="shared" si="395"/>
        <v>201626.80064463933</v>
      </c>
      <c r="E796" s="2606">
        <f t="shared" si="395"/>
        <v>200287.05216222856</v>
      </c>
      <c r="F796" s="2606">
        <f t="shared" si="395"/>
        <v>198759.89917531094</v>
      </c>
      <c r="G796" s="2606">
        <f t="shared" si="395"/>
        <v>197035.14410774998</v>
      </c>
      <c r="H796" s="2606">
        <f t="shared" si="395"/>
        <v>195105.31434730568</v>
      </c>
      <c r="I796" s="2606">
        <f t="shared" si="395"/>
        <v>192960.65281237435</v>
      </c>
      <c r="J796" s="2606">
        <f t="shared" si="395"/>
        <v>190592.10821208864</v>
      </c>
      <c r="K796" s="2606">
        <f t="shared" si="395"/>
        <v>187989.32499010078</v>
      </c>
    </row>
    <row r="797" spans="1:11">
      <c r="A797" s="357" t="str">
        <f>$A765</f>
        <v>Mortgage A</v>
      </c>
      <c r="B797" s="2606">
        <f>'Part VI-Pro Forma'!B90</f>
        <v>-158464.97631648468</v>
      </c>
      <c r="C797" s="2606">
        <f>'Part VI-Pro Forma'!C90</f>
        <v>-158464.97631648468</v>
      </c>
      <c r="D797" s="2606">
        <f>'Part VI-Pro Forma'!D90</f>
        <v>-158464.97631648468</v>
      </c>
      <c r="E797" s="2606">
        <f>'Part VI-Pro Forma'!E90</f>
        <v>-158464.97631648468</v>
      </c>
      <c r="F797" s="2606">
        <f>'Part VI-Pro Forma'!F90</f>
        <v>-158464.97631648468</v>
      </c>
      <c r="G797" s="2606">
        <f>'Part VI-Pro Forma'!G90</f>
        <v>-158464.97631648468</v>
      </c>
      <c r="H797" s="2606">
        <f>'Part VI-Pro Forma'!H90</f>
        <v>-158464.97631648468</v>
      </c>
      <c r="I797" s="2606">
        <f>'Part VI-Pro Forma'!I90</f>
        <v>-158464.97631648468</v>
      </c>
      <c r="J797" s="2606">
        <f>'Part VI-Pro Forma'!J90</f>
        <v>-158464.97631648468</v>
      </c>
      <c r="K797" s="2606">
        <f>'Part VI-Pro Forma'!K90</f>
        <v>-158464.97631648468</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37810.577431313839</v>
      </c>
      <c r="C803" s="2606">
        <f t="shared" si="396"/>
        <v>36822.099982089218</v>
      </c>
      <c r="D803" s="2606">
        <f t="shared" si="396"/>
        <v>35661.824328154646</v>
      </c>
      <c r="E803" s="2606">
        <f t="shared" si="396"/>
        <v>34322.075845743879</v>
      </c>
      <c r="F803" s="2606">
        <f t="shared" si="396"/>
        <v>32794.922858826263</v>
      </c>
      <c r="G803" s="2606">
        <f t="shared" si="396"/>
        <v>31070.167791265296</v>
      </c>
      <c r="H803" s="2606">
        <f t="shared" si="396"/>
        <v>29140.338030821003</v>
      </c>
      <c r="I803" s="2606">
        <f t="shared" si="396"/>
        <v>26995.676495889667</v>
      </c>
      <c r="J803" s="2606">
        <f t="shared" si="396"/>
        <v>24627.131895603961</v>
      </c>
      <c r="K803" s="2606">
        <f t="shared" si="396"/>
        <v>22024.348673616099</v>
      </c>
    </row>
    <row r="804" spans="1:11">
      <c r="A804" s="357" t="str">
        <f>$A773</f>
        <v>DCR Mortgage A</v>
      </c>
      <c r="B804" s="2607">
        <f t="shared" ref="B804:K804" si="397">IF(B797=0,"",-B796/B797)</f>
        <v>1.2859343337850251</v>
      </c>
      <c r="C804" s="2607">
        <f t="shared" si="397"/>
        <v>1.279696504630585</v>
      </c>
      <c r="D804" s="2607">
        <f t="shared" si="397"/>
        <v>1.272374535568997</v>
      </c>
      <c r="E804" s="2607">
        <f t="shared" si="397"/>
        <v>1.2639199955592537</v>
      </c>
      <c r="F804" s="2607">
        <f t="shared" si="397"/>
        <v>1.2542828314210557</v>
      </c>
      <c r="G804" s="2607">
        <f t="shared" si="397"/>
        <v>1.2433986909147252</v>
      </c>
      <c r="H804" s="2607">
        <f t="shared" si="397"/>
        <v>1.2312204178016175</v>
      </c>
      <c r="I804" s="2607">
        <f t="shared" si="397"/>
        <v>1.2176864396016143</v>
      </c>
      <c r="J804" s="2607">
        <f t="shared" si="397"/>
        <v>1.2027396377571784</v>
      </c>
      <c r="K804" s="2607">
        <f t="shared" si="397"/>
        <v>1.1863146630877623</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1.2859343337850251</v>
      </c>
      <c r="C808" s="2607">
        <f t="shared" si="401"/>
        <v>1.279696504630585</v>
      </c>
      <c r="D808" s="2607">
        <f t="shared" si="401"/>
        <v>1.272374535568997</v>
      </c>
      <c r="E808" s="2607">
        <f t="shared" si="401"/>
        <v>1.2639199955592537</v>
      </c>
      <c r="F808" s="2607">
        <f t="shared" si="401"/>
        <v>1.2542828314210557</v>
      </c>
      <c r="G808" s="2607">
        <f t="shared" si="401"/>
        <v>1.2433986909147252</v>
      </c>
      <c r="H808" s="2607">
        <f t="shared" si="401"/>
        <v>1.2312204178016175</v>
      </c>
      <c r="I808" s="2607">
        <f t="shared" si="401"/>
        <v>1.2176864396016143</v>
      </c>
      <c r="J808" s="2607">
        <f t="shared" si="401"/>
        <v>1.2027396377571784</v>
      </c>
      <c r="K808" s="2607">
        <f t="shared" si="401"/>
        <v>1.1863146630877623</v>
      </c>
    </row>
    <row r="809" spans="1:11">
      <c r="A809" s="357" t="s">
        <v>718</v>
      </c>
      <c r="B809" s="2608">
        <f>IF(OR(B793="Choose mgt fee",B793="Choose One!"),"",(B786+B787+B788+B789+B790) / -(B792+B793+B794))</f>
        <v>1.4024052677076464</v>
      </c>
      <c r="C809" s="2608">
        <f t="shared" ref="C809:K809" si="402">IF(OR(C793="Choose mgt fee",C793="Choose One!"),"",(C786+C787+C788+C789+C790) / -(C792+C793+C794))</f>
        <v>1.3887895494527809</v>
      </c>
      <c r="D809" s="2608">
        <f t="shared" si="402"/>
        <v>1.3753057461721907</v>
      </c>
      <c r="E809" s="2608">
        <f t="shared" si="402"/>
        <v>1.3619533862639142</v>
      </c>
      <c r="F809" s="2608">
        <f t="shared" si="402"/>
        <v>1.3487319813577308</v>
      </c>
      <c r="G809" s="2608">
        <f t="shared" si="402"/>
        <v>1.3356364722748544</v>
      </c>
      <c r="H809" s="2608">
        <f t="shared" si="402"/>
        <v>1.3226690403855779</v>
      </c>
      <c r="I809" s="2608">
        <f t="shared" si="402"/>
        <v>1.3098272568916116</v>
      </c>
      <c r="J809" s="2608">
        <f t="shared" si="402"/>
        <v>1.2971109929184321</v>
      </c>
      <c r="K809" s="2608">
        <f t="shared" si="402"/>
        <v>1.284518110007814</v>
      </c>
    </row>
    <row r="810" spans="1:11">
      <c r="A810" s="357" t="s">
        <v>2405</v>
      </c>
      <c r="B810" s="2606">
        <f>'Part VI-Pro Forma'!B103</f>
        <v>1662747.6028761095</v>
      </c>
      <c r="C810" s="2606">
        <f>'Part VI-Pro Forma'!C103</f>
        <v>1619298.533662962</v>
      </c>
      <c r="D810" s="2606">
        <f>'Part VI-Pro Forma'!D103</f>
        <v>1572708.5277232679</v>
      </c>
      <c r="E810" s="2606">
        <f>'Part VI-Pro Forma'!E103</f>
        <v>1522750.5264871006</v>
      </c>
      <c r="F810" s="2606">
        <f>'Part VI-Pro Forma'!F103</f>
        <v>1469181.0573021548</v>
      </c>
      <c r="G810" s="2606">
        <f>'Part VI-Pro Forma'!G103</f>
        <v>1411739.0468584038</v>
      </c>
      <c r="H810" s="2606">
        <f>'Part VI-Pro Forma'!H103</f>
        <v>1350144.5488351292</v>
      </c>
      <c r="I810" s="2606">
        <f>'Part VI-Pro Forma'!I103</f>
        <v>1284097.379569453</v>
      </c>
      <c r="J810" s="2606">
        <f>'Part VI-Pro Forma'!J103</f>
        <v>1213275.6550972355</v>
      </c>
      <c r="K810" s="2606">
        <f>'Part VI-Pro Forma'!K103</f>
        <v>1137334.2224365433</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912600.19330295152</v>
      </c>
      <c r="C816" s="2606">
        <f>'Part VI-Pro Forma'!C109</f>
        <v>930852.19716901041</v>
      </c>
      <c r="D816" s="2606">
        <f>'Part VI-Pro Forma'!D109</f>
        <v>949469.24111239077</v>
      </c>
      <c r="E816" s="2606">
        <f>'Part VI-Pro Forma'!E109</f>
        <v>968458.62593463867</v>
      </c>
      <c r="F816" s="2606">
        <f>'Part VI-Pro Forma'!F109</f>
        <v>987827.79845333134</v>
      </c>
      <c r="G816" s="2606"/>
      <c r="H816" s="2606"/>
      <c r="I816" s="2606"/>
      <c r="J816" s="2606"/>
      <c r="K816" s="2606"/>
    </row>
    <row r="817" spans="1:11">
      <c r="A817" s="357" t="s">
        <v>952</v>
      </c>
      <c r="B817" s="2606">
        <f>'Part VI-Pro Forma'!B110</f>
        <v>18252.003866059029</v>
      </c>
      <c r="C817" s="2606">
        <f>'Part VI-Pro Forma'!C110</f>
        <v>18617.043943380206</v>
      </c>
      <c r="D817" s="2606">
        <f>'Part VI-Pro Forma'!D110</f>
        <v>18989.384822247815</v>
      </c>
      <c r="E817" s="2606">
        <f>'Part VI-Pro Forma'!E110</f>
        <v>19369.172518692772</v>
      </c>
      <c r="F817" s="2606">
        <f>'Part VI-Pro Forma'!F110</f>
        <v>19756.555969066627</v>
      </c>
      <c r="G817" s="2606"/>
      <c r="H817" s="2606"/>
      <c r="I817" s="2606"/>
      <c r="J817" s="2606"/>
      <c r="K817" s="2606"/>
    </row>
    <row r="818" spans="1:11">
      <c r="A818" s="357" t="s">
        <v>2216</v>
      </c>
      <c r="B818" s="2606">
        <f>'Part VI-Pro Forma'!B111</f>
        <v>-65159.65380183074</v>
      </c>
      <c r="C818" s="2606">
        <f>'Part VI-Pro Forma'!C111</f>
        <v>-66462.846877867356</v>
      </c>
      <c r="D818" s="2606">
        <f>'Part VI-Pro Forma'!D111</f>
        <v>-67792.103815424707</v>
      </c>
      <c r="E818" s="2606">
        <f>'Part VI-Pro Forma'!E111</f>
        <v>-69147.945891733209</v>
      </c>
      <c r="F818" s="2606">
        <f>'Part VI-Pro Forma'!F111</f>
        <v>-70530.904809567859</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865692.54336717981</v>
      </c>
      <c r="C821" s="2606">
        <f>'Part VI-Pro Forma'!C114</f>
        <v>883006.39423452329</v>
      </c>
      <c r="D821" s="2606">
        <f>'Part VI-Pro Forma'!D114</f>
        <v>900666.52211921383</v>
      </c>
      <c r="E821" s="2606">
        <f>'Part VI-Pro Forma'!E114</f>
        <v>918679.85256159829</v>
      </c>
      <c r="F821" s="2606">
        <f>'Part VI-Pro Forma'!F114</f>
        <v>937053.44961283007</v>
      </c>
      <c r="G821" s="2606"/>
      <c r="H821" s="2606"/>
      <c r="I821" s="2606"/>
      <c r="J821" s="2606"/>
      <c r="K821" s="2606"/>
    </row>
    <row r="822" spans="1:11">
      <c r="A822" s="357" t="s">
        <v>572</v>
      </c>
      <c r="B822" s="2606">
        <f>'Part VI-Pro Forma'!B115</f>
        <v>-584674.12953522266</v>
      </c>
      <c r="C822" s="2606">
        <f>'Part VI-Pro Forma'!C115</f>
        <v>-602214.35342127946</v>
      </c>
      <c r="D822" s="2606">
        <f>'Part VI-Pro Forma'!D115</f>
        <v>-620280.78402391775</v>
      </c>
      <c r="E822" s="2606">
        <f>'Part VI-Pro Forma'!E115</f>
        <v>-638889.20754463528</v>
      </c>
      <c r="F822" s="2606">
        <f>'Part VI-Pro Forma'!F115</f>
        <v>-658055.88377097424</v>
      </c>
      <c r="G822" s="2606"/>
      <c r="H822" s="2606"/>
      <c r="I822" s="2606"/>
      <c r="J822" s="2606"/>
      <c r="K822" s="2606"/>
    </row>
    <row r="823" spans="1:11">
      <c r="A823" s="357" t="s">
        <v>1050</v>
      </c>
      <c r="B823" s="2606">
        <f>'Part VI-Pro Forma'!B116</f>
        <v>-65536</v>
      </c>
      <c r="C823" s="2606">
        <f>'Part VI-Pro Forma'!C116</f>
        <v>-67502</v>
      </c>
      <c r="D823" s="2606">
        <f>'Part VI-Pro Forma'!D116</f>
        <v>-69527</v>
      </c>
      <c r="E823" s="2606">
        <f>'Part VI-Pro Forma'!E116</f>
        <v>-71613</v>
      </c>
      <c r="F823" s="2606">
        <f>'Part VI-Pro Forma'!F116</f>
        <v>-73761</v>
      </c>
      <c r="G823" s="2606"/>
      <c r="H823" s="2606"/>
      <c r="I823" s="2606"/>
      <c r="J823" s="2606"/>
      <c r="K823" s="2606"/>
    </row>
    <row r="824" spans="1:11">
      <c r="A824" s="357" t="s">
        <v>1128</v>
      </c>
      <c r="B824" s="2606">
        <f>'Part VI-Pro Forma'!B117</f>
        <v>-30340.780889870737</v>
      </c>
      <c r="C824" s="2606">
        <f>'Part VI-Pro Forma'!C117</f>
        <v>-31251.004316566865</v>
      </c>
      <c r="D824" s="2606">
        <f>'Part VI-Pro Forma'!D117</f>
        <v>-32188.534446063866</v>
      </c>
      <c r="E824" s="2606">
        <f>'Part VI-Pro Forma'!E117</f>
        <v>-33154.190479445781</v>
      </c>
      <c r="F824" s="2606">
        <f>'Part VI-Pro Forma'!F117</f>
        <v>-34148.816193829152</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185141.63294208641</v>
      </c>
      <c r="C826" s="2606">
        <f>SUM(C821:C825)</f>
        <v>182039.03649667697</v>
      </c>
      <c r="D826" s="2606">
        <f>SUM(D821:D825)</f>
        <v>178670.20364923222</v>
      </c>
      <c r="E826" s="2606">
        <f>SUM(E821:E825)</f>
        <v>175023.45453751722</v>
      </c>
      <c r="F826" s="2606">
        <f>SUM(F821:F825)</f>
        <v>171087.74964802669</v>
      </c>
      <c r="G826" s="2606"/>
      <c r="H826" s="2606"/>
      <c r="I826" s="2606"/>
      <c r="J826" s="2606"/>
      <c r="K826" s="2606"/>
    </row>
    <row r="827" spans="1:11">
      <c r="A827" s="357" t="str">
        <f>$A797</f>
        <v>Mortgage A</v>
      </c>
      <c r="B827" s="2606">
        <f>'Part VI-Pro Forma'!B120</f>
        <v>-158464.97631648468</v>
      </c>
      <c r="C827" s="2606">
        <f>'Part VI-Pro Forma'!C120</f>
        <v>-158464.97631648468</v>
      </c>
      <c r="D827" s="2606">
        <f>'Part VI-Pro Forma'!D120</f>
        <v>-158464.97631648468</v>
      </c>
      <c r="E827" s="2606">
        <f>'Part VI-Pro Forma'!E120</f>
        <v>-158464.97631648468</v>
      </c>
      <c r="F827" s="2606">
        <f>'Part VI-Pro Forma'!F120</f>
        <v>-158464.97631648468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19176.656625601725</v>
      </c>
      <c r="C833" s="2606">
        <f>SUM(C826:C832)</f>
        <v>16074.060180192289</v>
      </c>
      <c r="D833" s="2606">
        <f>SUM(D826:D832)</f>
        <v>12705.227332747541</v>
      </c>
      <c r="E833" s="2606">
        <f>SUM(E826:E832)</f>
        <v>9058.4782210325357</v>
      </c>
      <c r="F833" s="2606">
        <f>SUM(F826:F832)</f>
        <v>5122.7733315420046</v>
      </c>
      <c r="G833" s="2606"/>
      <c r="H833" s="2606"/>
      <c r="I833" s="2606"/>
      <c r="J833" s="2606"/>
      <c r="K833" s="2606"/>
    </row>
    <row r="834" spans="1:11">
      <c r="A834" s="357" t="str">
        <f>$A804</f>
        <v>DCR Mortgage A</v>
      </c>
      <c r="B834" s="2607">
        <f>IF(B827=0,"",-B826/B827)</f>
        <v>1.1683441808133261</v>
      </c>
      <c r="C834" s="2607">
        <f>IF(C827=0,"",-C826/C827)</f>
        <v>1.1487651134539054</v>
      </c>
      <c r="D834" s="2607">
        <f>IF(D827=0,"",-D826/D827)</f>
        <v>1.1275059499103062</v>
      </c>
      <c r="E834" s="2607">
        <f>IF(E827=0,"",-E826/E827)</f>
        <v>1.1044929839131272</v>
      </c>
      <c r="F834" s="2607">
        <f>IF(F827=0,"",-F826/F827)</f>
        <v>1.0796565501409721</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1.1683441808133261</v>
      </c>
      <c r="C838" s="2607">
        <f>IF(AND(C827=0,C828=0,C829=0,C830=0),"",-C826/(C827+C828+C829+C830))</f>
        <v>1.1487651134539054</v>
      </c>
      <c r="D838" s="2607">
        <f>IF(AND(D827=0,D828=0,D829=0,D830=0),"",-D826/(D827+D828+D829+D830))</f>
        <v>1.1275059499103062</v>
      </c>
      <c r="E838" s="2607">
        <f>IF(AND(E827=0,E828=0,E829=0,E830=0),"",-E826/(E827+E828+E829+E830))</f>
        <v>1.1044929839131272</v>
      </c>
      <c r="F838" s="2607">
        <f>IF(AND(F827=0,F828=0,F829=0,F830=0),"",-F826/(F827+F828+F829+F830))</f>
        <v>1.0796565501409721</v>
      </c>
      <c r="G838" s="2606"/>
      <c r="H838" s="2606"/>
      <c r="I838" s="2606"/>
      <c r="J838" s="2606"/>
      <c r="K838" s="2606"/>
    </row>
    <row r="839" spans="1:11">
      <c r="A839" s="357" t="s">
        <v>718</v>
      </c>
      <c r="B839" s="2608">
        <f>IF(OR(B823="Choose mgt fee",B823="Choose One!"),"",(B816+B817+B818+B819+B820) / -(B822+B823+B824))</f>
        <v>1.2720467052588926</v>
      </c>
      <c r="C839" s="2608">
        <f>IF(OR(C823="Choose mgt fee",C823="Choose One!"),"",(C816+C817+C818+C819+C820) / -(C822+C823+C824))</f>
        <v>1.2596968810133344</v>
      </c>
      <c r="D839" s="2608">
        <f>IF(OR(D823="Choose mgt fee",D823="Choose One!"),"",(D816+D817+D818+D819+D820) / -(D822+D823+D824))</f>
        <v>1.2474669178755109</v>
      </c>
      <c r="E839" s="2608">
        <f>IF(OR(E823="Choose mgt fee",E823="Choose One!"),"",(E816+E817+E818+E819+E820) / -(E822+E823+E824))</f>
        <v>1.2353552729493893</v>
      </c>
      <c r="F839" s="2608">
        <f>IF(OR(F823="Choose mgt fee",F823="Choose One!"),"",(F816+F817+F818+F819+F820) / -(F822+F823+F824))</f>
        <v>1.2233621553235194</v>
      </c>
      <c r="G839" s="2606"/>
      <c r="H839" s="2606"/>
      <c r="I839" s="2606"/>
      <c r="J839" s="2606"/>
      <c r="K839" s="2606"/>
    </row>
    <row r="840" spans="1:11">
      <c r="A840" s="357" t="s">
        <v>2405</v>
      </c>
      <c r="B840" s="2606">
        <f>'Part VI-Pro Forma'!B133</f>
        <v>1055902.9774684713</v>
      </c>
      <c r="C840" s="2606">
        <f>'Part VI-Pro Forma'!C133</f>
        <v>968585.06121743331</v>
      </c>
      <c r="D840" s="2606">
        <f>'Part VI-Pro Forma'!D133</f>
        <v>874954.92574040964</v>
      </c>
      <c r="E840" s="2606">
        <f>'Part VI-Pro Forma'!E133</f>
        <v>774556.26019917172</v>
      </c>
      <c r="F840" s="2606">
        <f>'Part VI-Pro Forma'!F133</f>
        <v>666899.76700809947</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Westchester Village,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6996</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6773</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The Applicant believes the proposed application is consistent with DCA's requirements regarding Project Feasibility, Viability and Conformance with the Plan as detailed in the 2023 QAP.  Westchester Village complies with the 2023 QAP and the Applicant has not requested any waivers or deviations from these standards.</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220.8">
      <c r="A892" s="2860" t="str">
        <f>'Part VII-Threshold Criteria'!A41</f>
        <v>The Applicant has selected a "Housing for Older Persons" designation and will serve that tenancy.</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138">
      <c r="A900" s="2860" t="str">
        <f>'Part VII-Threshold Criteria'!A49</f>
        <v>Applicant agrees to provide the required services in the 2023 QAP.</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3.8">
      <c r="A905" s="2871"/>
      <c r="B905" s="2106" t="s">
        <v>6776</v>
      </c>
      <c r="C905" s="2106"/>
      <c r="D905" s="2860"/>
      <c r="E905" s="2860"/>
      <c r="F905" s="2860"/>
      <c r="G905" s="2106"/>
      <c r="H905" s="2106"/>
      <c r="I905" s="2860">
        <f>'Part VII-Threshold Criteria'!I54</f>
        <v>0.96399999999999997</v>
      </c>
      <c r="J905" s="2860"/>
      <c r="K905" s="2860"/>
      <c r="L905" s="2873"/>
      <c r="M905" s="2874"/>
      <c r="N905" s="2874"/>
      <c r="O905" s="2874"/>
      <c r="P905" s="2874"/>
      <c r="Q905" s="2109"/>
    </row>
    <row r="906" spans="1:17" ht="13.8">
      <c r="A906" s="2871"/>
      <c r="B906" s="2106" t="s">
        <v>6777</v>
      </c>
      <c r="C906" s="2106"/>
      <c r="D906" s="2860"/>
      <c r="E906" s="2860"/>
      <c r="F906" s="2860"/>
      <c r="G906" s="2106"/>
      <c r="H906" s="2873" t="s">
        <v>6778</v>
      </c>
      <c r="I906" s="2860">
        <f>'Part VII-Threshold Criteria'!I55</f>
        <v>6.4000000000000001E-2</v>
      </c>
      <c r="J906" s="2860"/>
      <c r="K906" s="2860"/>
      <c r="L906" s="2874"/>
      <c r="M906" s="2875" t="s">
        <v>6779</v>
      </c>
      <c r="N906" s="2860">
        <f>'Part VII-Threshold Criteria'!N55</f>
        <v>4.0000000000000001E-3</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 full market study can be found in Tab 5 of this application. As low as the capture rates in the market study indicated, there is a strong demand for affordable housing in Clayton County. Additionally, the average absorption rate of the comprable properties in the area were 42 units per month with the Market Study estimating an absorption pace of 20 units per month for the proposed development.</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3.8">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3.8">
      <c r="A915" s="2871"/>
      <c r="B915" s="2106" t="s">
        <v>3948</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6773</v>
      </c>
      <c r="C918" s="2106"/>
      <c r="D918" s="2868"/>
      <c r="E918" s="2868"/>
      <c r="F918" s="2868"/>
      <c r="G918" s="2868"/>
      <c r="H918" s="2107"/>
      <c r="I918" s="2108"/>
      <c r="J918" s="2108"/>
      <c r="K918" s="2108"/>
      <c r="L918" s="2109"/>
      <c r="M918" s="2109"/>
      <c r="N918" s="2109"/>
      <c r="O918" s="2109"/>
      <c r="P918" s="2109"/>
      <c r="Q918" s="2109"/>
    </row>
    <row r="919" spans="1:17" ht="41.4">
      <c r="A919" s="2860" t="str">
        <f>'Part VII-Threshold Criteria'!A68</f>
        <v>Not Applicable</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3.8">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6785</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372.6">
      <c r="A934" s="2106"/>
      <c r="B934" s="2860" t="str">
        <f>'Part VII-Threshold Criteria'!B83</f>
        <v>Terracon identified and delineated two wetland areas, totaling 0.08 acres. Based on the proposed development plan, there are no impacts anticipated to the wetlands on the subject property.</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124.2">
      <c r="A936" s="2860" t="str">
        <f>'Part VII-Threshold Criteria'!A85</f>
        <v>Please see Tab 7 of this application for the Environmental Report</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69">
      <c r="A943" s="2871"/>
      <c r="B943" s="2106" t="s">
        <v>636</v>
      </c>
      <c r="C943" s="2106"/>
      <c r="D943" s="2106"/>
      <c r="E943" s="2106"/>
      <c r="F943" s="2106"/>
      <c r="G943" s="2860" t="str">
        <f>'Part VII-Threshold Criteria'!G92</f>
        <v>WV Jonesboro Senior, LP</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248.4">
      <c r="A945" s="2860" t="str">
        <f>'Part VII-Threshold Criteria'!A94</f>
        <v>Evidence of site control in the form of a purchase contract is in Tab 08 of the Application and provides site control through November 30, 2023.</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317.39999999999998">
      <c r="A952" s="2860" t="str">
        <f>'Part VII-Threshold Criteria'!A101</f>
        <v>The site has vehicular and pedestrian site access from legally accessible paved roads. Site Access documentation has been provided in Tab 9 of this application.</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220.8">
      <c r="A959" s="2860" t="str">
        <f>'Part VII-Threshold Criteria'!A108</f>
        <v xml:space="preserve">The site is zoned Multi-Family Residential (RM). Please see Tab 10 of this application for Site Zoning documentation. </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276">
      <c r="A968" s="2860" t="str">
        <f>'Part VII-Threshold Criteria'!A117</f>
        <v>See Tab 11 of this application confirming that Georgia Power has adequate electrical service availability for the proposed development.</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6795</v>
      </c>
      <c r="C974" s="2106"/>
      <c r="D974" s="2106"/>
      <c r="E974" s="2106"/>
      <c r="F974" s="2106"/>
      <c r="G974" s="2106"/>
      <c r="H974" s="2106" t="s">
        <v>6796</v>
      </c>
      <c r="I974" s="2106"/>
      <c r="J974" s="2859" t="str">
        <f>'Part VII-Threshold Criteria'!J123</f>
        <v>Clayton County Water Authority</v>
      </c>
      <c r="K974" s="2859"/>
      <c r="L974" s="2859"/>
      <c r="M974" s="2859"/>
      <c r="N974" s="2859"/>
      <c r="O974" s="2859"/>
      <c r="P974" s="2859"/>
      <c r="Q974" s="2859"/>
    </row>
    <row r="975" spans="1:17" ht="13.8">
      <c r="A975" s="2860"/>
      <c r="B975" s="2871"/>
      <c r="C975" s="2106"/>
      <c r="D975" s="2106"/>
      <c r="E975" s="2106"/>
      <c r="F975" s="2106"/>
      <c r="G975" s="2106"/>
      <c r="H975" s="2106" t="s">
        <v>6797</v>
      </c>
      <c r="I975" s="2106"/>
      <c r="J975" s="2859" t="str">
        <f>'Part VII-Threshold Criteria'!J124</f>
        <v>Clayton County Water Authority</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289.8">
      <c r="A977" s="2860" t="str">
        <f>'Part VII-Threshold Criteria'!A126</f>
        <v>See Tab 12 of this application confirming water and sanitary sewer availability from Clayton County Water Authority for the proposed development.</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3.8">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Applicant certifies that they meet the requirements of the 2023 QAP, XIII. Required Amenities section and the 2023 Architectural Manual regarding Standard Site Amenities and Additional Site Amenities. The proposed Senior development will be elevator serviced with interior gathering areas will be provided as the proposed development is a single building with three stories.</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151.80000000000001">
      <c r="A1006" s="2860" t="str">
        <f>'Part VII-Threshold Criteria'!A155</f>
        <v>Not Applicable. Proposed development is 100% new construction.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358.8">
      <c r="A1013" s="2860" t="str">
        <f>'Part VII-Threshold Criteria'!A162</f>
        <v>The Applicant has provided the required site information and conceptual site development plan documentation in Tab 15 of this application that is consistent with DCA's requirements.</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Applicant certifies that, at a minimum, all dwelling units will comply with the requirements of the 2023 QAP, XVII Building Sustainability and the 2023 Architectural Manual. The EarthCraft Multifamily worksheet has been provided in Tab 16 of this application.</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3.8">
      <c r="A1034" s="2871" t="s">
        <v>1843</v>
      </c>
      <c r="B1034" s="2863" t="s">
        <v>3293</v>
      </c>
      <c r="C1034" s="2106"/>
      <c r="D1034" s="2896"/>
      <c r="E1034" s="2896"/>
      <c r="F1034" s="2896"/>
      <c r="G1034" s="2896"/>
      <c r="H1034" s="2896"/>
      <c r="I1034" s="2896"/>
      <c r="J1034" s="2896"/>
      <c r="K1034" s="2896"/>
      <c r="L1034" s="2106" t="s">
        <v>6807</v>
      </c>
      <c r="M1034" s="2108" t="s">
        <v>6808</v>
      </c>
      <c r="N1034" s="2896"/>
      <c r="O1034" s="2873"/>
      <c r="P1034" s="2873"/>
      <c r="Q1034" s="2873"/>
    </row>
    <row r="1035" spans="1:17" ht="13.8">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276">
      <c r="A1039" s="2860" t="str">
        <f>'Part VII-Threshold Criteria'!A188</f>
        <v>Applicant certifies that they will meet all requirements of the 2023 QAP, XVII accessibility Standards section and the 2023 Accessibility Manual.</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331.2">
      <c r="A1054" s="2860" t="str">
        <f>'Part VII-Threshold Criteria'!A203</f>
        <v>Applicant certifies that all the standards and requirements of the 2023 QAP, XVIII. Architectural Design &amp; Quality Standards section and the 2023 Architectural Manual.</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6818</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3.8">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The Certifying Entity met the Experience requirements in 2022 and has received the 2023 Pre-Application Project Team Qualification Determination letter from DCA and was deemed Qualifed under Probationary Participation. This is the only property and application for the certifying entity. Qualification Determination is included in Tab 19 of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7009</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41.4">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41.4">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8">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41.4">
      <c r="A1107" s="2860" t="str">
        <f>'Part VII-Threshold Criteria'!A256</f>
        <v>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138">
      <c r="A1119" s="2860" t="str">
        <f>'Part VII-Threshold Criteria'!A268</f>
        <v>Not Applicable, proposed projest is new construction on vacant land.</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317.39999999999998">
      <c r="A1137" s="2860" t="str">
        <f>'Part VII-Threshold Criteria'!A286</f>
        <v>The Applicant agrees to prepare and submit an AFFH marketing plan that includes items A-F noted in this section if the applicant is selected for funding.</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The Applicant believe the proposed development represents an optimal utilization of resources. Per the Market Study, the capture rates are very low for the proposed property and the existing affordable comparables are performing very well with low vacancy rates and waiting lists indicating a strong demand for affordable housing in Clayton County.</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Westchester Village,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70</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6136</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3394</v>
      </c>
      <c r="C1164" s="2406"/>
      <c r="D1164" s="2406"/>
      <c r="E1164" s="2914">
        <f>'Part VIII Scoring Criteria'!E13</f>
        <v>20</v>
      </c>
      <c r="F1164" s="2913" t="str">
        <f>'Part VIII Scoring Criteria'!F13</f>
        <v>The proposed development is within a 0.50 mile from a Child Care Service, Department Store, Federally Insured Banking Institutions, Grocery Store, Restaurant, Pharmacy, Elementary School and Place of Worship; within 1.00 mile of Public Park and 1.10 mile of Fire Station and Post Office. The proposed site is within range of 24 total available Desirable points and the Applicant is eligible for the maximum 20 Desirable points. Please see Tab 26 of this application for the Desirable certification. There are no undesirables. The property does fall within a food desert; however, there are three (3) grocery stores within a 0.5 mile walking distance from the proposed site, which also illustrated in Tab 26 of this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4038</v>
      </c>
      <c r="C1165" s="2406"/>
      <c r="D1165" s="2406"/>
      <c r="E1165" s="2916">
        <f>'Part VIII Scoring Criteria'!E14</f>
        <v>4</v>
      </c>
      <c r="F1165" s="2913" t="str">
        <f>'Part VIII Scoring Criteria'!F14</f>
        <v>MARTA Transit stop #: 212513 is less than 1 mile walking distance from the secondary pedestrian site entrance and serves bus routes 191, 192 and 193. Bus stop 212513 meets the criteria of a transit HUB, therefore the Applicant is eligible for 4 points.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3339</v>
      </c>
      <c r="C1166" s="2406"/>
      <c r="D1166" s="2406"/>
      <c r="E1166" s="2916">
        <f>'Part VIII Scoring Criteria'!E15</f>
        <v>1</v>
      </c>
      <c r="F1166" s="2913" t="str">
        <f>'Part VIII Scoring Criteria'!F15</f>
        <v>The proposed location falls within the school district boundary of Swint Elementary School within the Clayton County School System. Swint Elementary  received beating the odds designation in 2018 and 2019. The school serves grades PK - 05. Swint Elementary is also eligible for points based on DCA's Option C - scoring. support documentation is in Tab 28.</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6">
      <c r="A1167" s="2913" t="s">
        <v>280</v>
      </c>
      <c r="B1167" s="2403" t="s">
        <v>3395</v>
      </c>
      <c r="C1167" s="2406"/>
      <c r="D1167" s="2406"/>
      <c r="E1167" s="2916">
        <f>'Part VIII Scoring Criteria'!E16</f>
        <v>7</v>
      </c>
      <c r="F1167" s="2913" t="str">
        <f>'Part VIII Scoring Criteria'!F16</f>
        <v>The Tara Blvd Design Plan clearly designates a targeted are within the local government boundary that includes the proposed site. The plan discusses housing as a goal, an assessment of the existing properties within the targeted area and designates implementation measures. The plan was originally adopted in 2012 and re-approved per resolution NO. 2020 - 205 in 2020. Third party off-site improvements consist of road improvements at the intersection of Hwy 138 and Tara Blvd totalling $3,761,360.29. the improvements are within a half mile and were completed in September 2022.</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6">
      <c r="A1168" s="2913" t="s">
        <v>401</v>
      </c>
      <c r="B1168" s="2403" t="s">
        <v>3396</v>
      </c>
      <c r="C1168" s="2406"/>
      <c r="D1168" s="2406"/>
      <c r="E1168" s="2914" t="str">
        <f>'Part VIII Scoring Criteria'!E17</f>
        <v>n/a</v>
      </c>
      <c r="F1168" s="2913" t="str">
        <f>'Part VIII Scoring Criteria'!F17</f>
        <v>Applicant has agreed to partner with Helping Hands Ending Hunger INC. to create notable change in the community through the creation of a Community Transformation Plan. Applicant agrees to meet all requirements listed under subsections C. Community-Based Team Responsibilities and D. Planning for Community Transformation of this QAP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Not Applicable</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1.4">
      <c r="A1170" s="2913" t="s">
        <v>4041</v>
      </c>
      <c r="B1170" s="2403" t="s">
        <v>3262</v>
      </c>
      <c r="C1170" s="2406"/>
      <c r="D1170" s="2406"/>
      <c r="E1170" s="2914">
        <f>'Part VIII Scoring Criteria'!E19</f>
        <v>0</v>
      </c>
      <c r="F1170" s="2913" t="str">
        <f>'Part VIII Scoring Criteria'!F19</f>
        <v>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1.4">
      <c r="A1171" s="2913" t="s">
        <v>4053</v>
      </c>
      <c r="B1171" s="2403" t="s">
        <v>4042</v>
      </c>
      <c r="C1171" s="2406"/>
      <c r="D1171" s="2406"/>
      <c r="E1171" s="2914">
        <f>'Part VIII Scoring Criteria'!E20</f>
        <v>0</v>
      </c>
      <c r="F1171" s="2913" t="str">
        <f>'Part VIII Scoring Criteria'!F20</f>
        <v>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6243</v>
      </c>
      <c r="B1172" s="2403" t="s">
        <v>4043</v>
      </c>
      <c r="C1172" s="2406"/>
      <c r="D1172" s="2406"/>
      <c r="E1172" s="2914">
        <f>'Part VIII Scoring Criteria'!E21</f>
        <v>5</v>
      </c>
      <c r="F1172" s="2913" t="str">
        <f>'Part VIII Scoring Criteria'!F21</f>
        <v>Applicant is eligible for 5 points as there are no DCA awarded projects located in the jurisdiction of Clayton County. All previous projects awarded in Clayton County are currently located within the political jurisdictions of the City of Jonesboro, the City of Lovejoy or the City of Riverdale. The tax records for online reflect this.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1.4">
      <c r="A1173" s="2913" t="s">
        <v>6637</v>
      </c>
      <c r="B1173" s="2403" t="s">
        <v>6549</v>
      </c>
      <c r="C1173" s="2406"/>
      <c r="D1173" s="2406"/>
      <c r="E1173" s="2914">
        <f>'Part VIII Scoring Criteria'!E22</f>
        <v>0</v>
      </c>
      <c r="F1173" s="2913" t="str">
        <f>'Part VIII Scoring Criteria'!F22</f>
        <v>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6639</v>
      </c>
      <c r="B1174" s="2403" t="s">
        <v>6638</v>
      </c>
      <c r="C1174" s="2406"/>
      <c r="D1174" s="2406"/>
      <c r="E1174" s="2914">
        <f>'Part VIII Scoring Criteria'!E23</f>
        <v>2</v>
      </c>
      <c r="F1174" s="2913" t="str">
        <f>'Part VIII Scoring Criteria'!F23</f>
        <v>Applicant agrees to engage QB's in the development or operation of the proposed property in amounts equal to approximately 5% of total construction hard costs as certified by the Independent Auditor Report in the Final Allocation Application. Applicant will submit a report with Final Allocation Application describing these efforts and detailing sucesses, obstacles, and other notes pertaining to the Applicant's attempts to follow through on the commitment.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3369</v>
      </c>
      <c r="B1175" s="2403" t="s">
        <v>6555</v>
      </c>
      <c r="C1175" s="2406"/>
      <c r="D1175" s="2406"/>
      <c r="E1175" s="2914">
        <f>'Part VIII Scoring Criteria'!E24</f>
        <v>2</v>
      </c>
      <c r="F1175" s="2913" t="str">
        <f>'Part VIII Scoring Criteria'!F24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1.4">
      <c r="A1176" s="2913" t="s">
        <v>3373</v>
      </c>
      <c r="B1176" s="2403" t="s">
        <v>3397</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1.4">
      <c r="A1177" s="2913" t="s">
        <v>3376</v>
      </c>
      <c r="B1177" s="2403" t="s">
        <v>3398</v>
      </c>
      <c r="C1177" s="2406"/>
      <c r="D1177" s="2406"/>
      <c r="E1177" s="2914">
        <f>'Part VIII Scoring Criteria'!E26</f>
        <v>0</v>
      </c>
      <c r="F1177" s="2913" t="str">
        <f>'Part VIII Scoring Criteria'!F26</f>
        <v>Not Applicable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1.4">
      <c r="A1178" s="2913" t="s">
        <v>3377</v>
      </c>
      <c r="B1178" s="2403" t="s">
        <v>3399</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The Applicant has controlling interest in the General Partnership and has agreed to contract with DCA PBRA under a prior QAP. The property is only eligible for 2 points as Applicant has selected senior tenancy.</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1.4">
      <c r="A1181" s="2913" t="s">
        <v>3803</v>
      </c>
      <c r="B1181" s="2403" t="s">
        <v>6553</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6916</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6946</v>
      </c>
      <c r="B1185" s="4048"/>
      <c r="C1185" s="4048"/>
      <c r="D1185" s="4048"/>
      <c r="E1185" s="2397"/>
      <c r="F1185" s="2463" t="s">
        <v>6880</v>
      </c>
      <c r="G1185" s="2463"/>
      <c r="H1185" s="2463"/>
      <c r="I1185" s="2463"/>
      <c r="J1185" s="2198" t="s">
        <v>6140</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6876</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3813</v>
      </c>
      <c r="D1220" s="2199"/>
      <c r="E1220" s="2199"/>
      <c r="F1220" s="2199"/>
      <c r="G1220" s="2199" t="s">
        <v>3814</v>
      </c>
      <c r="H1220" s="2199"/>
      <c r="I1220" s="2199"/>
      <c r="J1220" s="2932">
        <f>'Part V-Revenues &amp; Expenses'!$B$50</f>
        <v>58</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3815</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The proposed development is within a 0.50 mile from a Child Care Service, Department Store, Federally Insured Banking Institutions, Grocery Store, Restaurant, Pharmacy, Elementary School and Place of Worship; within 1.00 mile of Public Park and 1.10 mile of Fire Station and Post Office. The proposed site is within range of 24 total available Desirable points and the Applicant is eligible for the maximum 20 Desirable points. Please see Tab 26 of this application for the Desirable certification. There are no undesirables. The property does fall within a food desert; however, there are three (3) grocery stores within a 0.5 mile walking distance from the proposed site, which also illustrated in Tab 26 of this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4</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6847</v>
      </c>
      <c r="D1240" s="2397"/>
      <c r="E1240" s="2397"/>
      <c r="F1240" s="2199">
        <f>'Part VIII Scoring Criteria'!F89</f>
        <v>33.535499999999999</v>
      </c>
      <c r="G1240" s="2199"/>
      <c r="H1240" s="2199"/>
      <c r="I1240" s="2199"/>
      <c r="J1240" s="2199">
        <f>'Part VIII Scoring Criteria'!J89</f>
        <v>-84.368314999999996</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6848</v>
      </c>
      <c r="D1241" s="2397"/>
      <c r="E1241" s="2397"/>
      <c r="F1241" s="2199">
        <f>'Part VIII Scoring Criteria'!F90</f>
        <v>33.528007000000002</v>
      </c>
      <c r="G1241" s="2199"/>
      <c r="H1241" s="2199"/>
      <c r="I1241" s="2199"/>
      <c r="J1241" s="2199">
        <f>'Part VIII Scoring Criteria'!J90</f>
        <v>-84.363426000000004</v>
      </c>
      <c r="K1241" s="2199"/>
      <c r="L1241" s="2199"/>
      <c r="M1241" s="2199"/>
      <c r="N1241" s="2468"/>
      <c r="O1241" s="2944">
        <f>'Part VIII Scoring Criteria'!O90</f>
        <v>0.7</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Metro Atlanta Rapid Transit Authority</v>
      </c>
      <c r="C1243" s="2199"/>
      <c r="D1243" s="2199"/>
      <c r="E1243" s="2199"/>
      <c r="F1243" s="2947">
        <f>'Part VIII Scoring Criteria'!F92</f>
        <v>4048485000</v>
      </c>
      <c r="G1243" s="2199" t="str">
        <f>'Part VIII Scoring Criteria'!G92</f>
        <v>custserv@itsmarta.com</v>
      </c>
      <c r="H1243" s="2199"/>
      <c r="I1243" s="2199"/>
      <c r="J1243" s="2199" t="str">
        <f>'Part VIII Scoring Criteria'!J92</f>
        <v>www.itsmarta.com</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4</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4</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MARTA Transit stop #: 212513 is less than 1 mile walking distance from the secondary pedestrian site entrance and serves bus routes 191, 192 and 193. Bus stop 212513 meets the criteria of a transit HUB, therefore the Applicant is eligible for 4 points.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1</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69">
      <c r="A1261" s="2397"/>
      <c r="B1261" s="2438" t="str">
        <f>'Part VIII Scoring Criteria'!B110</f>
        <v>Swint Elementary School 5060</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5.2">
      <c r="A1262" s="2397"/>
      <c r="B1262" s="2438" t="str">
        <f>'Part VIII Scoring Criteria'!B111</f>
        <v>Jonesboro Middle School 0106</v>
      </c>
      <c r="C1262" s="2438"/>
      <c r="D1262" s="2438"/>
      <c r="E1262" s="2438"/>
      <c r="F1262" s="2438" t="str">
        <f>'Part VIII Scoring Criteria'!F111</f>
        <v>No</v>
      </c>
      <c r="G1262" s="2438"/>
      <c r="H1262" s="2438" t="str">
        <f>'Part VIII Scoring Criteria'!H111</f>
        <v>No</v>
      </c>
      <c r="I1262" s="2438"/>
      <c r="J1262" s="2438" t="str">
        <f>'Part VIII Scoring Criteria'!J111</f>
        <v>No</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55.2">
      <c r="A1263" s="2397"/>
      <c r="B1263" s="2438" t="str">
        <f>'Part VIII Scoring Criteria'!B112</f>
        <v>Jonesboro High School 1056</v>
      </c>
      <c r="C1263" s="2438"/>
      <c r="D1263" s="2438"/>
      <c r="E1263" s="2438"/>
      <c r="F1263" s="2438" t="str">
        <f>'Part VIII Scoring Criteria'!F112</f>
        <v>No</v>
      </c>
      <c r="G1263" s="2438"/>
      <c r="H1263" s="2438" t="str">
        <f>'Part VIII Scoring Criteria'!H112</f>
        <v>No</v>
      </c>
      <c r="I1263" s="2438"/>
      <c r="J1263" s="2438" t="str">
        <f>'Part VIII Scoring Criteria'!J112</f>
        <v>No</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The proposed location falls within the school district boundary of Swint Elementary School within the Clayton County School System. Swint Elementary  received beating the odds designation in 2018 and 2019. The school serves grades PK - 05. Swint Elementary is also eligible for points based on DCA's Option C - scoring. support documentation is in Tab 28.</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f>'Part VIII Scoring Criteria'!M125</f>
        <v>5</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f>'Part VIII Scoring Criteria'!M126</f>
        <v>4</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f>'Part VIII Scoring Criteria'!M127</f>
        <v>6</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f>'Part VIII Scoring Criteria'!M128</f>
        <v>37</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Resolution NO. 2020 - 205</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7027</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6">
      <c r="A1288" s="2406" t="str">
        <f>'Part VIII Scoring Criteria'!A137</f>
        <v>The Tara Blvd Design Plan clearly designates a targeted are within the local government boundary that includes the proposed site. The plan discusses housing as a goal, an assessment of the existing properties within the targeted area and designates implementation measures. The plan was originally adopted in 2012 and re-approved per resolution NO. 2020 - 205 in 2020. Third party off-site improvements consist of road improvements at the intersection of Hwy 138 and Tara Blvd totalling $3,761,360.29. the improvements are within a half mile and were completed in September 2022.</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6">
      <c r="A1298" s="2406" t="str">
        <f>'Part VIII Scoring Criteria'!A147</f>
        <v>Applicant has agreed to partner with Helping Hands Ending Hunger INC. to create notable change in the community through the creation of a Community Transformation Plan. Applicant agrees to meet all requirements listed under subsections C. Community-Based Team Responsibilities and D. Planning for Community Transformation of this QAP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6220</v>
      </c>
      <c r="D1309" s="2397"/>
      <c r="E1309" s="2977" t="s">
        <v>6219</v>
      </c>
      <c r="F1309" s="2977"/>
      <c r="G1309" s="2977"/>
      <c r="H1309" s="2977"/>
      <c r="I1309" s="2342" t="s">
        <v>6893</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1.4">
      <c r="A1316" s="2406" t="str">
        <f>'Part VIII Scoring Criteria'!A165</f>
        <v>Not Applicable</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4035</v>
      </c>
      <c r="C1322" s="2397"/>
      <c r="D1322" s="2397"/>
      <c r="E1322" s="2397"/>
      <c r="F1322" s="2397"/>
      <c r="G1322" s="2312" t="s">
        <v>3153</v>
      </c>
      <c r="H1322" s="2922">
        <f>IF('Part V-Revenues &amp; Expenses'!$P$67=0,0,'Part V-Revenues &amp; Expenses'!$P$64/'Part V-Revenues &amp; Expenses'!$P$67)</f>
        <v>0.1</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1.4">
      <c r="A1335" s="2406" t="str">
        <f>'Part VIII Scoring Criteria'!A184</f>
        <v>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6857</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1.4">
      <c r="A1346" s="2406" t="str">
        <f>'Part VIII Scoring Criteria'!A195</f>
        <v>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Applicant is eligible for 5 points as there are no DCA awarded projects located in the jurisdiction of Clayton County. All previous projects awarded in Clayton County are currently located within the political jurisdictions of the City of Jonesboro, the City of Lovejoy or the City of Riverdale. The tax records for online reflect this.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6858</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1.4">
      <c r="A1379" s="2406" t="str">
        <f>'Part VIII Scoring Criteria'!A228</f>
        <v>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6861</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Applicant agrees to engage QB's in the development or operation of the proposed property in amounts equal to approximately 5% of total construction hard costs as certified by the Independent Auditor Report in the Final Allocation Application. Applicant will submit a report with Final Allocation Application describing these efforts and detailing sucesses, obstacles, and other notes pertaining to the Applicant's attempts to follow through on the commitment.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6900</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6900</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1.4">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3889</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6236</v>
      </c>
      <c r="J1448" s="2994">
        <f>'Part V-Revenues &amp; Expenses'!$P$67</f>
        <v>50</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6868</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6869</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1.4">
      <c r="A1458" s="2406" t="str">
        <f>'Part VIII Scoring Criteria'!A307</f>
        <v>Not Applicable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1.4">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6">
      <c r="A1491" s="2406" t="str">
        <f>'Part VIII Scoring Criteria'!A340</f>
        <v>The Applicant has controlling interest in the General Partnership and has agreed to contract with DCA PBRA under a prior QAP. The property is only eligible for 2 points as Applicant has selected senior tenancy.</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1.4">
      <c r="A1498" s="2406" t="str">
        <f>'Part VIII Scoring Criteria'!A347</f>
        <v>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1.4">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1.4">
      <c r="A1520" s="2406" t="str">
        <f>'Part VIII Scoring Criteria'!A369</f>
        <v>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6932</v>
      </c>
      <c r="E1527" s="2199"/>
      <c r="F1527" s="2199"/>
      <c r="G1527" s="2199" t="s">
        <v>6223</v>
      </c>
      <c r="H1527" s="2199"/>
      <c r="I1527" s="2199"/>
      <c r="J1527" s="2199" t="s">
        <v>575</v>
      </c>
      <c r="L1527" s="2342" t="s">
        <v>6933</v>
      </c>
      <c r="M1527" s="4048" t="s">
        <v>6943</v>
      </c>
      <c r="N1527" s="4048"/>
      <c r="O1527" s="4048"/>
      <c r="P1527" s="4048"/>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1.4">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IV. Deeper Targeting / Rent / Income Restrictions: Applicant has selected 40% at 60% Minimum Set-aside and overall property median income, calculated based on the imputed income and rent limitations for each affordable unit is equal to 58%
XI. Mixed Income Developments: Applicant has made the 40% at 60% AMI minimu set-aside election and will include 10% unrestricted market rate units.
XV. Extended Affordability Commitment: Owner is willing to forgo the Qualified Contract "cancellation option" and agrees to the Waiver of Qualified Contract Right and Right of First Refusal.
XXIII. Compliance Performance: The Applicant is in full compliance and should recieve the full 10 points in this section.</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6546</v>
      </c>
      <c r="BD1570" s="3006" t="s">
        <v>6547</v>
      </c>
      <c r="BE1570" s="3006" t="s">
        <v>6548</v>
      </c>
      <c r="BF1570" s="3006">
        <v>0.09</v>
      </c>
      <c r="BG1570" s="3006">
        <v>0.04</v>
      </c>
      <c r="BH1570" s="3006">
        <v>0.04</v>
      </c>
      <c r="BI1570" s="3006" t="s">
        <v>6929</v>
      </c>
      <c r="BJ1570" s="3006" t="s">
        <v>6546</v>
      </c>
      <c r="BK1570" s="3006" t="s">
        <v>6547</v>
      </c>
      <c r="BL1570" s="3006" t="s">
        <v>6548</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4</v>
      </c>
      <c r="AZ1575" s="3008">
        <f>O1237</f>
        <v>4</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1</v>
      </c>
      <c r="AZ1576" s="2959">
        <f>O1257</f>
        <v>1</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6947</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70</v>
      </c>
      <c r="AZ1600" s="2542">
        <f>'Part VIII Scoring Criteria'!AZ449</f>
        <v>62</v>
      </c>
      <c r="BA1600" s="2542">
        <f>'Part VIII Scoring Criteria'!BA449</f>
        <v>28</v>
      </c>
      <c r="BB1600" s="2542">
        <f>'Part VIII Scoring Criteria'!BB449</f>
        <v>28</v>
      </c>
      <c r="BC1600" s="2542">
        <f>'Part VIII Scoring Criteria'!BC449</f>
        <v>30</v>
      </c>
      <c r="BD1600" s="2542">
        <f>'Part VIII Scoring Criteria'!BD449</f>
        <v>30</v>
      </c>
      <c r="BE1600" s="2542">
        <f>'Part VIII Scoring Criteria'!BE449</f>
        <v>30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00000000-0002-0000-2000-000000000000}">
      <formula1>"0,1"</formula1>
    </dataValidation>
  </dataValidations>
  <hyperlinks>
    <hyperlink ref="N1023" r:id="rId1" xr:uid="{00000000-0004-0000-2000-000000000000}"/>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M59" sqref="M59"/>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Westchester Village, Jonesboro, Clayton County</v>
      </c>
      <c r="B2" s="3167"/>
      <c r="C2" s="3167"/>
      <c r="D2" s="3167"/>
      <c r="E2" s="3167"/>
      <c r="F2" s="3167"/>
      <c r="G2" s="3167"/>
      <c r="H2" s="3167"/>
      <c r="I2" s="3167"/>
      <c r="J2" s="3167"/>
      <c r="K2" s="3167"/>
      <c r="L2" s="3167"/>
      <c r="M2" s="3167"/>
      <c r="N2" s="3167"/>
      <c r="O2" s="3167"/>
      <c r="P2" s="3167"/>
      <c r="Q2" s="3168"/>
      <c r="S2" s="3286" t="str">
        <f>$A$2</f>
        <v>PART TWO - SOURCES OF FUNDS (Proposed)  -  2023-0 Westchester Village, Jonesboro, Clayton County</v>
      </c>
      <c r="T2" s="328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6080</v>
      </c>
      <c r="G6" s="144"/>
      <c r="I6" s="3290"/>
      <c r="J6" s="3291"/>
      <c r="L6" s="1232" t="s">
        <v>2652</v>
      </c>
      <c r="M6" s="224" t="s">
        <v>1437</v>
      </c>
      <c r="Q6" s="1620"/>
      <c r="S6" s="3233"/>
      <c r="T6" s="3234"/>
      <c r="Y6" s="1742"/>
      <c r="Z6" s="1706">
        <v>6</v>
      </c>
      <c r="AZ6" s="1676"/>
    </row>
    <row r="7" spans="1:52" s="223" customFormat="1" ht="16.5" customHeight="1">
      <c r="A7" s="375"/>
      <c r="B7" s="823" t="s">
        <v>2652</v>
      </c>
      <c r="C7" s="224" t="s">
        <v>3877</v>
      </c>
      <c r="D7" s="144"/>
      <c r="E7" s="818" t="s">
        <v>2652</v>
      </c>
      <c r="F7" s="224" t="s">
        <v>6081</v>
      </c>
      <c r="I7" s="3292"/>
      <c r="J7" s="3293"/>
      <c r="L7" s="823" t="s">
        <v>2652</v>
      </c>
      <c r="M7" s="224" t="s">
        <v>514</v>
      </c>
      <c r="P7" s="1620"/>
      <c r="Q7" s="1620"/>
      <c r="S7" s="3194"/>
      <c r="T7" s="3195"/>
      <c r="Y7" s="1742"/>
      <c r="Z7" s="1706">
        <v>7</v>
      </c>
      <c r="AZ7" s="1676"/>
    </row>
    <row r="8" spans="1:52" s="223" customFormat="1" ht="16.5" customHeight="1">
      <c r="A8" s="144"/>
      <c r="B8" s="823" t="s">
        <v>2652</v>
      </c>
      <c r="C8" s="224" t="s">
        <v>6660</v>
      </c>
      <c r="F8" s="223" t="s">
        <v>6663</v>
      </c>
      <c r="H8" s="3304" t="s">
        <v>3065</v>
      </c>
      <c r="I8" s="3305"/>
      <c r="J8" s="3306"/>
      <c r="L8" s="823" t="s">
        <v>2652</v>
      </c>
      <c r="M8" s="224" t="s">
        <v>6665</v>
      </c>
      <c r="P8" s="1620"/>
      <c r="Q8" s="1620"/>
      <c r="S8" s="3194"/>
      <c r="T8" s="3195"/>
      <c r="Y8" s="1742"/>
      <c r="Z8" s="1706">
        <v>8</v>
      </c>
      <c r="AZ8" s="1676"/>
    </row>
    <row r="9" spans="1:52" s="223" customFormat="1" ht="16.5" customHeight="1">
      <c r="A9" s="375"/>
      <c r="B9" s="823" t="s">
        <v>2652</v>
      </c>
      <c r="C9" s="223" t="s">
        <v>3301</v>
      </c>
      <c r="E9" s="1235" t="s">
        <v>2652</v>
      </c>
      <c r="F9" s="3296" t="s">
        <v>7085</v>
      </c>
      <c r="G9" s="3297"/>
      <c r="H9" s="3294"/>
      <c r="I9" s="3294"/>
      <c r="J9" s="3295"/>
      <c r="L9" s="823" t="s">
        <v>2652</v>
      </c>
      <c r="M9" s="224" t="s">
        <v>3878</v>
      </c>
      <c r="Q9" s="1620"/>
      <c r="S9" s="3196"/>
      <c r="T9" s="3197"/>
      <c r="Y9" s="1742"/>
      <c r="Z9" s="1706">
        <v>9</v>
      </c>
      <c r="AZ9" s="1676"/>
    </row>
    <row r="10" spans="1:52" s="223" customFormat="1" ht="16.5" customHeight="1">
      <c r="A10" s="375"/>
      <c r="B10" s="823" t="s">
        <v>2652</v>
      </c>
      <c r="C10" s="224" t="s">
        <v>2394</v>
      </c>
      <c r="F10" s="3298" t="s">
        <v>3770</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6661</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3771</v>
      </c>
      <c r="G12" s="3288"/>
      <c r="H12" s="3307"/>
      <c r="I12" s="3307"/>
      <c r="J12" s="3308"/>
      <c r="L12" s="823" t="s">
        <v>2652</v>
      </c>
      <c r="M12" s="223" t="s">
        <v>3220</v>
      </c>
      <c r="S12" s="3194"/>
      <c r="T12" s="3195"/>
      <c r="Y12" s="1742"/>
      <c r="Z12" s="1706">
        <v>12</v>
      </c>
      <c r="AZ12" s="1676"/>
    </row>
    <row r="13" spans="1:52" s="223" customFormat="1" ht="16.5" customHeight="1">
      <c r="A13" s="375"/>
      <c r="B13" s="823" t="s">
        <v>2652</v>
      </c>
      <c r="C13" s="224" t="s">
        <v>6662</v>
      </c>
      <c r="E13" s="1232" t="s">
        <v>2652</v>
      </c>
      <c r="F13" s="224" t="s">
        <v>6664</v>
      </c>
      <c r="H13" s="3287" t="s">
        <v>3292</v>
      </c>
      <c r="I13" s="3288"/>
      <c r="J13" s="3289"/>
      <c r="L13" s="823" t="s">
        <v>2652</v>
      </c>
      <c r="M13" s="223" t="s">
        <v>6079</v>
      </c>
      <c r="S13" s="3194"/>
      <c r="T13" s="3195"/>
      <c r="Y13" s="1742"/>
      <c r="Z13" s="1706">
        <v>13</v>
      </c>
      <c r="AZ13" s="1676"/>
    </row>
    <row r="14" spans="1:52" s="223" customFormat="1" ht="16.5" customHeight="1">
      <c r="A14" s="375"/>
      <c r="B14" s="823" t="s">
        <v>2652</v>
      </c>
      <c r="C14" s="223" t="s">
        <v>2397</v>
      </c>
      <c r="E14" s="823" t="s">
        <v>2652</v>
      </c>
      <c r="F14" s="224" t="s">
        <v>3300</v>
      </c>
      <c r="L14" s="823" t="s">
        <v>2652</v>
      </c>
      <c r="M14" s="223" t="s">
        <v>6710</v>
      </c>
      <c r="S14" s="3196"/>
      <c r="T14" s="3197"/>
      <c r="Y14" s="1742"/>
      <c r="Z14" s="1706">
        <v>14</v>
      </c>
      <c r="AZ14" s="1676"/>
    </row>
    <row r="15" spans="1:52" s="223" customFormat="1" ht="16.5" customHeight="1">
      <c r="A15" s="375"/>
      <c r="B15" s="823" t="s">
        <v>2652</v>
      </c>
      <c r="C15" s="223" t="s">
        <v>3219</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309"/>
      <c r="J16" s="3310"/>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7066</v>
      </c>
      <c r="I22" s="3220"/>
      <c r="J22" s="3220"/>
      <c r="K22" s="3221"/>
      <c r="L22" s="3269">
        <v>13199307</v>
      </c>
      <c r="M22" s="3270"/>
      <c r="N22" s="3271">
        <v>7.7499999999999999E-2</v>
      </c>
      <c r="O22" s="3272"/>
      <c r="P22" s="3273">
        <v>24</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7087</v>
      </c>
      <c r="I28" s="3182"/>
      <c r="J28" s="3182"/>
      <c r="K28" s="3183"/>
      <c r="L28" s="3257">
        <v>2106790</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7087</v>
      </c>
      <c r="I29" s="3182"/>
      <c r="J29" s="3182"/>
      <c r="K29" s="3183"/>
      <c r="L29" s="3257">
        <v>1004500</v>
      </c>
      <c r="M29" s="3258"/>
      <c r="N29" s="144"/>
      <c r="Q29" s="144"/>
      <c r="S29" s="3233"/>
      <c r="T29" s="3234"/>
      <c r="Y29" s="1742" t="s">
        <v>6348</v>
      </c>
      <c r="Z29" s="1706">
        <v>29</v>
      </c>
      <c r="AZ29" s="1676" t="s">
        <v>6349</v>
      </c>
    </row>
    <row r="30" spans="1:52" s="223" customFormat="1" ht="15.75" customHeight="1">
      <c r="A30" s="144"/>
      <c r="B30" s="820" t="s">
        <v>232</v>
      </c>
      <c r="C30" s="144"/>
      <c r="D30" s="3209" t="s">
        <v>7086</v>
      </c>
      <c r="E30" s="3209"/>
      <c r="F30" s="3209"/>
      <c r="G30" s="3209"/>
      <c r="H30" s="3181"/>
      <c r="I30" s="3182"/>
      <c r="J30" s="3182"/>
      <c r="K30" s="3183"/>
      <c r="L30" s="3257">
        <v>110</v>
      </c>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16310707</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16310707</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7066</v>
      </c>
      <c r="F40" s="3220"/>
      <c r="G40" s="3220"/>
      <c r="H40" s="3221"/>
      <c r="I40" s="3214">
        <v>2125000</v>
      </c>
      <c r="J40" s="3215"/>
      <c r="K40" s="654">
        <v>7.0000000000000007E-2</v>
      </c>
      <c r="L40" s="822">
        <v>18</v>
      </c>
      <c r="M40" s="822">
        <v>40</v>
      </c>
      <c r="N40" s="3252" t="s">
        <v>7067</v>
      </c>
      <c r="O40" s="3252"/>
      <c r="P40" s="3213">
        <f>IF(OR(I40&lt;=0,I40=""),"",IF(N40="Cash Flow",0,IF(N40="Amortizing",-PMT(K40/12,M40*12,I40,0,0)*12,"")))</f>
        <v>158464.97631648468</v>
      </c>
      <c r="Q40" s="3213"/>
      <c r="S40" s="3233"/>
      <c r="T40" s="3234"/>
      <c r="Y40" s="1742" t="s">
        <v>6352</v>
      </c>
      <c r="Z40" s="1706">
        <v>40</v>
      </c>
      <c r="AZ40" s="1676" t="s">
        <v>6353</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3.5880754716981135E-2</v>
      </c>
      <c r="E45" s="3199" t="s">
        <v>7037</v>
      </c>
      <c r="F45" s="3200"/>
      <c r="G45" s="3200"/>
      <c r="H45" s="3201"/>
      <c r="I45" s="3253">
        <v>47542</v>
      </c>
      <c r="J45" s="3254"/>
      <c r="K45" s="653">
        <v>0</v>
      </c>
      <c r="L45" s="652">
        <v>15</v>
      </c>
      <c r="M45" s="652"/>
      <c r="N45" s="3063" t="s">
        <v>1096</v>
      </c>
      <c r="O45" s="3064"/>
      <c r="P45" s="3255">
        <f>IF(OR(I45&lt;=0,I45=""),"",IF(N45="Cash Flow",0,IF(N45="Amortizing",-PMT(K45/12,M45*12,I45,0,0)*12,"")))</f>
        <v>0</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f>IF(OR($I$45="",$I$45=0,'Part VI-Pro Forma'!$S$35=0,'Part VI-Pro Forma'!$S$35=""),"",VLOOKUP($L$45,'Part VI-Pro Forma'!$Q$21:$S$40,3))</f>
        <v>560731.72062242427</v>
      </c>
      <c r="G47" s="3189"/>
      <c r="H47" s="485" t="s">
        <v>3405</v>
      </c>
      <c r="I47" s="3188">
        <f>IF(OR($I$45="",$I$45=0,'Part VI-Pro Forma'!$R$35=0,'Part VI-Pro Forma'!$R$35=""),"",VLOOKUP($L$45,'Part VI-Pro Forma'!$Q$21:$S$35,2))</f>
        <v>47542</v>
      </c>
      <c r="J47" s="3189"/>
      <c r="K47" s="485" t="s">
        <v>3407</v>
      </c>
      <c r="L47" s="3211">
        <f>IF(OR($F$47 = 0,$F$47 =""),"",$I$47/$F$47)</f>
        <v>8.4785643921173853E-2</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7087</v>
      </c>
      <c r="F51" s="3182"/>
      <c r="G51" s="3182"/>
      <c r="H51" s="3183"/>
      <c r="I51" s="3184">
        <v>10533947</v>
      </c>
      <c r="J51" s="3184"/>
      <c r="L51" s="3240">
        <f>'Part III-A-Uses of Funds'!$J$191*10*'Part III-A-Uses of Funds'!$N$182</f>
        <v>10535000</v>
      </c>
      <c r="M51" s="3240"/>
      <c r="N51" s="3241">
        <f>I51-L51</f>
        <v>-1053</v>
      </c>
      <c r="O51" s="3241"/>
      <c r="P51" s="324">
        <f>I51/I61</f>
        <v>0.59416144046575636</v>
      </c>
      <c r="Q51" s="144"/>
      <c r="S51" s="3194"/>
      <c r="T51" s="3195"/>
      <c r="Y51" s="1742" t="s">
        <v>6360</v>
      </c>
      <c r="Z51" s="1706">
        <v>51</v>
      </c>
      <c r="AZ51" s="1676" t="s">
        <v>6361</v>
      </c>
    </row>
    <row r="52" spans="1:52" s="223" customFormat="1" ht="15" customHeight="1">
      <c r="A52" s="144"/>
      <c r="B52" s="3235" t="s">
        <v>747</v>
      </c>
      <c r="C52" s="3236"/>
      <c r="D52" s="3237"/>
      <c r="E52" s="3181" t="s">
        <v>7087</v>
      </c>
      <c r="F52" s="3182"/>
      <c r="G52" s="3182"/>
      <c r="H52" s="3183"/>
      <c r="I52" s="3184">
        <v>5022500</v>
      </c>
      <c r="J52" s="3184"/>
      <c r="L52" s="3240">
        <f>'Part III-A-Uses of Funds'!$J$191*10*'Part III-A-Uses of Funds'!$Q$182</f>
        <v>5022500</v>
      </c>
      <c r="M52" s="3240"/>
      <c r="N52" s="3241">
        <f>I52-L52</f>
        <v>0</v>
      </c>
      <c r="O52" s="3241"/>
      <c r="P52" s="324">
        <f>I52/I61</f>
        <v>0.28329132800262441</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0.87745276846838083</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t="s">
        <v>7086</v>
      </c>
      <c r="D57" s="3209"/>
      <c r="E57" s="3181"/>
      <c r="F57" s="3182"/>
      <c r="G57" s="3182"/>
      <c r="H57" s="3183"/>
      <c r="I57" s="3184">
        <v>110</v>
      </c>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17729099</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17729099</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7"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2275</v>
      </c>
      <c r="B51" s="3324"/>
      <c r="C51" s="3324"/>
      <c r="D51" s="3324"/>
      <c r="E51" s="3324"/>
      <c r="F51" s="3324"/>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1" zoomScaleNormal="100" workbookViewId="0">
      <selection activeCell="A195" sqref="A195:M19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Westchester Village, Jonesboro, Clayton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Westchester Village, Jonesboro, Clayton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12000</v>
      </c>
      <c r="H9" s="3270"/>
      <c r="J9" s="3269">
        <v>12000</v>
      </c>
      <c r="K9" s="3270"/>
      <c r="L9" s="828"/>
      <c r="M9" s="3269"/>
      <c r="N9" s="3270"/>
      <c r="P9" s="3269"/>
      <c r="Q9" s="3270"/>
      <c r="S9" s="3269"/>
      <c r="T9" s="3270"/>
      <c r="V9" s="849"/>
      <c r="W9" s="3384"/>
      <c r="X9" s="3385"/>
      <c r="AZ9" s="1968"/>
      <c r="BA9" s="1706">
        <v>9</v>
      </c>
    </row>
    <row r="10" spans="1:53" s="144" customFormat="1" ht="11.25" customHeight="1">
      <c r="B10" s="144" t="s">
        <v>431</v>
      </c>
      <c r="G10" s="3257">
        <v>8000</v>
      </c>
      <c r="H10" s="3258"/>
      <c r="J10" s="3257">
        <v>8000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12000</v>
      </c>
      <c r="H11" s="3258"/>
      <c r="J11" s="3257">
        <v>12000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12500</v>
      </c>
      <c r="H12" s="3258"/>
      <c r="J12" s="3257">
        <v>12500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20000</v>
      </c>
      <c r="H13" s="3258"/>
      <c r="J13" s="3257">
        <v>20000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64500</v>
      </c>
      <c r="H18" s="3371"/>
      <c r="J18" s="3370">
        <f>SUM(J9:J17)</f>
        <v>64500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321100.91743119265</v>
      </c>
      <c r="G20" s="3269">
        <v>1400000</v>
      </c>
      <c r="H20" s="3270"/>
      <c r="J20" s="283"/>
      <c r="K20" s="280"/>
      <c r="L20" s="283"/>
      <c r="M20" s="283"/>
      <c r="N20" s="280"/>
      <c r="P20" s="283"/>
      <c r="Q20" s="280"/>
      <c r="S20" s="3269">
        <v>1400000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1400000</v>
      </c>
      <c r="H24" s="3371"/>
      <c r="J24" s="283"/>
      <c r="K24" s="280"/>
      <c r="L24" s="283"/>
      <c r="M24" s="3370">
        <f>SUM(M22:M23)</f>
        <v>0</v>
      </c>
      <c r="N24" s="3371"/>
      <c r="P24" s="283"/>
      <c r="Q24" s="280"/>
      <c r="S24" s="3370">
        <f>SUM(S20:S23)</f>
        <v>1400000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552752.29357798165</v>
      </c>
      <c r="G26" s="3269">
        <v>2410000</v>
      </c>
      <c r="H26" s="3270"/>
      <c r="J26" s="3269">
        <v>2289500</v>
      </c>
      <c r="K26" s="3270"/>
      <c r="L26" s="828"/>
      <c r="M26" s="3487"/>
      <c r="N26" s="3488"/>
      <c r="P26" s="3487"/>
      <c r="Q26" s="3488"/>
      <c r="S26" s="3269">
        <v>120500</v>
      </c>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2410000</v>
      </c>
      <c r="H28" s="3371"/>
      <c r="J28" s="3370">
        <f>SUM(J26:J27)</f>
        <v>2289500</v>
      </c>
      <c r="K28" s="3371"/>
      <c r="L28" s="283"/>
      <c r="M28" s="3370">
        <f>M26</f>
        <v>0</v>
      </c>
      <c r="N28" s="3371"/>
      <c r="P28" s="3370">
        <f>P26</f>
        <v>0</v>
      </c>
      <c r="Q28" s="3371"/>
      <c r="S28" s="3370">
        <f>SUM(S26:S27)</f>
        <v>120500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7936000</v>
      </c>
      <c r="H30" s="3270"/>
      <c r="J30" s="3269">
        <v>7936000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7936000</v>
      </c>
      <c r="H36" s="3371"/>
      <c r="J36" s="3370">
        <f>SUM(J30:J35)</f>
        <v>7936000</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620760</v>
      </c>
      <c r="F38" s="1949">
        <f>IF(($G$28+$G$36)=0,0,G38/($G$28+$G$36))</f>
        <v>0.06</v>
      </c>
      <c r="G38" s="3269">
        <v>620760</v>
      </c>
      <c r="H38" s="3270"/>
      <c r="I38" s="145"/>
      <c r="J38" s="3269">
        <v>620760</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206920</v>
      </c>
      <c r="F39" s="1949">
        <f>IF(($G$28+$G$36)=0,0,G39/($G$28+$G$36))</f>
        <v>0.02</v>
      </c>
      <c r="G39" s="3257">
        <v>206920</v>
      </c>
      <c r="H39" s="3258"/>
      <c r="I39" s="145"/>
      <c r="J39" s="3257">
        <v>206920</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620760</v>
      </c>
      <c r="F40" s="1952">
        <f>IF(($G$28+$G$36)=0,0,G40/($G$28+$G$36))</f>
        <v>0.06</v>
      </c>
      <c r="G40" s="3456">
        <v>620760</v>
      </c>
      <c r="H40" s="3457"/>
      <c r="I40" s="145"/>
      <c r="J40" s="3456">
        <v>620760</v>
      </c>
      <c r="K40" s="3457"/>
      <c r="L40" s="828"/>
      <c r="M40" s="3456"/>
      <c r="N40" s="3457"/>
      <c r="P40" s="3456"/>
      <c r="Q40" s="3457"/>
      <c r="S40" s="3456"/>
      <c r="T40" s="3457"/>
      <c r="V40" s="849"/>
      <c r="W40" s="3386"/>
      <c r="X40" s="3387"/>
      <c r="AZ40" s="1968"/>
      <c r="BA40" s="1706">
        <v>40</v>
      </c>
    </row>
    <row r="41" spans="1:53" s="144" customFormat="1" ht="12.6" customHeight="1" thickTop="1">
      <c r="B41" s="147" t="s">
        <v>3226</v>
      </c>
      <c r="D41" s="761">
        <f>SUM(D38:D40)</f>
        <v>0.14000000000000001</v>
      </c>
      <c r="E41" s="762">
        <f>SUM(E38:E40)</f>
        <v>1448440</v>
      </c>
      <c r="F41" s="1946" t="s">
        <v>184</v>
      </c>
      <c r="G41" s="3370">
        <f>SUM(G38:G40)</f>
        <v>1448440</v>
      </c>
      <c r="H41" s="3371"/>
      <c r="J41" s="3370">
        <f>SUM(J38:J40)</f>
        <v>1448440</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11794440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2479</v>
      </c>
      <c r="C48" s="1666"/>
      <c r="E48" s="3476" t="s">
        <v>2478</v>
      </c>
      <c r="F48" s="1667">
        <f>C49/'Part V-Revenues &amp; Expenses'!$P$65</f>
        <v>235888.8</v>
      </c>
      <c r="G48" s="1668" t="s">
        <v>2492</v>
      </c>
      <c r="H48" s="1669"/>
      <c r="I48" s="1669"/>
      <c r="J48" s="3361">
        <f>C49/'Part V-Revenues &amp; Expenses'!$P$67</f>
        <v>235888.8</v>
      </c>
      <c r="K48" s="3361"/>
      <c r="L48" s="1669"/>
      <c r="M48" s="3362" t="s">
        <v>6476</v>
      </c>
      <c r="N48" s="3362"/>
      <c r="O48" s="1669"/>
      <c r="P48" s="3361">
        <f>C49/'Part V-Revenues &amp; Expenses'!$K$175</f>
        <v>210.61500000000001</v>
      </c>
      <c r="Q48" s="3361"/>
      <c r="R48" s="1669"/>
      <c r="S48" s="3363" t="s">
        <v>6478</v>
      </c>
      <c r="T48" s="3364"/>
      <c r="V48" s="852"/>
      <c r="W48" s="3394"/>
      <c r="X48" s="3395"/>
      <c r="AZ48" s="1968"/>
      <c r="BA48" s="1706">
        <v>48</v>
      </c>
    </row>
    <row r="49" spans="1:53" s="144" customFormat="1" ht="12.6" customHeight="1">
      <c r="B49" s="1714" t="s">
        <v>6489</v>
      </c>
      <c r="C49" s="1713">
        <f>G28+G36+G41+G46</f>
        <v>11794440</v>
      </c>
      <c r="E49" s="3477"/>
      <c r="F49" s="1670">
        <f>C49/'Part V-Revenues &amp; Expenses'!$P$166</f>
        <v>268.05545454545455</v>
      </c>
      <c r="G49" s="1671" t="s">
        <v>2493</v>
      </c>
      <c r="H49" s="1672"/>
      <c r="I49" s="1672"/>
      <c r="J49" s="3365">
        <f>C49/'Part V-Revenues &amp; Expenses'!$P$168</f>
        <v>268.05545454545455</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589722</v>
      </c>
      <c r="F55" s="1756">
        <f>G55/C49</f>
        <v>0.05</v>
      </c>
      <c r="G55" s="3474">
        <v>589722</v>
      </c>
      <c r="H55" s="3475"/>
      <c r="I55" s="144"/>
      <c r="J55" s="3474">
        <v>589722</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247683.24</v>
      </c>
      <c r="G57" s="1668" t="s">
        <v>2492</v>
      </c>
      <c r="H57" s="1669"/>
      <c r="I57" s="1669"/>
      <c r="J57" s="3361">
        <f>B58/'Part V-Revenues &amp; Expenses'!$P$67</f>
        <v>247683.24</v>
      </c>
      <c r="K57" s="3361"/>
      <c r="L57" s="1669"/>
      <c r="M57" s="3362" t="s">
        <v>6476</v>
      </c>
      <c r="N57" s="3362"/>
      <c r="O57" s="1669"/>
      <c r="P57" s="3361">
        <f>B58/'Part V-Revenues &amp; Expenses'!$K$175</f>
        <v>221.14574999999999</v>
      </c>
      <c r="Q57" s="3361"/>
      <c r="R57" s="1669"/>
      <c r="S57" s="3363" t="s">
        <v>6478</v>
      </c>
      <c r="T57" s="3364"/>
      <c r="V57" s="852"/>
      <c r="W57" s="3394"/>
      <c r="X57" s="3395"/>
      <c r="AZ57" s="1968"/>
      <c r="BA57" s="1706">
        <v>54</v>
      </c>
    </row>
    <row r="58" spans="1:53" s="144" customFormat="1" ht="12.6" customHeight="1">
      <c r="B58" s="3357">
        <f>C49+G55</f>
        <v>12384162</v>
      </c>
      <c r="C58" s="3358"/>
      <c r="E58" s="3360"/>
      <c r="F58" s="1670">
        <f>B58/'Part V-Revenues &amp; Expenses'!$P$166</f>
        <v>281.4582272727273</v>
      </c>
      <c r="G58" s="1671" t="s">
        <v>2493</v>
      </c>
      <c r="H58" s="1672"/>
      <c r="I58" s="1672"/>
      <c r="J58" s="3365">
        <f>B58/'Part V-Revenues &amp; Expenses'!$P$168</f>
        <v>281.4582272727273</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131994</v>
      </c>
      <c r="H63" s="3258"/>
      <c r="J63" s="3257">
        <v>131994</v>
      </c>
      <c r="K63" s="3258"/>
      <c r="L63" s="828"/>
      <c r="M63" s="3257"/>
      <c r="N63" s="3258"/>
      <c r="P63" s="3257"/>
      <c r="Q63" s="3258"/>
      <c r="S63" s="3257"/>
      <c r="T63" s="3258"/>
      <c r="V63" s="853"/>
      <c r="W63" s="3384"/>
      <c r="X63" s="3385"/>
      <c r="AZ63" s="1968"/>
      <c r="BA63" s="1706">
        <v>63</v>
      </c>
    </row>
    <row r="64" spans="1:53" s="144" customFormat="1" ht="12" customHeight="1">
      <c r="B64" s="144" t="s">
        <v>2167</v>
      </c>
      <c r="G64" s="3257">
        <v>838770</v>
      </c>
      <c r="H64" s="3258"/>
      <c r="J64" s="3257">
        <v>755511</v>
      </c>
      <c r="K64" s="3258"/>
      <c r="L64" s="828"/>
      <c r="M64" s="3257"/>
      <c r="N64" s="3258"/>
      <c r="P64" s="3257"/>
      <c r="Q64" s="3258"/>
      <c r="S64" s="3257">
        <v>83259</v>
      </c>
      <c r="T64" s="3258"/>
      <c r="V64" s="853"/>
      <c r="W64" s="3384"/>
      <c r="X64" s="3385"/>
      <c r="AZ64" s="1968"/>
      <c r="BA64" s="1706">
        <v>64</v>
      </c>
    </row>
    <row r="65" spans="1:53" s="144" customFormat="1" ht="12" customHeight="1">
      <c r="B65" s="144" t="s">
        <v>2168</v>
      </c>
      <c r="G65" s="3257">
        <v>45000</v>
      </c>
      <c r="H65" s="3258"/>
      <c r="J65" s="3257">
        <v>45000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25000</v>
      </c>
      <c r="H66" s="3258"/>
      <c r="J66" s="3257">
        <v>25000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v>15000</v>
      </c>
      <c r="H67" s="3258"/>
      <c r="J67" s="3257">
        <v>15000</v>
      </c>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30000</v>
      </c>
      <c r="H68" s="3258"/>
      <c r="J68" s="3257">
        <v>30000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50000</v>
      </c>
      <c r="H69" s="3258"/>
      <c r="J69" s="3257">
        <v>50000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1135764</v>
      </c>
      <c r="H73" s="3371"/>
      <c r="J73" s="3370">
        <f>SUM(J61:J72)</f>
        <v>1052505</v>
      </c>
      <c r="K73" s="3371"/>
      <c r="L73" s="283"/>
      <c r="M73" s="3370">
        <f>SUM(M61:M72)</f>
        <v>0</v>
      </c>
      <c r="N73" s="3371"/>
      <c r="P73" s="3370">
        <f>SUM(P61:P72)</f>
        <v>0</v>
      </c>
      <c r="Q73" s="3371"/>
      <c r="S73" s="3370">
        <f>SUM(S61:S72)</f>
        <v>83259</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150000</v>
      </c>
      <c r="H75" s="3270"/>
      <c r="J75" s="3269">
        <v>150000</v>
      </c>
      <c r="K75" s="3270"/>
      <c r="L75" s="828"/>
      <c r="M75" s="3269"/>
      <c r="N75" s="3270"/>
      <c r="P75" s="3269"/>
      <c r="Q75" s="3270"/>
      <c r="S75" s="3269"/>
      <c r="T75" s="3270"/>
      <c r="V75" s="849"/>
      <c r="W75" s="3384"/>
      <c r="X75" s="3385"/>
      <c r="AZ75" s="1968"/>
      <c r="BA75" s="1706">
        <v>75</v>
      </c>
    </row>
    <row r="76" spans="1:53" s="144" customFormat="1" ht="12" customHeight="1">
      <c r="B76" s="144" t="s">
        <v>451</v>
      </c>
      <c r="G76" s="3257">
        <v>40000</v>
      </c>
      <c r="H76" s="3258"/>
      <c r="J76" s="3257">
        <v>40000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20000</v>
      </c>
      <c r="H77" s="3258"/>
      <c r="J77" s="3257">
        <v>20000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15000</v>
      </c>
      <c r="H78" s="3258"/>
      <c r="J78" s="3257">
        <v>15000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15000</v>
      </c>
      <c r="H79" s="3258"/>
      <c r="J79" s="3257">
        <v>15000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45000</v>
      </c>
      <c r="H80" s="3258"/>
      <c r="J80" s="3257">
        <v>45000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115000</v>
      </c>
      <c r="H81" s="3258"/>
      <c r="J81" s="3257">
        <v>115000</v>
      </c>
      <c r="K81" s="3258"/>
      <c r="L81" s="828"/>
      <c r="M81" s="3257"/>
      <c r="N81" s="3258"/>
      <c r="P81" s="3257"/>
      <c r="Q81" s="3258"/>
      <c r="S81" s="3257"/>
      <c r="T81" s="3258"/>
      <c r="V81" s="849"/>
      <c r="W81" s="3384"/>
      <c r="X81" s="3385"/>
      <c r="AZ81" s="744"/>
      <c r="BA81" s="1706">
        <v>81</v>
      </c>
    </row>
    <row r="82" spans="1:53" s="144" customFormat="1" ht="12" customHeight="1">
      <c r="B82" s="144" t="s">
        <v>453</v>
      </c>
      <c r="G82" s="3257">
        <v>75000</v>
      </c>
      <c r="H82" s="3258"/>
      <c r="J82" s="3257">
        <v>55000</v>
      </c>
      <c r="K82" s="3258"/>
      <c r="L82" s="828"/>
      <c r="M82" s="3257"/>
      <c r="N82" s="3258"/>
      <c r="P82" s="3257"/>
      <c r="Q82" s="3258"/>
      <c r="S82" s="3257">
        <v>20000</v>
      </c>
      <c r="T82" s="3258"/>
      <c r="V82" s="849"/>
      <c r="W82" s="3384"/>
      <c r="X82" s="3385"/>
      <c r="AZ82" s="1968"/>
      <c r="BA82" s="1706">
        <v>82</v>
      </c>
    </row>
    <row r="83" spans="1:53" s="144" customFormat="1" ht="12" customHeight="1">
      <c r="B83" s="144" t="s">
        <v>1899</v>
      </c>
      <c r="G83" s="3257">
        <v>32500</v>
      </c>
      <c r="H83" s="3258"/>
      <c r="J83" s="3257">
        <v>32500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15000</v>
      </c>
      <c r="H84" s="3258"/>
      <c r="J84" s="3257">
        <v>15000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522500</v>
      </c>
      <c r="H86" s="3371"/>
      <c r="J86" s="3370">
        <f>SUM(J75:J85)</f>
        <v>502500</v>
      </c>
      <c r="K86" s="3371"/>
      <c r="L86" s="283"/>
      <c r="M86" s="3370">
        <f>SUM(M75:M85)</f>
        <v>0</v>
      </c>
      <c r="N86" s="3371"/>
      <c r="P86" s="3370">
        <f>SUM(P75:P85)</f>
        <v>0</v>
      </c>
      <c r="Q86" s="3371"/>
      <c r="S86" s="3370">
        <f>SUM(S75:S85)</f>
        <v>20000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4835.62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69151</v>
      </c>
      <c r="H88" s="3270"/>
      <c r="J88" s="3269">
        <v>69151</v>
      </c>
      <c r="K88" s="3270"/>
      <c r="L88" s="828"/>
      <c r="M88" s="3269"/>
      <c r="N88" s="3270"/>
      <c r="P88" s="3269"/>
      <c r="Q88" s="3270"/>
      <c r="S88" s="3269"/>
      <c r="T88" s="3270"/>
      <c r="V88" s="849"/>
      <c r="W88" s="3384"/>
      <c r="X88" s="3385"/>
      <c r="AZ88" s="1968"/>
      <c r="BA88" s="1706">
        <v>88</v>
      </c>
    </row>
    <row r="89" spans="1:53" s="144" customFormat="1" ht="12" customHeight="1">
      <c r="B89" s="144" t="s">
        <v>1195</v>
      </c>
      <c r="G89" s="3257">
        <v>76200</v>
      </c>
      <c r="H89" s="3258"/>
      <c r="J89" s="3257">
        <v>76200</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61305</v>
      </c>
      <c r="H90" s="3258"/>
      <c r="I90" s="145"/>
      <c r="J90" s="3257">
        <v>61305</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35125</v>
      </c>
      <c r="H91" s="3262"/>
      <c r="I91" s="145"/>
      <c r="J91" s="3261">
        <v>35125</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241781</v>
      </c>
      <c r="H92" s="3371"/>
      <c r="J92" s="3370">
        <f>SUM(J88:J91)</f>
        <v>241781</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21250</v>
      </c>
      <c r="H97" s="3270"/>
      <c r="J97" s="3461"/>
      <c r="K97" s="3461"/>
      <c r="L97" s="828"/>
      <c r="M97" s="3461"/>
      <c r="N97" s="3461"/>
      <c r="P97" s="3461"/>
      <c r="Q97" s="3461"/>
      <c r="S97" s="3269">
        <v>21250</v>
      </c>
      <c r="T97" s="3270"/>
      <c r="V97" s="849"/>
      <c r="W97" s="3384"/>
      <c r="X97" s="3385"/>
      <c r="AZ97" s="1968" t="s">
        <v>6383</v>
      </c>
      <c r="BA97" s="1706">
        <v>97</v>
      </c>
    </row>
    <row r="98" spans="1:53" s="144" customFormat="1" ht="12" customHeight="1">
      <c r="B98" s="144" t="s">
        <v>1199</v>
      </c>
      <c r="G98" s="3257">
        <v>10000</v>
      </c>
      <c r="H98" s="3258"/>
      <c r="J98" s="3461"/>
      <c r="K98" s="3461"/>
      <c r="L98" s="828"/>
      <c r="M98" s="3461"/>
      <c r="N98" s="3461"/>
      <c r="P98" s="3461"/>
      <c r="Q98" s="3461"/>
      <c r="S98" s="3257">
        <v>10000</v>
      </c>
      <c r="T98" s="3258"/>
      <c r="V98" s="849"/>
      <c r="W98" s="3384"/>
      <c r="X98" s="3385"/>
      <c r="AZ98" s="1968"/>
      <c r="BA98" s="1706">
        <v>98</v>
      </c>
    </row>
    <row r="99" spans="1:53" s="144" customFormat="1" ht="12" customHeight="1">
      <c r="B99" s="144" t="s">
        <v>1200</v>
      </c>
      <c r="G99" s="3257">
        <v>10000</v>
      </c>
      <c r="H99" s="3258"/>
      <c r="J99" s="3461"/>
      <c r="K99" s="3461"/>
      <c r="L99" s="828"/>
      <c r="M99" s="3461"/>
      <c r="N99" s="3461"/>
      <c r="P99" s="3461"/>
      <c r="Q99" s="3461"/>
      <c r="S99" s="3257">
        <v>10000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41250</v>
      </c>
      <c r="H103" s="3371"/>
      <c r="J103" s="3461"/>
      <c r="K103" s="3461"/>
      <c r="L103" s="283"/>
      <c r="M103" s="3461"/>
      <c r="N103" s="3461"/>
      <c r="P103" s="3461"/>
      <c r="Q103" s="3461"/>
      <c r="S103" s="3370">
        <f>SUM(S97:S102)</f>
        <v>41250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6703</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3152</v>
      </c>
      <c r="AB106" s="1931"/>
      <c r="AC106" s="1931"/>
      <c r="AD106" s="1932">
        <f>'Part V-Revenues &amp; Expenses'!$P$67</f>
        <v>50</v>
      </c>
      <c r="AZ106" s="1968" t="s">
        <v>6384</v>
      </c>
      <c r="BA106" s="1706">
        <v>106</v>
      </c>
    </row>
    <row r="107" spans="1:53" s="144" customFormat="1" ht="12.6" customHeight="1">
      <c r="B107" s="144" t="s">
        <v>3319</v>
      </c>
      <c r="G107" s="3257">
        <v>2000</v>
      </c>
      <c r="H107" s="3258"/>
      <c r="J107" s="283"/>
      <c r="K107" s="283"/>
      <c r="L107" s="290"/>
      <c r="M107" s="283"/>
      <c r="N107" s="283"/>
      <c r="P107" s="283"/>
      <c r="Q107" s="283"/>
      <c r="S107" s="3257">
        <v>2000</v>
      </c>
      <c r="T107" s="3258"/>
      <c r="V107" s="849"/>
      <c r="W107" s="3384"/>
      <c r="X107" s="3385"/>
      <c r="Y107" s="3499"/>
      <c r="Z107" s="301"/>
      <c r="AA107" s="225" t="s">
        <v>6708</v>
      </c>
      <c r="AB107" s="147"/>
      <c r="AC107" s="147"/>
      <c r="AD107" s="147"/>
      <c r="AF107" s="1936" t="s">
        <v>6709</v>
      </c>
      <c r="AZ107" s="1968" t="s">
        <v>6385</v>
      </c>
      <c r="BA107" s="1706">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6704</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40000</v>
      </c>
      <c r="F109" s="3465"/>
      <c r="G109" s="3257">
        <v>40000</v>
      </c>
      <c r="H109" s="3258"/>
      <c r="I109" s="3496" t="str">
        <f>IF(E109&gt;G109,"WARNING!  LIHTC Compliance Fee proposed is below minimum required.","")</f>
        <v/>
      </c>
      <c r="J109" s="3497"/>
      <c r="K109" s="3497"/>
      <c r="L109" s="3497"/>
      <c r="M109" s="3497"/>
      <c r="N109" s="3497"/>
      <c r="O109" s="3497"/>
      <c r="P109" s="3497"/>
      <c r="Q109" s="3497"/>
      <c r="R109" s="3498"/>
      <c r="S109" s="3257">
        <v>40000</v>
      </c>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7">
        <v>3000</v>
      </c>
      <c r="H110" s="3258"/>
      <c r="I110" s="3496"/>
      <c r="J110" s="3497"/>
      <c r="K110" s="3497"/>
      <c r="L110" s="3497"/>
      <c r="M110" s="3497"/>
      <c r="N110" s="3497"/>
      <c r="O110" s="3497"/>
      <c r="P110" s="3497"/>
      <c r="Q110" s="3497"/>
      <c r="R110" s="3498"/>
      <c r="S110" s="3257">
        <v>3000</v>
      </c>
      <c r="T110" s="3258"/>
      <c r="V110" s="849"/>
      <c r="W110" s="3384"/>
      <c r="X110" s="3385"/>
      <c r="Y110" s="3499"/>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50</v>
      </c>
      <c r="AF113" s="1934">
        <f>IF($AD$105="Income Averaging",AD113*'DCA Underwriting Assumptions'!$Q$61,AD113*'DCA Underwriting Assumptions'!$Q$60)</f>
        <v>40000</v>
      </c>
      <c r="AZ113" s="1968" t="s">
        <v>6387</v>
      </c>
      <c r="BA113" s="1706">
        <v>113</v>
      </c>
    </row>
    <row r="114" spans="1:53" s="144" customFormat="1" ht="12.6" customHeight="1" thickTop="1">
      <c r="F114" s="281" t="s">
        <v>184</v>
      </c>
      <c r="G114" s="3370">
        <f>SUM(G105:G113)</f>
        <v>161000</v>
      </c>
      <c r="H114" s="3371"/>
      <c r="J114" s="283"/>
      <c r="K114" s="283"/>
      <c r="L114" s="828"/>
      <c r="M114" s="283"/>
      <c r="N114" s="283"/>
      <c r="P114" s="283"/>
      <c r="Q114" s="283"/>
      <c r="S114" s="3370">
        <f>SUM(S105:S113)</f>
        <v>161000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50</v>
      </c>
      <c r="AF115" s="1935">
        <f>SUM(AF113:AF114)</f>
        <v>40000</v>
      </c>
      <c r="AZ115" s="1959"/>
      <c r="BA115" s="1706">
        <v>115</v>
      </c>
    </row>
    <row r="116" spans="1:53" s="144" customFormat="1" ht="12.6" customHeight="1">
      <c r="B116" s="144" t="s">
        <v>267</v>
      </c>
      <c r="G116" s="3269">
        <v>3000</v>
      </c>
      <c r="H116" s="3270"/>
      <c r="J116" s="3461"/>
      <c r="K116" s="3461"/>
      <c r="L116" s="828"/>
      <c r="M116" s="3461"/>
      <c r="N116" s="3461"/>
      <c r="P116" s="3461"/>
      <c r="Q116" s="3461"/>
      <c r="S116" s="3269">
        <v>3000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3000</v>
      </c>
      <c r="H120" s="3371"/>
      <c r="J120" s="3461"/>
      <c r="K120" s="3461"/>
      <c r="L120" s="828"/>
      <c r="M120" s="3461"/>
      <c r="N120" s="3461"/>
      <c r="P120" s="3461"/>
      <c r="Q120" s="3461"/>
      <c r="S120" s="3370">
        <f>SUM(S116:S119)</f>
        <v>3000</v>
      </c>
      <c r="T120" s="3371"/>
      <c r="V120" s="851">
        <f>SUM(V116:V119)</f>
        <v>0</v>
      </c>
      <c r="W120" s="3388"/>
      <c r="X120" s="3389"/>
      <c r="AC120" s="3494" t="s">
        <v>3923</v>
      </c>
      <c r="AD120" s="3494" t="s">
        <v>3924</v>
      </c>
      <c r="AE120" s="3340" t="s">
        <v>3927</v>
      </c>
      <c r="AF120" s="3489" t="s">
        <v>3925</v>
      </c>
      <c r="AG120" s="3340" t="s">
        <v>3916</v>
      </c>
      <c r="AH120" s="3331" t="s">
        <v>6742</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 customHeight="1">
      <c r="B122" s="144" t="s">
        <v>1724</v>
      </c>
      <c r="F122" s="323">
        <f>IF($G$127=0,0,G122/$G$127)</f>
        <v>0.20226415094339623</v>
      </c>
      <c r="G122" s="3458">
        <v>268000</v>
      </c>
      <c r="H122" s="3458"/>
      <c r="J122" s="3459">
        <v>268000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1375000</v>
      </c>
      <c r="AG122" s="3344">
        <f>'DCA Underwriting Assumptions'!$Q$74</f>
        <v>2000000</v>
      </c>
      <c r="AH122" s="3332">
        <f>MIN(AF122,AG122)</f>
        <v>1375000</v>
      </c>
      <c r="AI122" s="3333"/>
      <c r="AZ122" s="1959"/>
      <c r="BA122" s="1706">
        <v>122</v>
      </c>
    </row>
    <row r="123" spans="1:53" s="144" customFormat="1" ht="12.6" customHeight="1">
      <c r="B123" s="144" t="s">
        <v>3412</v>
      </c>
      <c r="F123" s="949">
        <v>268000</v>
      </c>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7.5471698113207548E-3</v>
      </c>
      <c r="G124" s="3269">
        <v>10000</v>
      </c>
      <c r="H124" s="3270"/>
      <c r="J124" s="3269">
        <v>10000</v>
      </c>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1375000</v>
      </c>
      <c r="AG125" s="3341">
        <f>'DCA Underwriting Assumptions'!$Q$75</f>
        <v>3500000</v>
      </c>
      <c r="AH125" s="3332">
        <f>MIN(AF125,AG125)</f>
        <v>1375000</v>
      </c>
      <c r="AI125" s="3333"/>
      <c r="AZ125" s="1959"/>
      <c r="BA125" s="1706">
        <v>125</v>
      </c>
    </row>
    <row r="126" spans="1:53" s="144" customFormat="1" ht="12.6" customHeight="1" thickBot="1">
      <c r="B126" s="144" t="s">
        <v>1717</v>
      </c>
      <c r="F126" s="323">
        <f>IF($G$127=0,0,G126/$G$127)</f>
        <v>0.79018867924528302</v>
      </c>
      <c r="G126" s="3261">
        <v>1047000</v>
      </c>
      <c r="H126" s="3262"/>
      <c r="J126" s="3261">
        <v>1047000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1375000</v>
      </c>
      <c r="F127" s="281" t="s">
        <v>184</v>
      </c>
      <c r="G127" s="3370">
        <f>SUM(G122:G126)</f>
        <v>1325000</v>
      </c>
      <c r="H127" s="3455"/>
      <c r="J127" s="3370">
        <f>SUM(J122:J126)</f>
        <v>1325000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v>35000</v>
      </c>
      <c r="H129" s="3270"/>
      <c r="J129" s="291"/>
      <c r="K129" s="291"/>
      <c r="L129" s="291"/>
      <c r="M129" s="291"/>
      <c r="N129" s="291"/>
      <c r="P129" s="291"/>
      <c r="Q129" s="291"/>
      <c r="S129" s="3269">
        <v>35000</v>
      </c>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66969.5</v>
      </c>
      <c r="G130" s="3257">
        <v>66970</v>
      </c>
      <c r="H130" s="3258"/>
      <c r="J130" s="765" t="str">
        <f>IF(E130&gt;G130,"WARNING! Rent-Up Reserves proposed is below minimum - add comment.","")</f>
        <v/>
      </c>
      <c r="K130" s="765"/>
      <c r="L130" s="828"/>
      <c r="M130" s="750"/>
      <c r="N130" s="750"/>
      <c r="P130" s="750"/>
      <c r="Q130" s="750"/>
      <c r="S130" s="3257">
        <v>66970</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213171.48815824234</v>
      </c>
      <c r="G131" s="3257">
        <v>213172</v>
      </c>
      <c r="H131" s="3258"/>
      <c r="J131" s="765" t="str">
        <f>IF(E131&gt;G131,"WARNING! ODR proposed is below minimum - add comment.","")</f>
        <v/>
      </c>
      <c r="K131" s="290"/>
      <c r="L131" s="290"/>
      <c r="M131" s="290"/>
      <c r="N131" s="290"/>
      <c r="P131" s="290"/>
      <c r="Q131" s="290"/>
      <c r="S131" s="3257">
        <v>213172</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3138</v>
      </c>
      <c r="F133" s="365">
        <f>IF('Part V-Revenues &amp; Expenses'!$P$67=0,0,G133/'Part V-Revenues &amp; Expenses'!$P$67)</f>
        <v>1700</v>
      </c>
      <c r="G133" s="3257">
        <v>85000</v>
      </c>
      <c r="H133" s="3258"/>
      <c r="J133" s="3269">
        <v>85000</v>
      </c>
      <c r="K133" s="3270"/>
      <c r="L133" s="828"/>
      <c r="M133" s="3269"/>
      <c r="N133" s="3270"/>
      <c r="P133" s="3269"/>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7069</v>
      </c>
      <c r="D134" s="3453"/>
      <c r="E134" s="3453"/>
      <c r="F134" s="3454"/>
      <c r="G134" s="3261">
        <v>50000</v>
      </c>
      <c r="H134" s="3262"/>
      <c r="J134" s="3456"/>
      <c r="K134" s="3457"/>
      <c r="L134" s="828"/>
      <c r="M134" s="3261"/>
      <c r="N134" s="3262"/>
      <c r="P134" s="3261"/>
      <c r="Q134" s="3262"/>
      <c r="S134" s="3261">
        <v>50000</v>
      </c>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450142</v>
      </c>
      <c r="H135" s="3371"/>
      <c r="J135" s="3370">
        <f>SUM(J133:J134)</f>
        <v>85000</v>
      </c>
      <c r="K135" s="3371"/>
      <c r="L135" s="828"/>
      <c r="M135" s="3370">
        <f>SUM(M133:M134)</f>
        <v>0</v>
      </c>
      <c r="N135" s="3371"/>
      <c r="P135" s="3370">
        <f>SUM(P133:P134)</f>
        <v>0</v>
      </c>
      <c r="Q135" s="3371"/>
      <c r="S135" s="3370">
        <f>SUM(S129:S134)</f>
        <v>365142</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17729099</v>
      </c>
      <c r="H146" s="3356"/>
      <c r="J146" s="3355">
        <f>J18+J24+J28+J36+J41+J46+J55+J73+J86+J92+J103+J114+J120+J127+J135+J144</f>
        <v>15534948</v>
      </c>
      <c r="K146" s="3356"/>
      <c r="M146" s="3355">
        <f>M18+M24+M28+M36+M41+M46+M55+M73+M86+M92+M103+M114+M120+M127+M135+M144</f>
        <v>0</v>
      </c>
      <c r="N146" s="3356"/>
      <c r="P146" s="3355">
        <f>P18+P24+P28+P36+P41+P46+P55+P73+P86+P92+P103+P114+P120+P127+P135+P144</f>
        <v>0</v>
      </c>
      <c r="Q146" s="3356"/>
      <c r="S146" s="3355">
        <f>S18+S24+S28+S36+S41+S46+S55+S73+S86+S92+S103+S114+S120+S127+S135+S144</f>
        <v>2194151</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354581.98</v>
      </c>
      <c r="E148" s="3367"/>
      <c r="F148" s="390" t="s">
        <v>2487</v>
      </c>
      <c r="G148" s="3368">
        <f>IF('Part V-Revenues &amp; Expenses'!$K$175=0,0,G146/'Part V-Revenues &amp; Expenses'!$K$175)</f>
        <v>316.59105357142857</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15534948</v>
      </c>
      <c r="K162" s="3415"/>
      <c r="M162" s="3502">
        <f>M146</f>
        <v>0</v>
      </c>
      <c r="N162" s="3503"/>
      <c r="P162" s="3413">
        <f>P146</f>
        <v>0</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15534948</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7070</v>
      </c>
      <c r="I165" s="3433"/>
      <c r="J165" s="3434">
        <v>1.3</v>
      </c>
      <c r="K165" s="3435"/>
      <c r="M165" s="3436"/>
      <c r="N165" s="3436"/>
      <c r="P165" s="3434"/>
      <c r="Q165" s="3435"/>
      <c r="R165" s="3375" t="s">
        <v>3205</v>
      </c>
      <c r="S165" s="3376"/>
      <c r="T165" s="3377"/>
      <c r="U165" s="1170"/>
      <c r="V165" s="849"/>
      <c r="W165" s="3384"/>
      <c r="X165" s="3385"/>
      <c r="AZ165" s="1968"/>
      <c r="BA165" s="1706">
        <v>165</v>
      </c>
    </row>
    <row r="166" spans="1:53" s="144" customFormat="1" ht="14.1" customHeight="1">
      <c r="B166" s="144" t="s">
        <v>1903</v>
      </c>
      <c r="J166" s="3416">
        <f>J164*J165</f>
        <v>20195432.400000002</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0.89772727272727271</v>
      </c>
      <c r="K167" s="3438"/>
      <c r="M167" s="3437">
        <f>MIN('Part V-Revenues &amp; Expenses'!$P$63/'Part V-Revenues &amp; Expenses'!$P$65,'Part V-Revenues &amp; Expenses'!$P$164/'Part V-Revenues &amp; Expenses'!$P$166)</f>
        <v>0.89772727272727271</v>
      </c>
      <c r="N167" s="3438"/>
      <c r="P167" s="3437">
        <f>MIN('Part V-Revenues &amp; Expenses'!$P$63/'Part V-Revenues &amp; Expenses'!$P$65,'Part V-Revenues &amp; Expenses'!$P$164/'Part V-Revenues &amp; Expenses'!$P$166)</f>
        <v>0.89772727272727271</v>
      </c>
      <c r="Q167" s="3438"/>
      <c r="R167" s="3381"/>
      <c r="S167" s="3382"/>
      <c r="T167" s="3383"/>
      <c r="V167" s="849"/>
      <c r="W167" s="3384"/>
      <c r="X167" s="3385"/>
      <c r="AZ167" s="1968"/>
      <c r="BA167" s="1706">
        <v>167</v>
      </c>
    </row>
    <row r="168" spans="1:53" s="144" customFormat="1" ht="14.1" customHeight="1">
      <c r="B168" s="144" t="s">
        <v>1895</v>
      </c>
      <c r="J168" s="3416">
        <f>J166*J167</f>
        <v>18129990.450000003</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1631699.1405000002</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1631699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17729099</v>
      </c>
      <c r="K176" s="3414"/>
      <c r="L176" s="3415"/>
      <c r="N176" s="3443" t="s">
        <v>6716</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2125110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15603989</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1560398.9</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1.27</v>
      </c>
      <c r="K182" s="3401"/>
      <c r="L182" s="3402"/>
      <c r="M182" s="248" t="s">
        <v>1212</v>
      </c>
      <c r="N182" s="3403">
        <v>0.86</v>
      </c>
      <c r="O182" s="3404"/>
      <c r="P182" s="248" t="s">
        <v>570</v>
      </c>
      <c r="Q182" s="3403">
        <v>0.41</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1228660</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1225000</v>
      </c>
      <c r="K187" s="3407"/>
      <c r="L187" s="3408"/>
      <c r="Q187" s="147" t="s">
        <v>6248</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1225000</v>
      </c>
      <c r="K189" s="3407"/>
      <c r="L189" s="3408"/>
      <c r="M189" s="3442" t="str">
        <f>IF(J187=0,"",IF(J189&gt;J187,"Request can't exceed Maximum - REVISE (Try Round Down)!",""))</f>
        <v/>
      </c>
      <c r="N189" s="3442"/>
      <c r="O189" s="3442"/>
      <c r="P189" s="3442"/>
      <c r="Q189" s="241" t="s">
        <v>6544</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1225000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7089</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6" sqref="F76"/>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19" t="str">
        <f>CONCATENATE("PART THREE (B) -  OTHER COSTS","  -  ",'Part I-Project Identification'!$O$7," - ",'Part I-Project Identification'!$F$25,"  -  ",'Part I-Project Identification'!$F$26,"  -  ",'Part I-Project Identification'!$J$26,",  ","County")</f>
        <v>PART THREE (B) -  OTHER COSTS  -  2023-0 - Westchester Village  -  Jonesboro  -  Clayton,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3277</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Community Improvement Fund</v>
      </c>
      <c r="B71" s="3505"/>
      <c r="C71" s="3505"/>
      <c r="D71" s="3506"/>
      <c r="F71" s="3510" t="s">
        <v>7112</v>
      </c>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50000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Westchester Village, Jonesboro, Clayton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Local PHA</v>
      </c>
      <c r="J3" s="3552"/>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7040</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44652</v>
      </c>
      <c r="J8" s="3544"/>
      <c r="K8" s="5" t="s">
        <v>505</v>
      </c>
      <c r="L8" s="3545" t="s">
        <v>7041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7042</v>
      </c>
      <c r="E12" s="3534"/>
      <c r="F12" s="207" t="s">
        <v>416</v>
      </c>
      <c r="G12" s="207"/>
      <c r="H12" s="804"/>
      <c r="I12" s="1266"/>
      <c r="J12" s="1266">
        <v>42</v>
      </c>
      <c r="K12" s="1266">
        <v>50</v>
      </c>
      <c r="L12" s="1266"/>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9</v>
      </c>
      <c r="K13" s="1267">
        <v>11</v>
      </c>
      <c r="L13" s="1268"/>
      <c r="M13" s="1268"/>
      <c r="O13" s="3525" t="s">
        <v>3276</v>
      </c>
      <c r="P13" s="3525"/>
      <c r="Q13" s="3525"/>
    </row>
    <row r="14" spans="1:25" s="6" customFormat="1" ht="12" customHeight="1">
      <c r="B14" s="1275" t="s">
        <v>1493</v>
      </c>
      <c r="C14" s="1276"/>
      <c r="D14" s="3535" t="s">
        <v>1491</v>
      </c>
      <c r="E14" s="3536"/>
      <c r="F14" s="208" t="s">
        <v>416</v>
      </c>
      <c r="G14" s="208"/>
      <c r="H14" s="203"/>
      <c r="I14" s="1267"/>
      <c r="J14" s="1267">
        <v>15</v>
      </c>
      <c r="K14" s="1267">
        <v>20</v>
      </c>
      <c r="L14" s="1268"/>
      <c r="M14" s="1268"/>
      <c r="O14" s="3525"/>
      <c r="P14" s="3525"/>
      <c r="Q14" s="3525"/>
    </row>
    <row r="15" spans="1:25" s="6" customFormat="1" ht="12" customHeight="1">
      <c r="B15" s="1277" t="s">
        <v>440</v>
      </c>
      <c r="C15" s="1278"/>
      <c r="D15" s="1277" t="s">
        <v>1491</v>
      </c>
      <c r="E15" s="204"/>
      <c r="F15" s="208" t="s">
        <v>416</v>
      </c>
      <c r="G15" s="208"/>
      <c r="H15" s="802"/>
      <c r="I15" s="1267"/>
      <c r="J15" s="1267">
        <v>14</v>
      </c>
      <c r="K15" s="1267">
        <v>16</v>
      </c>
      <c r="L15" s="1268"/>
      <c r="M15" s="1268"/>
      <c r="O15" s="3525"/>
      <c r="P15" s="3525"/>
      <c r="Q15" s="3525"/>
    </row>
    <row r="16" spans="1:25" s="6" customFormat="1" ht="12" customHeight="1">
      <c r="B16" s="1279" t="s">
        <v>3270</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3271</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3272</v>
      </c>
      <c r="C18" s="1276"/>
      <c r="D18" s="1275" t="s">
        <v>1491</v>
      </c>
      <c r="E18" s="801"/>
      <c r="F18" s="208" t="s">
        <v>416</v>
      </c>
      <c r="G18" s="208"/>
      <c r="H18" s="203"/>
      <c r="I18" s="1267"/>
      <c r="J18" s="1267">
        <f>34+12</f>
        <v>46</v>
      </c>
      <c r="K18" s="1267">
        <f>44+12</f>
        <v>56</v>
      </c>
      <c r="L18" s="1268"/>
      <c r="M18" s="1268"/>
      <c r="O18" s="3525"/>
      <c r="P18" s="3525"/>
      <c r="Q18" s="3525"/>
    </row>
    <row r="19" spans="1:25" s="6" customFormat="1" ht="12" customHeight="1">
      <c r="B19" s="1277" t="s">
        <v>1292</v>
      </c>
      <c r="C19" s="1278"/>
      <c r="D19" s="1283" t="s">
        <v>3076</v>
      </c>
      <c r="E19" s="1265" t="s">
        <v>2649</v>
      </c>
      <c r="F19" s="208" t="s">
        <v>416</v>
      </c>
      <c r="G19" s="208"/>
      <c r="H19" s="802"/>
      <c r="I19" s="1267"/>
      <c r="J19" s="1267">
        <v>36</v>
      </c>
      <c r="K19" s="1267">
        <v>46</v>
      </c>
      <c r="L19" s="1268"/>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t="s">
        <v>7043</v>
      </c>
      <c r="D21" s="3538"/>
      <c r="E21" s="3539"/>
      <c r="F21" s="209" t="s">
        <v>416</v>
      </c>
      <c r="G21" s="209"/>
      <c r="H21" s="805"/>
      <c r="I21" s="1269"/>
      <c r="J21" s="1269">
        <v>-24</v>
      </c>
      <c r="K21" s="1269">
        <v>-24</v>
      </c>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138</v>
      </c>
      <c r="K22" s="119">
        <f>IF(SUM(K12:K21)=0,0,IF(OR($D12="&lt;&lt;Select Fuel &gt;&gt;",$D13="&lt;&lt;Select Fuel &gt;&gt;",$D14="&lt;&lt;Select Fuel &gt;&gt;"),"Select Fuel",IF($E19="&lt;Select&gt;","Submeter?",SUM(K12:K21))))</f>
        <v>175</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3276</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3270</v>
      </c>
      <c r="C33" s="1274"/>
      <c r="D33" s="1273" t="s">
        <v>1491</v>
      </c>
      <c r="E33" s="801"/>
      <c r="F33" s="208"/>
      <c r="G33" s="208"/>
      <c r="H33" s="803"/>
      <c r="I33" s="1267"/>
      <c r="J33" s="1267"/>
      <c r="K33" s="1267"/>
      <c r="L33" s="1268"/>
      <c r="M33" s="1268"/>
      <c r="O33" s="3525"/>
      <c r="P33" s="3525"/>
      <c r="Q33" s="3525"/>
    </row>
    <row r="34" spans="1:19" s="6" customFormat="1" ht="12" customHeight="1">
      <c r="B34" s="1279" t="s">
        <v>3271</v>
      </c>
      <c r="C34" s="1274"/>
      <c r="D34" s="1273" t="s">
        <v>1491</v>
      </c>
      <c r="E34" s="801"/>
      <c r="F34" s="208"/>
      <c r="G34" s="208"/>
      <c r="H34" s="803"/>
      <c r="I34" s="1267"/>
      <c r="J34" s="1267"/>
      <c r="K34" s="1267"/>
      <c r="L34" s="1268"/>
      <c r="M34" s="1268"/>
      <c r="O34" s="3525"/>
      <c r="P34" s="3525"/>
      <c r="Q34" s="3525"/>
    </row>
    <row r="35" spans="1:19" s="6" customFormat="1" ht="12" customHeight="1">
      <c r="B35" s="1280" t="s">
        <v>3272</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7090</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Tony Timmerman</cp:lastModifiedBy>
  <cp:lastPrinted>2023-05-18T16:01:48Z</cp:lastPrinted>
  <dcterms:created xsi:type="dcterms:W3CDTF">2005-09-15T20:51:37Z</dcterms:created>
  <dcterms:modified xsi:type="dcterms:W3CDTF">2023-05-19T03:12:41Z</dcterms:modified>
</cp:coreProperties>
</file>