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I:\APPLICATIONS\2023\Georgia\Hart Co - Hartwell\Application\LIHTC\Final App\2023-0xxBrdgLincomAppFldr\"/>
    </mc:Choice>
  </mc:AlternateContent>
  <xr:revisionPtr revIDLastSave="0" documentId="13_ncr:1_{1C8F9B8F-678D-454A-A7CD-7D47131107F1}"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0730" windowHeight="1116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99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99" i="78" l="1"/>
  <c r="S98" i="78"/>
  <c r="S97" i="78"/>
  <c r="G97" i="78"/>
  <c r="G99" i="78"/>
  <c r="G98" i="78"/>
  <c r="K72" i="74"/>
  <c r="D63" i="74"/>
  <c r="E63" i="74"/>
  <c r="F63" i="74"/>
  <c r="G63" i="74"/>
  <c r="H63" i="74" s="1"/>
  <c r="I63" i="74" s="1"/>
  <c r="J63" i="74" s="1"/>
  <c r="K63" i="74" s="1"/>
  <c r="C63" i="74"/>
  <c r="B63" i="74"/>
  <c r="D31" i="74"/>
  <c r="E31" i="74"/>
  <c r="F31" i="74"/>
  <c r="G31" i="74"/>
  <c r="H31" i="74" s="1"/>
  <c r="I31" i="74" s="1"/>
  <c r="J31" i="74" s="1"/>
  <c r="K31" i="74" s="1"/>
  <c r="C31" i="74"/>
  <c r="J14" i="78"/>
  <c r="G14" i="78"/>
  <c r="S83" i="78"/>
  <c r="S82" i="78"/>
  <c r="S67" i="78"/>
  <c r="S20" i="78"/>
  <c r="I52" i="68"/>
  <c r="I51" i="68"/>
  <c r="J64" i="78"/>
  <c r="J63" i="78"/>
  <c r="J55" i="78"/>
  <c r="G30" i="78"/>
  <c r="J88" i="78" l="1"/>
  <c r="J30" i="78"/>
  <c r="J40" i="78"/>
  <c r="J39" i="78"/>
  <c r="J38" i="78"/>
  <c r="P40" i="68"/>
  <c r="B31" i="74"/>
  <c r="L237" i="75"/>
  <c r="J83" i="78" l="1"/>
  <c r="J82" i="78"/>
  <c r="L19" i="76"/>
  <c r="K19" i="76"/>
  <c r="J19" i="76"/>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P179" i="102" l="1"/>
  <c r="O179" i="102"/>
  <c r="E31" i="102"/>
  <c r="E1182" i="103" s="1"/>
  <c r="O1516" i="103"/>
  <c r="D36" i="102"/>
  <c r="C36"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BJ437" i="102"/>
  <c r="BF440" i="102"/>
  <c r="O1245" i="103"/>
  <c r="O86" i="102"/>
  <c r="O1237" i="103" s="1"/>
  <c r="P1245" i="103"/>
  <c r="P86" i="102"/>
  <c r="P1237" i="103" s="1"/>
  <c r="O1219" i="103"/>
  <c r="O66" i="102"/>
  <c r="O1217" i="103" s="1"/>
  <c r="R312" i="102"/>
  <c r="O1463" i="103"/>
  <c r="D1187" i="103"/>
  <c r="BH449" i="102"/>
  <c r="BH1600" i="103" s="1"/>
  <c r="P66" i="102"/>
  <c r="P1217" i="103" s="1"/>
  <c r="BG1573" i="103" s="1"/>
  <c r="BF432" i="102"/>
  <c r="P1351" i="103"/>
  <c r="BF1583" i="103" s="1"/>
  <c r="E21" i="102"/>
  <c r="E1172" i="103" s="1"/>
  <c r="O1351" i="103"/>
  <c r="AH449" i="102"/>
  <c r="AH1600" i="103" s="1"/>
  <c r="C1187" i="103"/>
  <c r="AJ449" i="102"/>
  <c r="AJ1600" i="103" s="1"/>
  <c r="E34" i="102"/>
  <c r="AI449" i="102"/>
  <c r="A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BB1584"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P1157" i="103"/>
  <c r="K600"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M529" i="103" l="1"/>
  <c r="M517" i="103"/>
  <c r="M618" i="103"/>
  <c r="M535" i="103"/>
  <c r="M526" i="103"/>
  <c r="M523" i="103"/>
  <c r="Q607" i="103"/>
  <c r="Q605"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3" i="103"/>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J22" i="75" s="1"/>
  <c r="J469" i="103" s="1"/>
  <c r="L469" i="103" s="1"/>
  <c r="M469" i="103"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827" i="103"/>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827" i="103"/>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733" i="103" l="1"/>
  <c r="C75" i="100"/>
  <c r="J18" i="75"/>
  <c r="J465" i="103" s="1"/>
  <c r="L465" i="103" s="1"/>
  <c r="M465"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797" i="103"/>
  <c r="K58" i="74"/>
  <c r="K765" i="103" s="1"/>
  <c r="F58" i="74"/>
  <c r="F765" i="103" s="1"/>
  <c r="E26" i="74"/>
  <c r="E733" i="103" s="1"/>
  <c r="D58" i="74"/>
  <c r="D765" i="103" s="1"/>
  <c r="H58" i="74"/>
  <c r="H765" i="103" s="1"/>
  <c r="E58" i="74"/>
  <c r="E765" i="103" s="1"/>
  <c r="I797" i="103"/>
  <c r="G797" i="103"/>
  <c r="G58" i="74"/>
  <c r="G765" i="103" s="1"/>
  <c r="J26" i="74"/>
  <c r="J733" i="103" s="1"/>
  <c r="F797" i="103"/>
  <c r="B58" i="74"/>
  <c r="B765" i="103" s="1"/>
  <c r="E827" i="103"/>
  <c r="K26" i="74"/>
  <c r="E797" i="103"/>
  <c r="D26" i="74"/>
  <c r="D733" i="103" s="1"/>
  <c r="C797" i="103"/>
  <c r="C58" i="74"/>
  <c r="C765" i="103" s="1"/>
  <c r="F26" i="74"/>
  <c r="F733" i="103" s="1"/>
  <c r="F827" i="103"/>
  <c r="B797" i="103"/>
  <c r="H797" i="103"/>
  <c r="C26" i="74"/>
  <c r="C733" i="103" s="1"/>
  <c r="I58" i="74"/>
  <c r="I765" i="103" s="1"/>
  <c r="D797" i="103"/>
  <c r="G26" i="74"/>
  <c r="G733" i="103" s="1"/>
  <c r="C827" i="103"/>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I69" i="74"/>
  <c r="B38" i="87"/>
  <c r="J99" i="74"/>
  <c r="B16" i="87"/>
  <c r="F99" i="74"/>
  <c r="C128" i="74"/>
  <c r="E41" i="87"/>
  <c r="E21" i="87"/>
  <c r="F84" i="92"/>
  <c r="G36" i="74"/>
  <c r="B30" i="87"/>
  <c r="H68" i="74"/>
  <c r="I36" i="74"/>
  <c r="D36" i="74"/>
  <c r="C68" i="74"/>
  <c r="B43" i="87"/>
  <c r="E130" i="74"/>
  <c r="B10" i="87"/>
  <c r="B17" i="87"/>
  <c r="D99" i="74"/>
  <c r="B68" i="74"/>
  <c r="H36" i="74"/>
  <c r="G68" i="74"/>
  <c r="B42" i="87"/>
  <c r="B44" i="87"/>
  <c r="H99" i="74"/>
  <c r="E39" i="87"/>
  <c r="B32" i="87"/>
  <c r="B39" i="87"/>
  <c r="B40" i="87"/>
  <c r="B28" i="87"/>
  <c r="B129" i="74"/>
  <c r="J68" i="74"/>
  <c r="E99" i="74"/>
  <c r="F69" i="74"/>
  <c r="B33" i="87"/>
  <c r="D68" i="74"/>
  <c r="E16" i="87"/>
  <c r="B35"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G739" i="103" l="1"/>
  <c r="C771" i="103"/>
  <c r="F771" i="103"/>
  <c r="D771" i="103"/>
  <c r="E771" i="103"/>
  <c r="K739" i="103"/>
  <c r="F739" i="103"/>
  <c r="E739" i="103"/>
  <c r="I739" i="103"/>
  <c r="B771" i="103"/>
  <c r="J739" i="103"/>
  <c r="C739" i="103"/>
  <c r="B739" i="103"/>
  <c r="B44" i="74"/>
  <c r="B751" i="103" s="1"/>
  <c r="H739" i="103"/>
  <c r="D739" i="103"/>
  <c r="B26" i="87"/>
  <c r="B12" i="87"/>
  <c r="B20" i="87"/>
  <c r="B22" i="87"/>
  <c r="B27" i="87"/>
  <c r="K65" i="82"/>
  <c r="B25" i="87"/>
  <c r="B29" i="87"/>
  <c r="P94" i="103"/>
  <c r="P95" i="103"/>
  <c r="I105" i="103"/>
  <c r="B36" i="87"/>
  <c r="B23" i="87"/>
  <c r="B13" i="87"/>
  <c r="C40" i="74"/>
  <c r="D40" i="74" s="1"/>
  <c r="D747" i="103" s="1"/>
  <c r="B41" i="87"/>
  <c r="B11" i="87"/>
  <c r="K733" i="103"/>
  <c r="I75" i="100"/>
  <c r="I77" i="100" s="1"/>
  <c r="E75" i="100"/>
  <c r="E77" i="100" s="1"/>
  <c r="G75" i="100"/>
  <c r="G77" i="100" s="1"/>
  <c r="C77" i="100"/>
  <c r="K75" i="100"/>
  <c r="K77" i="100" s="1"/>
  <c r="B34" i="87"/>
  <c r="B37" i="87"/>
  <c r="J797" i="103"/>
  <c r="B14" i="87"/>
  <c r="L18" i="75"/>
  <c r="M18" i="75" s="1"/>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C751" i="103" s="1"/>
  <c r="P96" i="103"/>
  <c r="L35" i="68"/>
  <c r="C747" i="103"/>
  <c r="D10" i="86"/>
  <c r="C81" i="100"/>
  <c r="C80" i="100"/>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D751" i="103" s="1"/>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H179" i="75"/>
  <c r="H626" i="103" s="1"/>
  <c r="P626" i="103" s="1"/>
  <c r="L67" i="75"/>
  <c r="O67" i="75"/>
  <c r="M67" i="75"/>
  <c r="N67" i="75"/>
  <c r="P53" i="68"/>
  <c r="P65" i="75"/>
  <c r="E13" i="84"/>
  <c r="G14" i="74"/>
  <c r="F24" i="74"/>
  <c r="K168" i="75"/>
  <c r="P168" i="75" s="1"/>
  <c r="P166" i="75"/>
  <c r="O19" i="86"/>
  <c r="O23" i="86" s="1"/>
  <c r="O25" i="86" s="1"/>
  <c r="O31" i="86" s="1"/>
  <c r="G21" i="86"/>
  <c r="F22" i="86"/>
  <c r="E44" i="74" l="1"/>
  <c r="F44" i="74" s="1"/>
  <c r="E751" i="103"/>
  <c r="P280" i="103"/>
  <c r="P281" i="103" s="1"/>
  <c r="P283" i="103" s="1"/>
  <c r="B722" i="103"/>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H21" i="86"/>
  <c r="G22" i="86"/>
  <c r="F751" i="103" l="1"/>
  <c r="G44" i="74"/>
  <c r="J284" i="103"/>
  <c r="D722" i="103"/>
  <c r="F722" i="103"/>
  <c r="C722" i="103"/>
  <c r="G722" i="103"/>
  <c r="E722"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E174" i="90"/>
  <c r="E175" i="90" s="1"/>
  <c r="L103" i="72"/>
  <c r="L113" i="72"/>
  <c r="L378" i="72"/>
  <c r="K225" i="72"/>
  <c r="P48" i="78"/>
  <c r="J48" i="78"/>
  <c r="J57" i="78"/>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723" i="103" s="1"/>
  <c r="H15" i="74"/>
  <c r="I21" i="86"/>
  <c r="I22" i="86" s="1"/>
  <c r="H22" i="86"/>
  <c r="G751" i="103" l="1"/>
  <c r="H44" i="74"/>
  <c r="B23" i="74"/>
  <c r="B730" i="103" s="1"/>
  <c r="Q235" i="75"/>
  <c r="Q682" i="103"/>
  <c r="C66" i="84"/>
  <c r="E66" i="84" s="1"/>
  <c r="N235" i="75"/>
  <c r="AD238" i="103"/>
  <c r="AF238" i="103" s="1"/>
  <c r="H722" i="103"/>
  <c r="B22" i="74"/>
  <c r="H53" i="82"/>
  <c r="H738" i="103"/>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E23" i="74"/>
  <c r="E730" i="103" s="1"/>
  <c r="B20" i="7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54" i="84"/>
  <c r="C56" i="84" s="1"/>
  <c r="C64" i="84" s="1"/>
  <c r="K6" i="74"/>
  <c r="K713" i="103" s="1"/>
  <c r="L4" i="95"/>
  <c r="J4" i="91"/>
  <c r="D17" i="74"/>
  <c r="K53" i="84"/>
  <c r="K54" i="84" s="1"/>
  <c r="K56" i="84" s="1"/>
  <c r="K64" i="84" s="1"/>
  <c r="G53" i="84"/>
  <c r="G54" i="84" s="1"/>
  <c r="E17" i="74"/>
  <c r="E53" i="84"/>
  <c r="E54" i="84" s="1"/>
  <c r="E56" i="84" s="1"/>
  <c r="E64" i="84" s="1"/>
  <c r="F17" i="74"/>
  <c r="F724" i="103" s="1"/>
  <c r="P97" i="72"/>
  <c r="AF125" i="78"/>
  <c r="AH125" i="78" s="1"/>
  <c r="H19" i="84"/>
  <c r="AF122" i="78"/>
  <c r="C19" i="84"/>
  <c r="H17" i="74"/>
  <c r="H724" i="103" s="1"/>
  <c r="I24" i="74"/>
  <c r="J14" i="74"/>
  <c r="I16" i="74"/>
  <c r="I723" i="103" s="1"/>
  <c r="I15" i="74"/>
  <c r="J738" i="103" l="1"/>
  <c r="I53" i="82"/>
  <c r="H751" i="103"/>
  <c r="I44" i="74"/>
  <c r="I66" i="84"/>
  <c r="K66" i="84"/>
  <c r="G66" i="84"/>
  <c r="F22" i="74"/>
  <c r="F729" i="103" s="1"/>
  <c r="G22" i="74"/>
  <c r="B729" i="103"/>
  <c r="Q667" i="103"/>
  <c r="Q220" i="75"/>
  <c r="K8" i="74"/>
  <c r="K715" i="103" s="1"/>
  <c r="C724" i="103"/>
  <c r="C22" i="74"/>
  <c r="I722" i="103"/>
  <c r="D724" i="103"/>
  <c r="D22" i="74"/>
  <c r="H22" i="74"/>
  <c r="E724" i="103"/>
  <c r="E22" i="74"/>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C30" i="86"/>
  <c r="I13" i="86"/>
  <c r="C20" i="74"/>
  <c r="H13" i="86"/>
  <c r="C33" i="86"/>
  <c r="C20" i="84"/>
  <c r="H20" i="84"/>
  <c r="J40" i="74"/>
  <c r="J747" i="103" s="1"/>
  <c r="E20" i="74"/>
  <c r="E727" i="103" s="1"/>
  <c r="D20" i="74"/>
  <c r="D727" i="103" s="1"/>
  <c r="G56" i="84"/>
  <c r="G64" i="84" s="1"/>
  <c r="F20" i="74"/>
  <c r="F727" i="103" s="1"/>
  <c r="K738" i="103"/>
  <c r="J53" i="82"/>
  <c r="K14" i="74"/>
  <c r="J24" i="74"/>
  <c r="J15" i="74"/>
  <c r="J16" i="74"/>
  <c r="J723" i="103" s="1"/>
  <c r="J23" i="74"/>
  <c r="J730" i="103" s="1"/>
  <c r="I17" i="74"/>
  <c r="I724" i="103" s="1"/>
  <c r="H20" i="74"/>
  <c r="H727" i="103" s="1"/>
  <c r="I751" i="103" l="1"/>
  <c r="J44" i="74"/>
  <c r="J722" i="103"/>
  <c r="I22" i="74"/>
  <c r="D729" i="103"/>
  <c r="E729" i="103"/>
  <c r="C729" i="103"/>
  <c r="C68" i="84"/>
  <c r="Q228" i="75"/>
  <c r="O221" i="75"/>
  <c r="O222" i="75"/>
  <c r="H729" i="103"/>
  <c r="G729" i="103"/>
  <c r="Q675" i="103"/>
  <c r="O668" i="103"/>
  <c r="O669" i="103"/>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16" i="74"/>
  <c r="K723" i="103" s="1"/>
  <c r="K23" i="74"/>
  <c r="K730" i="103" s="1"/>
  <c r="D33" i="86"/>
  <c r="B770" i="103"/>
  <c r="K53" i="82"/>
  <c r="J17" i="74"/>
  <c r="J724" i="103" s="1"/>
  <c r="J751" i="103" l="1"/>
  <c r="K44" i="74"/>
  <c r="F130" i="78"/>
  <c r="F243" i="103" s="1"/>
  <c r="F131" i="78"/>
  <c r="F244" i="103" s="1"/>
  <c r="B21" i="74"/>
  <c r="B53" i="74" s="1"/>
  <c r="P229" i="75"/>
  <c r="Q247" i="75"/>
  <c r="N228" i="75"/>
  <c r="K722" i="103"/>
  <c r="K68" i="84"/>
  <c r="K70" i="84" s="1"/>
  <c r="G68" i="84"/>
  <c r="G70" i="84" s="1"/>
  <c r="E68" i="84"/>
  <c r="E70" i="84" s="1"/>
  <c r="I68" i="84"/>
  <c r="I70" i="84" s="1"/>
  <c r="C70" i="84"/>
  <c r="J22" i="74"/>
  <c r="P676" i="103"/>
  <c r="N675" i="103"/>
  <c r="Q694" i="103"/>
  <c r="I729" i="103"/>
  <c r="E30" i="86"/>
  <c r="B15" i="82"/>
  <c r="J183" i="78"/>
  <c r="M189" i="78" s="1"/>
  <c r="B72" i="74"/>
  <c r="B779" i="103" s="1"/>
  <c r="J20" i="74"/>
  <c r="J727" i="103" s="1"/>
  <c r="K17" i="74"/>
  <c r="K724" i="103" s="1"/>
  <c r="C46" i="74"/>
  <c r="B56" i="74"/>
  <c r="B48" i="74"/>
  <c r="B755" i="103" s="1"/>
  <c r="B47" i="74"/>
  <c r="B55" i="74"/>
  <c r="B762" i="103" s="1"/>
  <c r="C770" i="103"/>
  <c r="B73" i="82"/>
  <c r="E33" i="86"/>
  <c r="K751" i="103" l="1"/>
  <c r="B76" i="74"/>
  <c r="E76" i="84"/>
  <c r="E73" i="84" s="1"/>
  <c r="E72" i="84"/>
  <c r="J729" i="103"/>
  <c r="C72" i="84"/>
  <c r="C76" i="84"/>
  <c r="C73" i="84" s="1"/>
  <c r="K72" i="84"/>
  <c r="K76" i="84"/>
  <c r="K73" i="84" s="1"/>
  <c r="B728" i="103"/>
  <c r="F21" i="74"/>
  <c r="C21" i="74"/>
  <c r="E21" i="74"/>
  <c r="D21" i="74"/>
  <c r="G21" i="74"/>
  <c r="H21" i="74"/>
  <c r="I21" i="74"/>
  <c r="J21" i="74"/>
  <c r="J728" i="103" s="1"/>
  <c r="B25" i="74"/>
  <c r="B39" i="74"/>
  <c r="K21" i="74"/>
  <c r="K728" i="103" s="1"/>
  <c r="G76" i="84"/>
  <c r="G73" i="84" s="1"/>
  <c r="G72" i="84"/>
  <c r="B754" i="103"/>
  <c r="I76" i="84"/>
  <c r="I73" i="84" s="1"/>
  <c r="I72" i="84"/>
  <c r="K22" i="74"/>
  <c r="B760" i="103"/>
  <c r="F30" i="86"/>
  <c r="C72" i="74"/>
  <c r="C779" i="103" s="1"/>
  <c r="C73" i="82"/>
  <c r="D770" i="103"/>
  <c r="C48" i="74"/>
  <c r="C755" i="103" s="1"/>
  <c r="C56" i="74"/>
  <c r="D46" i="74"/>
  <c r="C47" i="74"/>
  <c r="C53" i="74"/>
  <c r="C55" i="74"/>
  <c r="C762" i="103" s="1"/>
  <c r="B49" i="74"/>
  <c r="B756" i="103" s="1"/>
  <c r="F33" i="86"/>
  <c r="K20" i="74"/>
  <c r="K727" i="103" s="1"/>
  <c r="B783" i="103" l="1"/>
  <c r="C76" i="74"/>
  <c r="B34" i="74"/>
  <c r="B38" i="74"/>
  <c r="J746" i="103"/>
  <c r="D728" i="103"/>
  <c r="D39" i="74"/>
  <c r="D25" i="74"/>
  <c r="B746" i="103"/>
  <c r="B732" i="103"/>
  <c r="J25" i="74"/>
  <c r="K729" i="103"/>
  <c r="K732" i="103" s="1"/>
  <c r="K39" i="74"/>
  <c r="H728" i="103"/>
  <c r="H25" i="74"/>
  <c r="H39" i="74"/>
  <c r="C728" i="103"/>
  <c r="C39" i="74"/>
  <c r="C25" i="74"/>
  <c r="J39" i="74"/>
  <c r="C754" i="103"/>
  <c r="B44" i="82"/>
  <c r="B33" i="74"/>
  <c r="G728" i="103"/>
  <c r="G25" i="74"/>
  <c r="G39" i="74"/>
  <c r="F728" i="103"/>
  <c r="F39" i="74"/>
  <c r="F25" i="74"/>
  <c r="B54" i="74"/>
  <c r="I728" i="103"/>
  <c r="I39" i="74"/>
  <c r="I25" i="74"/>
  <c r="E728" i="103"/>
  <c r="E25" i="74"/>
  <c r="E39" i="74"/>
  <c r="J732" i="103"/>
  <c r="C760" i="103"/>
  <c r="G30" i="86"/>
  <c r="D72" i="74"/>
  <c r="D779" i="103" s="1"/>
  <c r="E46" i="74"/>
  <c r="D56" i="74"/>
  <c r="D48" i="74"/>
  <c r="D755" i="103" s="1"/>
  <c r="D47" i="74"/>
  <c r="D53" i="74"/>
  <c r="D55" i="74"/>
  <c r="D762" i="103" s="1"/>
  <c r="E770" i="103"/>
  <c r="D73" i="82"/>
  <c r="G33" i="86"/>
  <c r="K25" i="74"/>
  <c r="B52" i="74"/>
  <c r="B759" i="103" s="1"/>
  <c r="C49" i="74"/>
  <c r="C756" i="103" s="1"/>
  <c r="C783" i="103" l="1"/>
  <c r="D76" i="74"/>
  <c r="E34" i="74"/>
  <c r="E38" i="74"/>
  <c r="K38" i="74"/>
  <c r="K34" i="74"/>
  <c r="B740" i="103"/>
  <c r="B745" i="103"/>
  <c r="B741" i="103"/>
  <c r="J740" i="103"/>
  <c r="J745" i="103"/>
  <c r="J741" i="103"/>
  <c r="I34" i="74"/>
  <c r="I38" i="74"/>
  <c r="F34" i="74"/>
  <c r="F38" i="74"/>
  <c r="G34" i="74"/>
  <c r="G38" i="74"/>
  <c r="K740" i="103"/>
  <c r="K741" i="103"/>
  <c r="K745" i="103"/>
  <c r="D34" i="74"/>
  <c r="D38" i="74"/>
  <c r="C38" i="74"/>
  <c r="C34" i="74"/>
  <c r="H34" i="74"/>
  <c r="H38" i="74"/>
  <c r="J44" i="82"/>
  <c r="J46" i="82" s="1"/>
  <c r="J34" i="74"/>
  <c r="J38" i="74"/>
  <c r="J33" i="74"/>
  <c r="D29" i="86" s="1"/>
  <c r="D37" i="86" s="1"/>
  <c r="D38" i="86" s="1"/>
  <c r="D40" i="86" s="1"/>
  <c r="D44" i="86" s="1"/>
  <c r="K14" i="86" s="1"/>
  <c r="K746" i="103"/>
  <c r="D754" i="103"/>
  <c r="E44" i="82"/>
  <c r="E33" i="74"/>
  <c r="F9" i="86" s="1"/>
  <c r="F17" i="86" s="1"/>
  <c r="F18" i="86" s="1"/>
  <c r="F20" i="86" s="1"/>
  <c r="F24" i="86" s="1"/>
  <c r="K9" i="86" s="1"/>
  <c r="I746" i="103"/>
  <c r="I732" i="103"/>
  <c r="G746" i="103"/>
  <c r="G732" i="103"/>
  <c r="C746" i="103"/>
  <c r="C732" i="103"/>
  <c r="E746" i="103"/>
  <c r="E732" i="103"/>
  <c r="F746" i="103"/>
  <c r="F732" i="103"/>
  <c r="S21" i="74"/>
  <c r="C9" i="86"/>
  <c r="C17" i="86" s="1"/>
  <c r="C18" i="86" s="1"/>
  <c r="C20" i="86" s="1"/>
  <c r="C24" i="86" s="1"/>
  <c r="K6" i="86" s="1"/>
  <c r="G66" i="86" s="1"/>
  <c r="N92" i="85" s="1"/>
  <c r="D746" i="103"/>
  <c r="D732" i="103"/>
  <c r="I44" i="82"/>
  <c r="I33" i="74"/>
  <c r="C29" i="86" s="1"/>
  <c r="C37" i="86" s="1"/>
  <c r="C38" i="86" s="1"/>
  <c r="C40" i="86" s="1"/>
  <c r="C44" i="86" s="1"/>
  <c r="K13" i="86" s="1"/>
  <c r="B761" i="103"/>
  <c r="B778" i="103" s="1"/>
  <c r="B71" i="74"/>
  <c r="B51" i="82"/>
  <c r="B46" i="82"/>
  <c r="C33" i="74"/>
  <c r="S22" i="74" s="1"/>
  <c r="C44" i="82"/>
  <c r="H44" i="82"/>
  <c r="H33" i="74"/>
  <c r="I9" i="86" s="1"/>
  <c r="I17" i="86" s="1"/>
  <c r="I18" i="86" s="1"/>
  <c r="I20" i="86" s="1"/>
  <c r="I24" i="86" s="1"/>
  <c r="K12" i="86" s="1"/>
  <c r="F33" i="74"/>
  <c r="G9" i="86" s="1"/>
  <c r="G17" i="86" s="1"/>
  <c r="G18" i="86" s="1"/>
  <c r="G20" i="86" s="1"/>
  <c r="G24" i="86" s="1"/>
  <c r="K10" i="86" s="1"/>
  <c r="F44" i="82"/>
  <c r="G44" i="82"/>
  <c r="G33" i="74"/>
  <c r="H9" i="86" s="1"/>
  <c r="H17" i="86" s="1"/>
  <c r="H18" i="86" s="1"/>
  <c r="H20" i="86" s="1"/>
  <c r="H24" i="86" s="1"/>
  <c r="K11" i="86" s="1"/>
  <c r="C54" i="74"/>
  <c r="H746" i="103"/>
  <c r="H732" i="103"/>
  <c r="D44" i="82"/>
  <c r="D33" i="74"/>
  <c r="E9" i="86" s="1"/>
  <c r="E17" i="86" s="1"/>
  <c r="E18" i="86" s="1"/>
  <c r="E20" i="86" s="1"/>
  <c r="E24" i="86" s="1"/>
  <c r="K8" i="86" s="1"/>
  <c r="D760" i="103"/>
  <c r="H30" i="86"/>
  <c r="E72" i="74"/>
  <c r="E779" i="103" s="1"/>
  <c r="J51" i="82"/>
  <c r="C52" i="74"/>
  <c r="C759" i="103" s="1"/>
  <c r="E73" i="82"/>
  <c r="F770" i="103"/>
  <c r="D49" i="74"/>
  <c r="D756" i="103" s="1"/>
  <c r="B57" i="74"/>
  <c r="K44" i="82"/>
  <c r="K33" i="74"/>
  <c r="E47" i="74"/>
  <c r="E56" i="74"/>
  <c r="F46" i="74"/>
  <c r="E48" i="74"/>
  <c r="E755" i="103" s="1"/>
  <c r="E53" i="74"/>
  <c r="E55" i="74"/>
  <c r="E762" i="103" s="1"/>
  <c r="H33" i="86"/>
  <c r="D783" i="103" l="1"/>
  <c r="E76" i="74"/>
  <c r="E740" i="103"/>
  <c r="E745" i="103"/>
  <c r="E741" i="103"/>
  <c r="G740" i="103"/>
  <c r="G741" i="103"/>
  <c r="G745" i="103"/>
  <c r="H740" i="103"/>
  <c r="H741" i="103"/>
  <c r="H745" i="103"/>
  <c r="B66" i="74"/>
  <c r="B70" i="74"/>
  <c r="D740" i="103"/>
  <c r="D745" i="103"/>
  <c r="D741" i="103"/>
  <c r="F740" i="103"/>
  <c r="F741" i="103"/>
  <c r="F745" i="103"/>
  <c r="C740" i="103"/>
  <c r="C741" i="103"/>
  <c r="C745" i="103"/>
  <c r="I740" i="103"/>
  <c r="I745" i="103"/>
  <c r="I741" i="103"/>
  <c r="D54" i="74"/>
  <c r="D761" i="103" s="1"/>
  <c r="D778" i="103" s="1"/>
  <c r="S27" i="74"/>
  <c r="F46" i="82"/>
  <c r="F51" i="82"/>
  <c r="C46" i="82"/>
  <c r="C51" i="82"/>
  <c r="E754" i="103"/>
  <c r="D46" i="82"/>
  <c r="D51" i="82"/>
  <c r="S25" i="74"/>
  <c r="S26" i="74"/>
  <c r="S29" i="74"/>
  <c r="G51" i="82"/>
  <c r="G46" i="82"/>
  <c r="H46" i="82"/>
  <c r="H51" i="82"/>
  <c r="I51" i="82"/>
  <c r="I46" i="82"/>
  <c r="S24" i="74"/>
  <c r="B764" i="103"/>
  <c r="E46" i="82"/>
  <c r="E51" i="82"/>
  <c r="C761" i="103"/>
  <c r="C778" i="103" s="1"/>
  <c r="C71" i="74"/>
  <c r="D9" i="86"/>
  <c r="D17" i="86" s="1"/>
  <c r="D18" i="86" s="1"/>
  <c r="D20" i="86" s="1"/>
  <c r="D24" i="86" s="1"/>
  <c r="K7" i="86" s="1"/>
  <c r="S28" i="74"/>
  <c r="S23" i="74"/>
  <c r="E760" i="103"/>
  <c r="I30" i="86"/>
  <c r="F72" i="74"/>
  <c r="F779" i="103" s="1"/>
  <c r="C57" i="74"/>
  <c r="D52" i="74"/>
  <c r="D759" i="103" s="1"/>
  <c r="F56" i="74"/>
  <c r="F48" i="74"/>
  <c r="F755" i="103" s="1"/>
  <c r="F47" i="74"/>
  <c r="G46" i="74"/>
  <c r="F53" i="74"/>
  <c r="F55" i="74"/>
  <c r="F762" i="103" s="1"/>
  <c r="E49" i="74"/>
  <c r="E756" i="103" s="1"/>
  <c r="E29" i="86"/>
  <c r="S30" i="74"/>
  <c r="F73" i="82"/>
  <c r="G770" i="103"/>
  <c r="K51" i="82"/>
  <c r="K46" i="82"/>
  <c r="I33" i="86"/>
  <c r="B64" i="82"/>
  <c r="B65" i="74"/>
  <c r="E783" i="103" l="1"/>
  <c r="F76" i="74"/>
  <c r="B772" i="103"/>
  <c r="B777" i="103"/>
  <c r="B773" i="103"/>
  <c r="C66" i="74"/>
  <c r="C70" i="74"/>
  <c r="D71" i="74"/>
  <c r="D764" i="103"/>
  <c r="B25" i="82"/>
  <c r="F72" i="82" s="1"/>
  <c r="C764" i="103"/>
  <c r="E54" i="74"/>
  <c r="F754" i="103"/>
  <c r="F760" i="103"/>
  <c r="C50" i="86"/>
  <c r="G72" i="74"/>
  <c r="G779" i="103" s="1"/>
  <c r="C64" i="82"/>
  <c r="C66" i="82" s="1"/>
  <c r="C65" i="74"/>
  <c r="E52" i="74"/>
  <c r="E759" i="103" s="1"/>
  <c r="E37" i="86"/>
  <c r="E38" i="86" s="1"/>
  <c r="E40" i="86" s="1"/>
  <c r="E44" i="86" s="1"/>
  <c r="K15" i="86" s="1"/>
  <c r="F49" i="74"/>
  <c r="F756" i="103" s="1"/>
  <c r="S31" i="74"/>
  <c r="F29" i="86"/>
  <c r="H770" i="103"/>
  <c r="G73" i="82"/>
  <c r="B66" i="82"/>
  <c r="B71" i="82"/>
  <c r="C53" i="86"/>
  <c r="D57" i="74"/>
  <c r="G56" i="74"/>
  <c r="G48" i="74"/>
  <c r="G755" i="103" s="1"/>
  <c r="H46" i="74"/>
  <c r="G47" i="74"/>
  <c r="G53" i="74"/>
  <c r="G55" i="74"/>
  <c r="G762" i="103" s="1"/>
  <c r="F783" i="103" l="1"/>
  <c r="G76" i="74"/>
  <c r="G783" i="103" s="1"/>
  <c r="D66" i="74"/>
  <c r="D70" i="74"/>
  <c r="D772" i="103"/>
  <c r="D773" i="103"/>
  <c r="D777" i="103"/>
  <c r="C772" i="103"/>
  <c r="C773" i="103"/>
  <c r="C777" i="103"/>
  <c r="K52" i="82"/>
  <c r="K54" i="82" s="1"/>
  <c r="H72" i="82"/>
  <c r="J52" i="82"/>
  <c r="J54" i="82" s="1"/>
  <c r="J55" i="82" s="1"/>
  <c r="J56" i="82" s="1"/>
  <c r="B52" i="82"/>
  <c r="B54" i="82" s="1"/>
  <c r="B55" i="82" s="1"/>
  <c r="B56" i="82" s="1"/>
  <c r="D72" i="82"/>
  <c r="B72" i="82"/>
  <c r="B74" i="82" s="1"/>
  <c r="B75" i="82" s="1"/>
  <c r="I52" i="82"/>
  <c r="I54" i="82" s="1"/>
  <c r="I55" i="82" s="1"/>
  <c r="I56" i="82" s="1"/>
  <c r="G52" i="82"/>
  <c r="G54" i="82" s="1"/>
  <c r="G55" i="82" s="1"/>
  <c r="G56" i="82" s="1"/>
  <c r="E72" i="82"/>
  <c r="C52" i="82"/>
  <c r="C54" i="82" s="1"/>
  <c r="C55" i="82" s="1"/>
  <c r="C56" i="82" s="1"/>
  <c r="F52" i="82"/>
  <c r="F54" i="82" s="1"/>
  <c r="F55" i="82" s="1"/>
  <c r="F56" i="82" s="1"/>
  <c r="J72" i="82"/>
  <c r="E52" i="82"/>
  <c r="E54" i="82" s="1"/>
  <c r="E55" i="82" s="1"/>
  <c r="E56" i="82" s="1"/>
  <c r="C72" i="82"/>
  <c r="G72" i="82"/>
  <c r="K72" i="82"/>
  <c r="D52" i="82"/>
  <c r="D54" i="82" s="1"/>
  <c r="D55" i="82" s="1"/>
  <c r="D56" i="82" s="1"/>
  <c r="B26" i="82"/>
  <c r="B9" i="82" s="1"/>
  <c r="B10" i="82" s="1"/>
  <c r="B11" i="82" s="1"/>
  <c r="H52" i="82"/>
  <c r="H54" i="82" s="1"/>
  <c r="H55" i="82" s="1"/>
  <c r="H56" i="82" s="1"/>
  <c r="I72" i="82"/>
  <c r="F54" i="74"/>
  <c r="F761" i="103" s="1"/>
  <c r="F778" i="103" s="1"/>
  <c r="E761" i="103"/>
  <c r="E778" i="103" s="1"/>
  <c r="E71" i="74"/>
  <c r="G754" i="103"/>
  <c r="G760" i="103"/>
  <c r="D50" i="86"/>
  <c r="H72" i="74"/>
  <c r="H779" i="103" s="1"/>
  <c r="G29" i="86"/>
  <c r="G37" i="86" s="1"/>
  <c r="G38" i="86" s="1"/>
  <c r="G40" i="86" s="1"/>
  <c r="G44" i="86" s="1"/>
  <c r="K17" i="86" s="1"/>
  <c r="C71" i="82"/>
  <c r="S32" i="74"/>
  <c r="E57" i="74"/>
  <c r="H73" i="82"/>
  <c r="I770" i="103"/>
  <c r="K55" i="82"/>
  <c r="K56" i="82" s="1"/>
  <c r="H56" i="74"/>
  <c r="H47" i="74"/>
  <c r="H48" i="74"/>
  <c r="H755" i="103" s="1"/>
  <c r="I46" i="74"/>
  <c r="H53" i="74"/>
  <c r="H55" i="74"/>
  <c r="H762" i="103" s="1"/>
  <c r="D53" i="86"/>
  <c r="F52" i="74"/>
  <c r="F759" i="103" s="1"/>
  <c r="F37" i="86"/>
  <c r="F38" i="86" s="1"/>
  <c r="F40" i="86" s="1"/>
  <c r="F44" i="86" s="1"/>
  <c r="K16" i="86" s="1"/>
  <c r="G49" i="74"/>
  <c r="G756" i="103" s="1"/>
  <c r="D65" i="74"/>
  <c r="D64" i="82"/>
  <c r="E70" i="74" l="1"/>
  <c r="E66" i="74"/>
  <c r="B28" i="82"/>
  <c r="B29" i="82" s="1"/>
  <c r="B5" i="82"/>
  <c r="B6" i="82" s="1"/>
  <c r="B7" i="82" s="1"/>
  <c r="C74" i="82"/>
  <c r="C75" i="82" s="1"/>
  <c r="C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764" i="103"/>
  <c r="F71" i="74"/>
  <c r="G54" i="74"/>
  <c r="E764" i="103"/>
  <c r="H754" i="103"/>
  <c r="H760" i="103"/>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G52" i="74"/>
  <c r="G759" i="103" s="1"/>
  <c r="H49" i="74"/>
  <c r="H756" i="103" s="1"/>
  <c r="J770" i="103"/>
  <c r="I73" i="82"/>
  <c r="F57" i="74"/>
  <c r="G21" i="82" l="1"/>
  <c r="F70" i="74"/>
  <c r="F66" i="74"/>
  <c r="F772" i="103"/>
  <c r="F773" i="103"/>
  <c r="F777" i="103"/>
  <c r="E772" i="103"/>
  <c r="E777" i="103"/>
  <c r="E773" i="103"/>
  <c r="G761" i="103"/>
  <c r="G778" i="103" s="1"/>
  <c r="G71" i="74"/>
  <c r="I754" i="103"/>
  <c r="H54" i="74"/>
  <c r="I760" i="103"/>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F53" i="86"/>
  <c r="G66" i="74" l="1"/>
  <c r="G70" i="74"/>
  <c r="I54" i="74"/>
  <c r="J754" i="103"/>
  <c r="H761" i="103"/>
  <c r="H778" i="103" s="1"/>
  <c r="H71" i="74"/>
  <c r="G764" i="103"/>
  <c r="J760" i="103"/>
  <c r="F57" i="86"/>
  <c r="F58" i="86" s="1"/>
  <c r="F60" i="86" s="1"/>
  <c r="F64" i="86" s="1"/>
  <c r="K23" i="86" s="1"/>
  <c r="G50" i="86"/>
  <c r="K779" i="103"/>
  <c r="I52" i="74"/>
  <c r="I759" i="103" s="1"/>
  <c r="F66" i="82"/>
  <c r="F71" i="82"/>
  <c r="F74" i="82" s="1"/>
  <c r="G53" i="86"/>
  <c r="G64" i="82"/>
  <c r="G65" i="74"/>
  <c r="J49" i="74"/>
  <c r="J756" i="103" s="1"/>
  <c r="C49" i="86"/>
  <c r="S35" i="74"/>
  <c r="K73" i="82"/>
  <c r="B802" i="103"/>
  <c r="B78" i="74"/>
  <c r="K56" i="74"/>
  <c r="K47" i="74"/>
  <c r="K48" i="74"/>
  <c r="K755" i="103" s="1"/>
  <c r="K53" i="74"/>
  <c r="K55" i="74"/>
  <c r="K762" i="103" s="1"/>
  <c r="H57" i="74"/>
  <c r="H70" i="74" l="1"/>
  <c r="H66" i="74"/>
  <c r="G772" i="103"/>
  <c r="G773" i="103"/>
  <c r="G777" i="103"/>
  <c r="H764" i="103"/>
  <c r="K754" i="103"/>
  <c r="J54" i="74"/>
  <c r="I761" i="103"/>
  <c r="I778" i="103" s="1"/>
  <c r="I71" i="74"/>
  <c r="K760" i="103"/>
  <c r="G57" i="86"/>
  <c r="G58" i="86" s="1"/>
  <c r="G60" i="86" s="1"/>
  <c r="G64" i="86" s="1"/>
  <c r="K24" i="86" s="1"/>
  <c r="B810" i="103"/>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802" i="103"/>
  <c r="I66" i="74" l="1"/>
  <c r="I70" i="74"/>
  <c r="H772" i="103"/>
  <c r="H773" i="103"/>
  <c r="H777" i="103"/>
  <c r="I764" i="103"/>
  <c r="B786" i="103"/>
  <c r="K54" i="74"/>
  <c r="J761" i="103"/>
  <c r="J778" i="103" s="1"/>
  <c r="J71" i="74"/>
  <c r="B792" i="103"/>
  <c r="H57" i="86"/>
  <c r="H58" i="86" s="1"/>
  <c r="H60" i="86" s="1"/>
  <c r="H64" i="86" s="1"/>
  <c r="K25" i="86" s="1"/>
  <c r="C86" i="90"/>
  <c r="F61" i="89"/>
  <c r="C810" i="103"/>
  <c r="I65" i="74"/>
  <c r="L47" i="68"/>
  <c r="L90" i="103" s="1"/>
  <c r="J57" i="74"/>
  <c r="I64" i="82"/>
  <c r="I66" i="82" s="1"/>
  <c r="K52" i="74"/>
  <c r="K759" i="103" s="1"/>
  <c r="B81" i="74"/>
  <c r="B788" i="103" s="1"/>
  <c r="S37" i="74"/>
  <c r="D802" i="103"/>
  <c r="H66" i="82"/>
  <c r="H71" i="82"/>
  <c r="H74" i="82" s="1"/>
  <c r="C79" i="74"/>
  <c r="D78" i="74"/>
  <c r="C88" i="74"/>
  <c r="C80" i="74"/>
  <c r="C787" i="103" s="1"/>
  <c r="C85" i="74"/>
  <c r="C87" i="74"/>
  <c r="C794" i="103" s="1"/>
  <c r="G75" i="82"/>
  <c r="G76" i="82" s="1"/>
  <c r="J66" i="74" l="1"/>
  <c r="J70" i="74"/>
  <c r="I772" i="103"/>
  <c r="I773" i="103"/>
  <c r="I777" i="103"/>
  <c r="B86" i="74"/>
  <c r="K761" i="103"/>
  <c r="K778" i="103" s="1"/>
  <c r="K71" i="74"/>
  <c r="C786" i="103"/>
  <c r="J764" i="103"/>
  <c r="C792" i="103"/>
  <c r="D810" i="103"/>
  <c r="I71" i="82"/>
  <c r="I74" i="82" s="1"/>
  <c r="I75" i="82" s="1"/>
  <c r="I76" i="82" s="1"/>
  <c r="J65" i="74"/>
  <c r="F85" i="92"/>
  <c r="F89" i="92" s="1"/>
  <c r="F105" i="92" s="1"/>
  <c r="S38" i="74"/>
  <c r="J64" i="82"/>
  <c r="J66" i="82" s="1"/>
  <c r="E78" i="74"/>
  <c r="D79" i="74"/>
  <c r="D80" i="74"/>
  <c r="D787" i="103" s="1"/>
  <c r="D88" i="74"/>
  <c r="D85" i="74"/>
  <c r="D87" i="74"/>
  <c r="D794" i="103" s="1"/>
  <c r="C81" i="74"/>
  <c r="C788" i="103" s="1"/>
  <c r="E802" i="103"/>
  <c r="B84" i="74"/>
  <c r="B791" i="103" s="1"/>
  <c r="H75" i="82"/>
  <c r="H76" i="82" s="1"/>
  <c r="K57" i="74"/>
  <c r="K66" i="74" l="1"/>
  <c r="K70" i="74"/>
  <c r="J772" i="103"/>
  <c r="J773" i="103"/>
  <c r="J777" i="103"/>
  <c r="C86" i="74"/>
  <c r="B793" i="103"/>
  <c r="B809" i="103" s="1"/>
  <c r="B102" i="74"/>
  <c r="D786" i="103"/>
  <c r="K764" i="103"/>
  <c r="D792" i="103"/>
  <c r="E810" i="103"/>
  <c r="S39" i="74"/>
  <c r="J71" i="82"/>
  <c r="J74" i="82" s="1"/>
  <c r="J75" i="82" s="1"/>
  <c r="J76" i="82" s="1"/>
  <c r="C84" i="74"/>
  <c r="C791" i="103" s="1"/>
  <c r="F802" i="103"/>
  <c r="K65" i="74"/>
  <c r="K64" i="82"/>
  <c r="D81" i="74"/>
  <c r="D788" i="103" s="1"/>
  <c r="F78" i="74"/>
  <c r="E88" i="74"/>
  <c r="E79" i="74"/>
  <c r="E80" i="74"/>
  <c r="E787" i="103" s="1"/>
  <c r="E85" i="74"/>
  <c r="E87" i="74"/>
  <c r="E794" i="103" s="1"/>
  <c r="B89" i="74"/>
  <c r="B97" i="74" l="1"/>
  <c r="B101" i="74"/>
  <c r="K772" i="103"/>
  <c r="K777" i="103"/>
  <c r="K773" i="103"/>
  <c r="B796" i="103"/>
  <c r="E786" i="103"/>
  <c r="D86" i="74"/>
  <c r="C793" i="103"/>
  <c r="C809" i="103" s="1"/>
  <c r="C102" i="74"/>
  <c r="E792" i="103"/>
  <c r="F810" i="103"/>
  <c r="B96" i="74"/>
  <c r="C89" i="74"/>
  <c r="D84" i="74"/>
  <c r="D791" i="103" s="1"/>
  <c r="E81" i="74"/>
  <c r="E788" i="103" s="1"/>
  <c r="K71" i="82"/>
  <c r="K74" i="82" s="1"/>
  <c r="K66" i="82"/>
  <c r="F88" i="74"/>
  <c r="G78" i="74"/>
  <c r="F80" i="74"/>
  <c r="F787" i="103" s="1"/>
  <c r="F79" i="74"/>
  <c r="F85" i="74"/>
  <c r="F87" i="74"/>
  <c r="F794" i="103" s="1"/>
  <c r="S40" i="74"/>
  <c r="G802" i="103"/>
  <c r="C97" i="74" l="1"/>
  <c r="C101" i="74"/>
  <c r="B803" i="103"/>
  <c r="B804" i="103"/>
  <c r="B808" i="103"/>
  <c r="E86" i="74"/>
  <c r="E793" i="103" s="1"/>
  <c r="E809" i="103" s="1"/>
  <c r="F786" i="103"/>
  <c r="D793" i="103"/>
  <c r="D809" i="103" s="1"/>
  <c r="D102" i="74"/>
  <c r="C796" i="103"/>
  <c r="F792" i="103"/>
  <c r="G810" i="103"/>
  <c r="C96" i="74"/>
  <c r="E84" i="74"/>
  <c r="E791" i="103" s="1"/>
  <c r="G79" i="74"/>
  <c r="G88" i="74"/>
  <c r="G80" i="74"/>
  <c r="G787" i="103" s="1"/>
  <c r="H78" i="74"/>
  <c r="G85" i="74"/>
  <c r="G87" i="74"/>
  <c r="G794" i="103" s="1"/>
  <c r="K75" i="82"/>
  <c r="K76" i="82" s="1"/>
  <c r="H802" i="103"/>
  <c r="F81" i="74"/>
  <c r="F788" i="103" s="1"/>
  <c r="D89" i="74"/>
  <c r="D97" i="74" l="1"/>
  <c r="D101" i="74"/>
  <c r="C803" i="103"/>
  <c r="C808" i="103"/>
  <c r="C804" i="103"/>
  <c r="D796" i="103"/>
  <c r="E796" i="103"/>
  <c r="E102" i="74"/>
  <c r="F86" i="74"/>
  <c r="G786" i="103"/>
  <c r="G792" i="103"/>
  <c r="H810" i="103"/>
  <c r="D96" i="74"/>
  <c r="E89" i="74"/>
  <c r="F84" i="74"/>
  <c r="F791" i="103" s="1"/>
  <c r="H88" i="74"/>
  <c r="H80" i="74"/>
  <c r="H787" i="103" s="1"/>
  <c r="H79" i="74"/>
  <c r="I78" i="74"/>
  <c r="H85" i="74"/>
  <c r="H87" i="74"/>
  <c r="H794" i="103" s="1"/>
  <c r="G81" i="74"/>
  <c r="G788" i="103" s="1"/>
  <c r="I802" i="103"/>
  <c r="E803" i="103" l="1"/>
  <c r="E808" i="103"/>
  <c r="E804" i="103"/>
  <c r="E101" i="74"/>
  <c r="E97" i="74"/>
  <c r="D803" i="103"/>
  <c r="D804" i="103"/>
  <c r="D808" i="103"/>
  <c r="G86" i="74"/>
  <c r="G793" i="103" s="1"/>
  <c r="G809" i="103" s="1"/>
  <c r="F793" i="103"/>
  <c r="F809" i="103" s="1"/>
  <c r="F102" i="74"/>
  <c r="H786" i="103"/>
  <c r="H792" i="103"/>
  <c r="I810" i="103"/>
  <c r="E96" i="74"/>
  <c r="F89" i="74"/>
  <c r="G84" i="74"/>
  <c r="G791" i="103" s="1"/>
  <c r="I88" i="74"/>
  <c r="I79" i="74"/>
  <c r="J78" i="74"/>
  <c r="I80" i="74"/>
  <c r="I787" i="103" s="1"/>
  <c r="I85" i="74"/>
  <c r="I87" i="74"/>
  <c r="I794" i="103" s="1"/>
  <c r="H81" i="74"/>
  <c r="H788" i="103" s="1"/>
  <c r="J802" i="103"/>
  <c r="F97" i="74" l="1"/>
  <c r="F101" i="74"/>
  <c r="G102" i="74"/>
  <c r="F796" i="103"/>
  <c r="G796" i="103"/>
  <c r="H86" i="74"/>
  <c r="I786" i="103"/>
  <c r="I792" i="103"/>
  <c r="J810" i="103"/>
  <c r="F96" i="74"/>
  <c r="J80" i="74"/>
  <c r="J787" i="103" s="1"/>
  <c r="K78" i="74"/>
  <c r="J79" i="74"/>
  <c r="J88" i="74"/>
  <c r="J85" i="74"/>
  <c r="J87" i="74"/>
  <c r="J794" i="103" s="1"/>
  <c r="I81" i="74"/>
  <c r="I788" i="103" s="1"/>
  <c r="K802" i="103"/>
  <c r="G89" i="74"/>
  <c r="H84" i="74"/>
  <c r="H791" i="103" s="1"/>
  <c r="F803" i="103" l="1"/>
  <c r="F804" i="103"/>
  <c r="F808" i="103"/>
  <c r="G97" i="74"/>
  <c r="G101" i="74"/>
  <c r="G803" i="103"/>
  <c r="G808" i="103"/>
  <c r="G804" i="103"/>
  <c r="I86" i="74"/>
  <c r="I793" i="103" s="1"/>
  <c r="I809" i="103" s="1"/>
  <c r="J786" i="103"/>
  <c r="H793" i="103"/>
  <c r="H809" i="103" s="1"/>
  <c r="H102" i="74"/>
  <c r="J792" i="103"/>
  <c r="K810" i="103"/>
  <c r="G96" i="74"/>
  <c r="H89" i="74"/>
  <c r="J81" i="74"/>
  <c r="J788" i="103" s="1"/>
  <c r="B125" i="74"/>
  <c r="B832" i="103" s="1"/>
  <c r="K80" i="74"/>
  <c r="K787" i="103" s="1"/>
  <c r="B108" i="74"/>
  <c r="K88" i="74"/>
  <c r="K79" i="74"/>
  <c r="K85" i="74"/>
  <c r="K87" i="74"/>
  <c r="K794" i="103" s="1"/>
  <c r="I84" i="74"/>
  <c r="I791" i="103" s="1"/>
  <c r="H101" i="74" l="1"/>
  <c r="H97" i="74"/>
  <c r="I102" i="74"/>
  <c r="I796" i="103"/>
  <c r="H796" i="103"/>
  <c r="J86" i="74"/>
  <c r="J793" i="103" s="1"/>
  <c r="J809" i="103" s="1"/>
  <c r="K786" i="103"/>
  <c r="K792" i="103"/>
  <c r="B133" i="74"/>
  <c r="B840" i="103" s="1"/>
  <c r="H96" i="74"/>
  <c r="J84" i="74"/>
  <c r="J791" i="103" s="1"/>
  <c r="K81" i="74"/>
  <c r="K788" i="103" s="1"/>
  <c r="C125" i="74"/>
  <c r="C832" i="103" s="1"/>
  <c r="I89" i="74"/>
  <c r="B109" i="74"/>
  <c r="C108" i="74"/>
  <c r="B110" i="74"/>
  <c r="B817" i="103" s="1"/>
  <c r="B118" i="74"/>
  <c r="B115" i="74"/>
  <c r="B117" i="74"/>
  <c r="B824" i="103" s="1"/>
  <c r="I803" i="103" l="1"/>
  <c r="I808" i="103"/>
  <c r="I804" i="103"/>
  <c r="I101" i="74"/>
  <c r="I97" i="74"/>
  <c r="H803" i="103"/>
  <c r="H808" i="103"/>
  <c r="H804" i="103"/>
  <c r="K86" i="74"/>
  <c r="K793" i="103" s="1"/>
  <c r="K809" i="103" s="1"/>
  <c r="J796" i="103"/>
  <c r="J102" i="74"/>
  <c r="B816" i="103"/>
  <c r="B822" i="103"/>
  <c r="C133" i="74"/>
  <c r="C840" i="103" s="1"/>
  <c r="I96" i="74"/>
  <c r="J89" i="74"/>
  <c r="K84" i="74"/>
  <c r="K791" i="103" s="1"/>
  <c r="D108" i="74"/>
  <c r="C109" i="74"/>
  <c r="C118" i="74"/>
  <c r="C110" i="74"/>
  <c r="C817" i="103" s="1"/>
  <c r="C115" i="74"/>
  <c r="C117" i="74"/>
  <c r="C824" i="103" s="1"/>
  <c r="D125" i="74"/>
  <c r="D832" i="103" s="1"/>
  <c r="B111" i="74"/>
  <c r="B818" i="103" s="1"/>
  <c r="J101" i="74" l="1"/>
  <c r="J97" i="74"/>
  <c r="J803" i="103"/>
  <c r="J804" i="103"/>
  <c r="J808" i="103"/>
  <c r="K796" i="103"/>
  <c r="K102" i="74"/>
  <c r="C816" i="103"/>
  <c r="B116" i="74"/>
  <c r="C822" i="103"/>
  <c r="D133" i="74"/>
  <c r="D840" i="103" s="1"/>
  <c r="K89" i="74"/>
  <c r="J96" i="74"/>
  <c r="B114" i="74"/>
  <c r="B821" i="103" s="1"/>
  <c r="C111" i="74"/>
  <c r="C818" i="103" s="1"/>
  <c r="E125" i="74"/>
  <c r="E832" i="103" s="1"/>
  <c r="D118" i="74"/>
  <c r="D109" i="74"/>
  <c r="E108" i="74"/>
  <c r="D110" i="74"/>
  <c r="D817" i="103" s="1"/>
  <c r="D115" i="74"/>
  <c r="D117" i="74"/>
  <c r="D824" i="103" s="1"/>
  <c r="K97" i="74" l="1"/>
  <c r="K101" i="74"/>
  <c r="K803" i="103"/>
  <c r="K808" i="103"/>
  <c r="K804" i="103"/>
  <c r="B823" i="103"/>
  <c r="B839" i="103" s="1"/>
  <c r="B132" i="74"/>
  <c r="D816" i="103"/>
  <c r="C116" i="74"/>
  <c r="B826" i="103"/>
  <c r="D822" i="103"/>
  <c r="E133" i="74"/>
  <c r="E840" i="103" s="1"/>
  <c r="K96" i="74"/>
  <c r="B119" i="74"/>
  <c r="C114" i="74"/>
  <c r="C821" i="103" s="1"/>
  <c r="F125" i="74"/>
  <c r="F832" i="103" s="1"/>
  <c r="F108" i="74"/>
  <c r="E109" i="74"/>
  <c r="E118" i="74"/>
  <c r="E110" i="74"/>
  <c r="E817" i="103" s="1"/>
  <c r="E115" i="74"/>
  <c r="E117" i="74"/>
  <c r="E824" i="103" s="1"/>
  <c r="D111" i="74"/>
  <c r="D818" i="103" s="1"/>
  <c r="B127" i="74" l="1"/>
  <c r="B131" i="74"/>
  <c r="B833" i="103"/>
  <c r="B834" i="103"/>
  <c r="B838" i="103"/>
  <c r="E816" i="103"/>
  <c r="D116" i="74"/>
  <c r="C823" i="103"/>
  <c r="C839" i="103" s="1"/>
  <c r="C132" i="74"/>
  <c r="E822" i="103"/>
  <c r="F133" i="74"/>
  <c r="F840" i="103" s="1"/>
  <c r="B126" i="74"/>
  <c r="C119" i="74"/>
  <c r="E111" i="74"/>
  <c r="E818" i="103" s="1"/>
  <c r="F118" i="74"/>
  <c r="F110" i="74"/>
  <c r="F817" i="103" s="1"/>
  <c r="F109" i="74"/>
  <c r="F115" i="74"/>
  <c r="F117" i="74"/>
  <c r="F824" i="103" s="1"/>
  <c r="D114" i="74"/>
  <c r="D821" i="103" s="1"/>
  <c r="C127" i="74" l="1"/>
  <c r="C131" i="74"/>
  <c r="E116" i="74"/>
  <c r="E823" i="103" s="1"/>
  <c r="E839" i="103" s="1"/>
  <c r="F816" i="103"/>
  <c r="D823" i="103"/>
  <c r="D839" i="103" s="1"/>
  <c r="D132" i="74"/>
  <c r="C826" i="103"/>
  <c r="F822" i="103"/>
  <c r="C126" i="74"/>
  <c r="E114" i="74"/>
  <c r="E821" i="103" s="1"/>
  <c r="F111" i="74"/>
  <c r="F818" i="103" s="1"/>
  <c r="D119" i="74"/>
  <c r="D127" i="74" l="1"/>
  <c r="D131" i="74"/>
  <c r="C833" i="103"/>
  <c r="C834" i="103"/>
  <c r="C838" i="103"/>
  <c r="E826" i="103"/>
  <c r="E132" i="74"/>
  <c r="F116" i="74"/>
  <c r="D826" i="103"/>
  <c r="D126" i="74"/>
  <c r="E119" i="74"/>
  <c r="F114" i="74"/>
  <c r="F821" i="103" s="1"/>
  <c r="E833" i="103" l="1"/>
  <c r="E834" i="103"/>
  <c r="E838" i="103"/>
  <c r="D833" i="103"/>
  <c r="D838" i="103"/>
  <c r="D834" i="103"/>
  <c r="E127" i="74"/>
  <c r="E131" i="74"/>
  <c r="F823" i="103"/>
  <c r="F839" i="103" s="1"/>
  <c r="F132" i="74"/>
  <c r="E126" i="74"/>
  <c r="F119" i="74"/>
  <c r="F127" i="74" l="1"/>
  <c r="F131" i="74"/>
  <c r="F826" i="103"/>
  <c r="F126" i="74"/>
  <c r="F833" i="103" l="1"/>
  <c r="F834" i="103"/>
  <c r="F838"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<sst xmlns="http://schemas.openxmlformats.org/spreadsheetml/2006/main" count="19345" uniqueCount="7128">
  <si>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</si>
  <si>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</si>
  <si>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</si>
  <si>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</si>
  <si>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</si>
  <si>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</si>
  <si>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</si>
  <si>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</si>
  <si>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</si>
  <si>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</si>
  <si>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</si>
  <si>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</si>
  <si>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</si>
  <si>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</si>
  <si>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</si>
  <si>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</si>
  <si>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</si>
  <si>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</si>
  <si>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</si>
  <si>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</si>
  <si>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</si>
  <si>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</si>
  <si>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</si>
  <si>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</si>
  <si>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</si>
  <si>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</si>
  <si>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</si>
  <si>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</si>
  <si>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</si>
  <si>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</si>
  <si>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</si>
  <si>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</si>
  <si>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</si>
  <si>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</si>
  <si>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</si>
  <si>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</si>
  <si>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</si>
  <si>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</si>
  <si>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</si>
  <si>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</si>
  <si>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</si>
  <si>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</si>
  <si>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</si>
  <si>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</si>
  <si>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</si>
  <si>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</si>
  <si>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</si>
  <si>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</si>
  <si>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</si>
  <si>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</si>
  <si>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</si>
  <si>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</si>
  <si>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</si>
  <si>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</si>
  <si>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</si>
  <si>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</si>
  <si>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</si>
  <si>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</si>
  <si>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</si>
  <si>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</si>
  <si>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</si>
  <si>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</si>
  <si>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</si>
  <si>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</si>
  <si>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</si>
  <si>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</si>
  <si>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</si>
  <si>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</si>
  <si>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</si>
  <si>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</si>
  <si>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</si>
  <si>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</si>
  <si>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</si>
  <si>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</si>
  <si>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</si>
  <si>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</si>
  <si>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</si>
  <si>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</si>
  <si>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</si>
  <si>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</si>
  <si>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</si>
  <si>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</si>
  <si>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</si>
  <si>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</si>
  <si>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</si>
  <si>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</si>
  <si>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</si>
  <si>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</si>
  <si>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</si>
  <si>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</si>
  <si>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</si>
  <si>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</si>
  <si>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</si>
  <si>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</si>
  <si>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</si>
  <si>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</si>
  <si>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</si>
  <si>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</si>
  <si>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</si>
  <si>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</si>
  <si>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</si>
  <si>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</si>
  <si>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</si>
  <si>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</si>
  <si>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</si>
  <si>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</si>
  <si>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</si>
  <si>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</si>
  <si>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</si>
  <si>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</si>
  <si>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</si>
  <si>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</si>
  <si>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</si>
  <si>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</si>
  <si>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</si>
  <si>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</si>
  <si>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</si>
  <si>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</si>
  <si>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</si>
  <si>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</si>
  <si>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</si>
  <si>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</si>
  <si>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</si>
  <si>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</si>
  <si>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</si>
  <si>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</si>
  <si>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</si>
  <si>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</si>
  <si>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</si>
  <si>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</si>
  <si>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</si>
  <si>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</si>
  <si>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</si>
  <si>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</si>
  <si>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</si>
  <si>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</si>
  <si>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</si>
  <si>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</si>
  <si>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</si>
  <si>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</si>
  <si>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</si>
  <si>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</si>
  <si>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</si>
  <si>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</si>
  <si>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</si>
  <si>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</si>
  <si>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</si>
  <si>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</si>
  <si>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</si>
  <si>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</si>
  <si>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</si>
  <si>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</si>
  <si>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</si>
  <si>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</si>
  <si>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</si>
  <si>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</si>
  <si>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</si>
  <si>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</si>
  <si>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</si>
  <si>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</si>
  <si>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</si>
  <si>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</si>
  <si>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</si>
  <si>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</si>
  <si>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</si>
  <si>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</si>
  <si>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</si>
  <si>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</si>
  <si>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</si>
  <si>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</si>
  <si>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</si>
  <si>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</si>
  <si>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</si>
  <si>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</si>
  <si>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</si>
  <si>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</si>
  <si>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</si>
  <si>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</si>
  <si>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</si>
  <si>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</si>
  <si>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</si>
  <si>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</si>
  <si>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</si>
  <si>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</si>
  <si>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</si>
  <si>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</si>
  <si>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</si>
  <si>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</si>
  <si>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</si>
  <si>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</si>
  <si>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</si>
  <si>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</si>
  <si>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</si>
  <si>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</si>
  <si>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</si>
  <si>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</si>
  <si>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</si>
  <si>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</si>
  <si>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</si>
  <si>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</si>
  <si>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</si>
  <si>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</si>
  <si>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</si>
  <si>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</si>
  <si>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</si>
  <si>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</si>
  <si>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</si>
  <si>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</si>
  <si>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</si>
  <si>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</si>
  <si>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</si>
  <si>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</si>
  <si>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</si>
  <si>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</si>
  <si>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</si>
  <si>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</si>
  <si>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</si>
  <si>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</si>
  <si>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</si>
  <si>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</si>
  <si>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</si>
  <si>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</si>
  <si>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</si>
  <si>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</si>
  <si>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</si>
  <si>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</si>
  <si>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</si>
  <si>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</si>
  <si>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</si>
  <si>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</si>
  <si>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</si>
  <si>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</si>
  <si>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</si>
  <si>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</si>
  <si>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</si>
  <si>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</si>
  <si>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</si>
  <si>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</si>
  <si>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</si>
  <si>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</si>
  <si>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</si>
  <si>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</si>
  <si>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</si>
  <si>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</si>
  <si>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</si>
  <si>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</si>
  <si>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</si>
  <si>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</si>
  <si>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</si>
  <si>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</si>
  <si>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</si>
  <si>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</si>
  <si>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</si>
  <si>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</si>
  <si>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</si>
  <si>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</si>
  <si>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</si>
  <si>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</si>
  <si>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</si>
  <si>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</si>
  <si>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</si>
  <si>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</si>
  <si>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</si>
  <si>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</si>
  <si>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</si>
  <si>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</si>
  <si>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</si>
  <si>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</si>
  <si>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</si>
  <si>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</si>
  <si>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</si>
  <si>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</si>
  <si>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</si>
  <si>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</si>
  <si>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</si>
  <si>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</si>
  <si>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</si>
  <si>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</si>
  <si>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</si>
  <si>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</si>
  <si>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</si>
  <si>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</si>
  <si>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</si>
  <si>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</si>
  <si>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</si>
  <si>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</si>
  <si>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</si>
  <si>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</si>
  <si>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</si>
  <si>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</si>
  <si>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</si>
  <si>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</si>
  <si>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</si>
  <si>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</si>
  <si>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</si>
  <si>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</si>
  <si>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</si>
  <si>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</si>
  <si>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</si>
  <si>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</si>
  <si>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</si>
  <si>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</si>
  <si>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</si>
  <si>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</si>
  <si>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</si>
  <si>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</si>
  <si>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</si>
  <si>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</si>
  <si>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</si>
  <si>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</si>
  <si>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</si>
  <si>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</si>
  <si>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</si>
  <si>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</si>
  <si>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</si>
  <si>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</si>
  <si>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</si>
  <si>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</si>
  <si>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</si>
  <si>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</si>
  <si>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</si>
  <si>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</si>
  <si>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</si>
  <si>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</si>
  <si>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</si>
  <si>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</si>
  <si>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</si>
  <si>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</si>
  <si>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</si>
  <si>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</si>
  <si>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</si>
  <si>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</si>
  <si>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</si>
  <si>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</si>
  <si>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</si>
  <si>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</si>
  <si>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</si>
  <si>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</si>
  <si>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</si>
  <si>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</si>
  <si>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</si>
  <si>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</si>
  <si>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</si>
  <si>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</si>
  <si>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</si>
  <si>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</si>
  <si>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</si>
  <si>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</si>
  <si>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</si>
  <si>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</si>
  <si>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</si>
  <si>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</si>
  <si>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</si>
  <si>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</si>
  <si>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</si>
  <si>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</si>
  <si>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</si>
  <si>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</si>
  <si>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</si>
  <si>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</si>
  <si>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</si>
  <si>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</si>
  <si>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</si>
  <si>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</si>
  <si>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</si>
  <si>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</si>
  <si>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</si>
  <si>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</si>
  <si>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</si>
  <si>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</si>
  <si>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</si>
  <si>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</si>
  <si>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</si>
  <si>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</si>
  <si>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</si>
  <si>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</si>
  <si>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</si>
  <si>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</si>
  <si>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</si>
  <si>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</si>
  <si>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</si>
  <si>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</si>
  <si>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</si>
  <si>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</si>
  <si>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</si>
  <si>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</si>
  <si>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</si>
  <si>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</si>
  <si>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</si>
  <si>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</si>
  <si>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</si>
  <si>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</si>
  <si>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</si>
  <si>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</si>
  <si>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</si>
  <si>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</si>
  <si>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</si>
  <si>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</si>
  <si>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</si>
  <si>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</si>
  <si>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</si>
  <si>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</si>
  <si>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</si>
  <si>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</si>
  <si>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</si>
  <si>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</si>
  <si>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</si>
  <si>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</si>
  <si>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</si>
  <si>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</si>
  <si>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</si>
  <si>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</si>
  <si>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</si>
  <si>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</si>
  <si>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</si>
  <si>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</si>
  <si>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</si>
  <si>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</si>
  <si>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</si>
  <si>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</si>
  <si>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</si>
  <si>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</si>
  <si>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</si>
  <si>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</si>
  <si>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</si>
  <si>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</si>
  <si>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</si>
  <si>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</si>
  <si>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</si>
  <si>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</si>
  <si>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</si>
  <si>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</si>
  <si>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</si>
  <si>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</si>
  <si>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</si>
  <si>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</si>
  <si>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</si>
  <si>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</si>
  <si>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</si>
  <si>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</si>
  <si>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</si>
  <si>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</si>
  <si>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</si>
  <si>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</si>
  <si>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</si>
  <si>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</si>
  <si>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</si>
  <si>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</si>
  <si>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</si>
  <si>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</si>
  <si>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</si>
  <si>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</si>
  <si>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</si>
  <si>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</si>
  <si>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</si>
  <si>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</si>
  <si>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</si>
  <si>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</si>
  <si>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</si>
  <si>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</si>
  <si>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</si>
  <si>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</si>
  <si>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</si>
  <si>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</si>
  <si>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</si>
  <si>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</si>
  <si>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</si>
  <si>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</si>
  <si>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</si>
  <si>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</si>
  <si>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</si>
  <si>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</si>
  <si>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</si>
  <si>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</si>
  <si>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</si>
  <si>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</si>
  <si>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</si>
  <si>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</si>
  <si>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</si>
  <si>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</si>
  <si>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</si>
  <si>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</si>
  <si>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</si>
  <si>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</si>
  <si>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</si>
  <si>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</si>
  <si>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</si>
  <si>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</si>
  <si>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</si>
  <si>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</si>
  <si>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</si>
  <si>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</si>
  <si>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</si>
  <si>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</si>
  <si>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</si>
  <si>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</si>
  <si>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</si>
  <si>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</si>
  <si>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</si>
  <si>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</si>
  <si>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</si>
  <si>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</si>
  <si>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</si>
  <si>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</si>
  <si>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</si>
  <si>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</si>
  <si>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</si>
  <si>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</si>
  <si>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</si>
  <si>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</si>
  <si>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</si>
  <si>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</si>
  <si>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</si>
  <si>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</si>
  <si>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</si>
  <si>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</si>
  <si>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</si>
  <si>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</si>
  <si>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</si>
  <si>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</si>
  <si>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</si>
  <si>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</si>
  <si>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</si>
  <si>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</si>
  <si>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</si>
  <si>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</si>
  <si>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</si>
  <si>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</si>
  <si>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</si>
  <si>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</si>
  <si>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</si>
  <si>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</si>
  <si>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</si>
  <si>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</si>
  <si>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</si>
  <si>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</si>
  <si>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</si>
  <si>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</si>
  <si>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</si>
  <si>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</si>
  <si>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</si>
  <si>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</si>
  <si>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</si>
  <si>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</si>
  <si>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</si>
  <si>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</si>
  <si>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</si>
  <si>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</si>
  <si>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</si>
  <si>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</si>
  <si>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</si>
  <si>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</si>
  <si>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</si>
  <si>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</si>
  <si>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</si>
  <si>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</si>
  <si>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</si>
  <si>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</si>
  <si>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</si>
  <si>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</si>
  <si>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</si>
  <si>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</si>
  <si>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</si>
  <si>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</si>
  <si>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</si>
  <si>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</si>
  <si>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</si>
  <si>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</si>
  <si>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</si>
  <si>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</si>
  <si>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</si>
  <si>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</si>
  <si>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</si>
  <si>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</si>
  <si>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</si>
  <si>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</si>
  <si>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</si>
  <si>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</si>
  <si>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</si>
  <si>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</si>
  <si>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</si>
  <si>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</si>
  <si>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</si>
  <si>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</si>
  <si>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</si>
  <si>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</si>
  <si>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</si>
  <si>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</si>
  <si>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</si>
  <si>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</si>
  <si>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</si>
  <si>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</si>
  <si>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</si>
  <si>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</si>
  <si>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</si>
  <si>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</si>
  <si>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</si>
  <si>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</si>
  <si>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</si>
  <si>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</si>
  <si>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</si>
  <si>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</si>
  <si>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</si>
  <si>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</si>
  <si>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</si>
  <si>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</si>
  <si>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</si>
  <si>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</si>
  <si>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</si>
  <si>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</si>
  <si>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</si>
  <si>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</si>
  <si>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</si>
  <si>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</si>
  <si>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</si>
  <si>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</si>
  <si>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</si>
  <si>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</si>
  <si>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</si>
  <si>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</si>
  <si>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</si>
  <si>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</si>
  <si>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</si>
  <si>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</si>
  <si>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</si>
  <si>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</si>
  <si>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</si>
  <si>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</si>
  <si>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</si>
  <si>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</si>
  <si>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</si>
  <si>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</si>
  <si>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</si>
  <si>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</si>
  <si>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</si>
  <si>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</si>
  <si>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</si>
  <si>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</si>
  <si>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</si>
  <si>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</si>
  <si>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</si>
  <si>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</si>
  <si>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</si>
  <si>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</si>
  <si>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</si>
  <si>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</si>
  <si>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</si>
  <si>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</si>
  <si>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</si>
  <si>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</si>
  <si>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</si>
  <si>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</si>
  <si>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</si>
  <si>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</si>
  <si>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</si>
  <si>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</si>
  <si>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</si>
  <si>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</si>
  <si>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</si>
  <si>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</si>
  <si>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</si>
  <si>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</si>
  <si>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</si>
  <si>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</si>
  <si>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</si>
  <si>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</si>
  <si>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</si>
  <si>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</si>
  <si>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</si>
  <si>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</si>
  <si>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</si>
  <si>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</si>
  <si>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</si>
  <si>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</si>
  <si>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</si>
  <si>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</si>
  <si>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</si>
  <si>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</si>
  <si>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</si>
  <si>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</si>
  <si>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</si>
  <si>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</si>
  <si>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</si>
  <si>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</si>
  <si>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</si>
  <si>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</si>
  <si>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</si>
  <si>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</si>
  <si>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</si>
  <si>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</si>
  <si>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</si>
  <si>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</si>
  <si>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</si>
  <si>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</si>
  <si>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</si>
  <si>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</si>
  <si>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</si>
  <si>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</si>
  <si>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</si>
  <si>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</si>
  <si>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</si>
  <si>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</si>
  <si>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</si>
  <si>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</si>
  <si>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</si>
  <si>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</si>
  <si>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</si>
  <si>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</si>
  <si>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</si>
  <si>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</si>
  <si>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</si>
  <si>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</si>
  <si>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</si>
  <si>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</si>
  <si>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</si>
  <si>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</si>
  <si>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</si>
  <si>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</si>
  <si>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</si>
  <si>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</si>
  <si>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</si>
  <si>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</si>
  <si>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</si>
  <si>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</si>
  <si>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</si>
  <si>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</si>
  <si>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</si>
  <si>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</si>
  <si>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</si>
  <si>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</si>
  <si>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</si>
  <si>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</si>
  <si>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</si>
  <si>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</si>
  <si>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</si>
  <si>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</si>
  <si>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</si>
  <si>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</si>
  <si>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</si>
  <si>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</si>
  <si>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</si>
  <si>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</si>
  <si>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</si>
  <si>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</si>
  <si>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</si>
  <si>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</si>
  <si>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</si>
  <si>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</si>
  <si>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</si>
  <si>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</si>
  <si>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</si>
  <si>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</si>
  <si>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</si>
  <si>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</si>
  <si>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</si>
  <si>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</si>
  <si>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</si>
  <si>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</si>
  <si>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</si>
  <si>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</si>
  <si>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</si>
  <si>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</si>
  <si>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</si>
  <si>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</si>
  <si>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</si>
  <si>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</si>
  <si>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</si>
  <si>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</si>
  <si>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</si>
  <si>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</si>
  <si>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</si>
  <si>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</si>
  <si>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</si>
  <si>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</si>
  <si>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</si>
  <si>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</si>
  <si>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</si>
  <si>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</si>
  <si>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</si>
  <si>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</si>
  <si>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</si>
  <si>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</si>
  <si>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</si>
  <si>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</si>
  <si>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</si>
  <si>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</si>
  <si>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</si>
  <si>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</si>
  <si>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</si>
  <si>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</si>
  <si>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</si>
  <si>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</si>
  <si>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</si>
  <si>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</si>
  <si>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</si>
  <si>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</si>
  <si>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</si>
  <si>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</si>
  <si>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</si>
  <si>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</si>
  <si>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</si>
  <si>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</si>
  <si>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</si>
  <si>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</si>
  <si>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</si>
  <si>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</si>
  <si>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</si>
  <si>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</si>
  <si>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</si>
  <si>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</si>
  <si>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</si>
  <si>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</si>
  <si>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</si>
  <si>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</si>
  <si>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</si>
  <si>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</si>
  <si>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</si>
  <si>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</si>
  <si>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</si>
  <si>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</si>
  <si>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</si>
  <si>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</si>
  <si>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</si>
  <si>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</si>
  <si>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</si>
  <si>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</si>
  <si>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</si>
  <si>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</si>
  <si>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</si>
  <si>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</si>
  <si>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</si>
  <si>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</si>
  <si>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</si>
  <si>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</si>
  <si>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</si>
  <si>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</si>
  <si>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</si>
  <si>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</si>
  <si>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</si>
  <si>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</si>
  <si>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</si>
  <si>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</si>
  <si>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</si>
  <si>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</si>
  <si>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</si>
  <si>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</si>
  <si>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</si>
  <si>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</si>
  <si>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</si>
  <si>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</si>
  <si>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</si>
  <si>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</si>
  <si>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</si>
  <si>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</si>
  <si>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</si>
  <si>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</si>
  <si>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</si>
  <si>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</si>
  <si>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</si>
  <si>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</si>
  <si>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</si>
  <si>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</si>
  <si>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</si>
  <si>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</si>
  <si>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</si>
  <si>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</si>
  <si>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</si>
  <si>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</si>
  <si>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</si>
  <si>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</si>
  <si>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</si>
  <si>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</si>
  <si>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</si>
  <si>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</si>
  <si>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</si>
  <si>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</si>
  <si>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</si>
  <si>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</si>
  <si>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</si>
  <si>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</si>
  <si>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</si>
  <si>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</si>
  <si>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</si>
  <si>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</si>
  <si>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</si>
  <si>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</si>
  <si>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</si>
  <si>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</si>
  <si>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</si>
  <si>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</si>
  <si>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</si>
  <si>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</si>
  <si>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</si>
  <si>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</si>
  <si>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</si>
  <si>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</si>
  <si>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</si>
  <si>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</si>
  <si>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</si>
  <si>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</si>
  <si>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</si>
  <si>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</si>
  <si>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</si>
  <si>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</si>
  <si>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</si>
  <si>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</si>
  <si>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</si>
  <si>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</si>
  <si>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</si>
  <si>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</si>
  <si>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</si>
  <si>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</si>
  <si>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</si>
  <si>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</si>
  <si>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</si>
  <si>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</si>
  <si>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</si>
  <si>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</si>
  <si>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</si>
  <si>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</si>
  <si>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</si>
  <si>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</si>
  <si>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</si>
  <si>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</si>
  <si>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</si>
  <si>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</si>
  <si>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</si>
  <si>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</si>
  <si>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</si>
  <si>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</si>
  <si>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</si>
  <si>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</si>
  <si>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</si>
  <si>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</si>
  <si>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</si>
  <si>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</si>
  <si>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</si>
  <si>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</si>
  <si>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</si>
  <si>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</si>
  <si>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</si>
  <si>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</si>
  <si>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</si>
  <si>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</si>
  <si>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</si>
  <si>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</si>
  <si>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</si>
  <si>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</si>
  <si>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</si>
  <si>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</si>
  <si>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</si>
  <si>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</si>
  <si>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</si>
  <si>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</si>
  <si>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</si>
  <si>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</si>
  <si>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</si>
  <si>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</si>
  <si>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</si>
  <si>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</si>
  <si>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</si>
  <si>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</si>
  <si>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</si>
  <si>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</si>
  <si>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</si>
  <si>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</si>
  <si>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</si>
  <si>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</si>
  <si>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</si>
  <si>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</si>
  <si>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</si>
  <si>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</si>
  <si>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</si>
  <si>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</si>
  <si>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</si>
  <si>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</si>
  <si>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</si>
  <si>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</si>
  <si>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</si>
  <si>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</si>
  <si>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</si>
  <si>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</si>
  <si>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</si>
  <si>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</si>
  <si>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</si>
  <si>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</si>
  <si>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</si>
  <si>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</si>
  <si>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</si>
  <si>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</si>
  <si>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</si>
  <si>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</si>
  <si>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</si>
  <si>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</si>
  <si>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</si>
  <si>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</si>
  <si>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</si>
  <si>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</si>
  <si>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</si>
  <si>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</si>
  <si>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</si>
  <si>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</si>
  <si>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</si>
  <si>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</si>
  <si>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</si>
  <si>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</si>
  <si>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</si>
  <si>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</si>
  <si>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</si>
  <si>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</si>
  <si>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</si>
  <si>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</si>
  <si>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</si>
  <si>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</si>
  <si>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</si>
  <si>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</si>
  <si>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</si>
  <si>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</si>
  <si>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</si>
  <si>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</si>
  <si>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</si>
  <si>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</si>
  <si>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</si>
  <si>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</si>
  <si>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</si>
  <si>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</si>
  <si>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</si>
  <si>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</si>
  <si>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</si>
  <si>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</si>
  <si>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</si>
  <si>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</si>
  <si>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</si>
  <si>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</si>
  <si>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</si>
  <si>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</si>
  <si>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</si>
  <si>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</si>
  <si>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</si>
  <si>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</si>
  <si>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</si>
  <si>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</si>
  <si>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</si>
  <si>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</si>
  <si>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</si>
  <si>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</si>
  <si>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</si>
  <si>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</si>
  <si>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</si>
  <si>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</si>
  <si>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</si>
  <si>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</si>
  <si>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</si>
  <si>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</si>
  <si>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</si>
  <si>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</si>
  <si>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</si>
  <si>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</si>
  <si>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</si>
  <si>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</si>
  <si>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</si>
  <si>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</si>
  <si>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</si>
  <si>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</si>
  <si>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</si>
  <si>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</si>
  <si>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</si>
  <si>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</si>
  <si>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</si>
  <si>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</si>
  <si>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</si>
  <si>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</si>
  <si>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</si>
  <si>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</si>
  <si>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</si>
  <si>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</si>
  <si>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</si>
  <si>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</si>
  <si>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</si>
  <si>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</si>
  <si>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</si>
  <si>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</si>
  <si>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</si>
  <si>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</si>
  <si>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</si>
  <si>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</si>
  <si>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</si>
  <si>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</si>
  <si>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</si>
  <si>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</si>
  <si>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</si>
  <si>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</si>
  <si>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</si>
  <si>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</si>
  <si>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</si>
  <si>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</si>
  <si>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</si>
  <si>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</si>
  <si>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</si>
  <si>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</si>
  <si>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</si>
  <si>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</si>
  <si>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</si>
  <si>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</si>
  <si>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</si>
  <si>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</si>
  <si>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</si>
  <si>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</si>
  <si>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</si>
  <si>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</si>
  <si>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</si>
  <si>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</si>
  <si>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</si>
  <si>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</si>
  <si>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</si>
  <si>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</si>
  <si>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</si>
  <si>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</si>
  <si>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</si>
  <si>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</si>
  <si>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</si>
  <si>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</si>
  <si>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</si>
  <si>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</si>
  <si>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</si>
  <si>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</si>
  <si>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</si>
  <si>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</si>
  <si>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</si>
  <si>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</si>
  <si>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</si>
  <si>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</si>
  <si>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</si>
  <si>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</si>
  <si>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</si>
  <si>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</si>
  <si>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</si>
  <si>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</si>
  <si>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</si>
  <si>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</si>
  <si>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</si>
  <si>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</si>
  <si>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</si>
  <si>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</si>
  <si>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</si>
  <si>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</si>
  <si>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</si>
  <si>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</si>
  <si>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</si>
  <si>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</si>
  <si>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</si>
  <si>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</si>
  <si>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</si>
  <si>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</si>
  <si>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</si>
  <si>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</si>
  <si>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</si>
  <si>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</si>
  <si>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</si>
  <si>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</si>
  <si>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</si>
  <si>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</si>
  <si>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</si>
  <si>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</si>
  <si>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</si>
  <si>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</si>
  <si>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</si>
  <si>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</si>
  <si>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</si>
  <si>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</si>
  <si>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</si>
  <si>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</si>
  <si>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</si>
  <si>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</si>
  <si>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</si>
  <si>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</si>
  <si>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</si>
  <si>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</si>
  <si>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</si>
  <si>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</si>
  <si>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</si>
  <si>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</si>
  <si>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</si>
  <si>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</si>
  <si>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</si>
  <si>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</si>
  <si>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</si>
  <si>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</si>
  <si>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</si>
  <si>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</si>
  <si>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</si>
  <si>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</si>
  <si>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</si>
  <si>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</si>
  <si>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</si>
  <si>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</si>
  <si>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</si>
  <si>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</si>
  <si>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</si>
  <si>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</si>
  <si>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</si>
  <si>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</si>
  <si>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</si>
  <si>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</si>
  <si>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</si>
  <si>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</si>
  <si>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</si>
  <si>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</si>
  <si>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</si>
  <si>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</si>
  <si>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</si>
  <si>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</si>
  <si>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</si>
  <si>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</si>
  <si>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</si>
  <si>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</si>
  <si>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</si>
  <si>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</si>
  <si>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</si>
  <si>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</si>
  <si>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</si>
  <si>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</si>
  <si>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</si>
  <si>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</si>
  <si>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</si>
  <si>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</si>
  <si>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</si>
  <si>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</si>
  <si>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</si>
  <si>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</si>
  <si>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</si>
  <si>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</si>
  <si>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</si>
  <si>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</si>
  <si>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</si>
  <si>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</si>
  <si>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</si>
  <si>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</si>
  <si>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</si>
  <si>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</si>
  <si>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</si>
  <si>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</si>
  <si>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</si>
  <si>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</si>
  <si>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</si>
  <si>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</si>
  <si>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</si>
  <si>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</si>
  <si>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</si>
  <si>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</si>
  <si>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</si>
  <si>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</si>
  <si>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</si>
  <si>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</si>
  <si>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</si>
  <si>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</si>
  <si>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</si>
  <si>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</si>
  <si>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</si>
  <si>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</si>
  <si>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</si>
  <si>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</si>
  <si>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</si>
  <si>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</si>
  <si>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</si>
  <si>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</si>
  <si>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</si>
  <si>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</si>
  <si>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</si>
  <si>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</si>
  <si>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</si>
  <si>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</si>
  <si>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</si>
  <si>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</si>
  <si>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</si>
  <si>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</si>
  <si>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</si>
  <si>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</si>
  <si>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</si>
  <si>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</si>
  <si>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</si>
  <si>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</si>
  <si>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</si>
  <si>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</si>
  <si>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</si>
  <si>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</si>
  <si>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</si>
  <si>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</si>
  <si>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</si>
  <si>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</si>
  <si>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</si>
  <si>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</si>
  <si>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</si>
  <si>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</si>
  <si>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</si>
  <si>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</si>
  <si>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</si>
  <si>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</si>
  <si>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</si>
  <si>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</si>
  <si>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</si>
  <si>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</si>
  <si>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</si>
  <si>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</si>
  <si>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</si>
  <si>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</si>
  <si>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</si>
  <si>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</si>
  <si>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</si>
  <si>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</si>
  <si>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</si>
  <si>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</si>
  <si>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</si>
  <si>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</si>
  <si>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</si>
  <si>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</si>
  <si>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</si>
  <si>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</si>
  <si>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</si>
  <si>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</si>
  <si>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</si>
  <si>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</si>
  <si>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</si>
  <si>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</si>
  <si>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</si>
  <si>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</si>
  <si>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</si>
  <si>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</si>
  <si>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</si>
  <si>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</si>
  <si>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</si>
  <si>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</si>
  <si>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</si>
  <si>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</si>
  <si>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</si>
  <si>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</si>
  <si>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</si>
  <si>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</si>
  <si>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</si>
  <si>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</si>
  <si>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</si>
  <si>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</si>
  <si>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</si>
  <si>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</si>
  <si>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</si>
  <si>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</si>
  <si>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</si>
  <si>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</si>
  <si>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</si>
  <si>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</si>
  <si>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</si>
  <si>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</si>
  <si>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</si>
  <si>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</si>
  <si>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</si>
  <si>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</si>
  <si>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</si>
  <si>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</si>
  <si>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</si>
  <si>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</si>
  <si>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</si>
  <si>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</si>
  <si>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</si>
  <si>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</si>
  <si>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</si>
  <si>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</si>
  <si>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</si>
  <si>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</si>
  <si>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</si>
  <si>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</si>
  <si>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</si>
  <si>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</si>
  <si>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</si>
  <si>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</si>
  <si>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</si>
  <si>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</si>
  <si>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</si>
  <si>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</si>
  <si>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</si>
  <si>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</si>
  <si>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</si>
  <si>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</si>
  <si>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</si>
  <si>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</si>
  <si>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</si>
  <si>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</si>
  <si>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</si>
  <si>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</si>
  <si>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</si>
  <si>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</si>
  <si>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</si>
  <si>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</si>
  <si>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</si>
  <si>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</si>
  <si>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</si>
  <si>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</si>
  <si>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</si>
  <si>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</si>
  <si>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</si>
  <si>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</si>
  <si>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</si>
  <si>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</si>
  <si>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</si>
  <si>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</si>
  <si>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</si>
  <si>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</si>
  <si>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</si>
  <si>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</si>
  <si>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</si>
  <si>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</si>
  <si>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</si>
  <si>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</si>
  <si>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</si>
  <si>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</si>
  <si>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</si>
  <si>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</si>
  <si>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</si>
  <si>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</si>
  <si>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</si>
  <si>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</si>
  <si>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</si>
  <si>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</si>
  <si>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</si>
  <si>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</si>
  <si>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</si>
  <si>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</si>
  <si>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</si>
  <si>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</si>
  <si>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</si>
  <si>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</si>
  <si>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</si>
  <si>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</si>
  <si>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</si>
  <si>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</si>
  <si>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</si>
  <si>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</si>
  <si>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</si>
  <si>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</si>
  <si>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</si>
  <si>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</si>
  <si>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</si>
  <si>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</si>
  <si>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</si>
  <si>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</si>
  <si>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</si>
  <si>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</si>
  <si>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</si>
  <si>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</si>
  <si>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</si>
  <si>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</si>
  <si>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</si>
  <si>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</si>
  <si>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</si>
  <si>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</si>
  <si>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</si>
  <si>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</si>
  <si>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</si>
  <si>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</si>
  <si>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</si>
  <si>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</si>
  <si>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</si>
  <si>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</si>
  <si>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</si>
  <si>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</si>
  <si>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</si>
  <si>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</si>
  <si>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</si>
  <si>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</si>
  <si>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</si>
  <si>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</si>
  <si>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</si>
  <si>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</si>
  <si>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</si>
  <si>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</si>
  <si>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</si>
  <si>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</si>
  <si>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</si>
  <si>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</si>
  <si>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</si>
  <si>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</si>
  <si>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</si>
  <si>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</si>
  <si>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</si>
  <si>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</si>
  <si>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</si>
  <si>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</si>
  <si>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</si>
  <si>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</si>
  <si>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</si>
  <si>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</si>
  <si>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</si>
  <si>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</si>
  <si>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</si>
  <si>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</si>
  <si>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</si>
  <si>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</si>
  <si>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</si>
  <si>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</si>
  <si>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</si>
  <si>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</si>
  <si>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</si>
  <si>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</si>
  <si>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</si>
  <si>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</si>
  <si>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</si>
  <si>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</si>
  <si>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</si>
  <si>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</si>
  <si>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</si>
  <si>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</si>
  <si>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</si>
  <si>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</si>
  <si>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</si>
  <si>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</si>
  <si>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</si>
  <si>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</si>
  <si>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</si>
  <si>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</si>
  <si>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</si>
  <si>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</si>
  <si>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</si>
  <si>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</si>
  <si>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</si>
  <si>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</si>
  <si>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</si>
  <si>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</si>
  <si>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</si>
  <si>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</si>
  <si>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</si>
  <si>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</si>
  <si>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</si>
  <si>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</si>
  <si>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</si>
  <si>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</si>
  <si>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</si>
  <si>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</si>
  <si>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</si>
  <si>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</si>
  <si>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</si>
  <si>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</si>
  <si>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</si>
  <si>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</si>
  <si>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</si>
  <si>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</si>
  <si>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</si>
  <si>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</si>
  <si>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</si>
  <si>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</si>
  <si>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</si>
  <si>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</si>
  <si>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</si>
  <si>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</si>
  <si>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</si>
  <si>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</si>
  <si>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</si>
  <si>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</si>
  <si>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</si>
  <si>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</si>
  <si>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</si>
  <si>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</si>
  <si>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</si>
  <si>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</si>
  <si>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</si>
  <si>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</si>
  <si>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</si>
  <si>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</si>
  <si>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</si>
  <si>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</si>
  <si>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</si>
  <si>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</si>
  <si>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</si>
  <si>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</si>
  <si>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</si>
  <si>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</si>
  <si>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</si>
  <si>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</si>
  <si>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</si>
  <si>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</si>
  <si>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</si>
  <si>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</si>
  <si>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</si>
  <si>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</si>
  <si>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</si>
  <si>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</si>
  <si>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</si>
  <si>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</si>
  <si>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</si>
  <si>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</si>
  <si>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</si>
  <si>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</si>
  <si>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</si>
  <si>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</si>
  <si>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</si>
  <si>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</si>
  <si>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</si>
  <si>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</si>
  <si>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</si>
  <si>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</si>
  <si>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</si>
  <si>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</si>
  <si>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</si>
  <si>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</si>
  <si>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</si>
  <si>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</si>
  <si>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</si>
  <si>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</si>
  <si>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</si>
  <si>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</si>
  <si>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</si>
  <si>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</si>
  <si>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</si>
  <si>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</si>
  <si>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</si>
  <si>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</si>
  <si>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</si>
  <si>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</si>
  <si>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</si>
  <si>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</si>
  <si>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</si>
  <si>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</si>
  <si>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</si>
  <si>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</si>
  <si>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</si>
  <si>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</si>
  <si>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</si>
  <si>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</si>
  <si>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</si>
  <si>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</si>
  <si>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</si>
  <si>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</si>
  <si>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</si>
  <si>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</si>
  <si>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</si>
  <si>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</si>
  <si>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</si>
  <si>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</si>
  <si>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</si>
  <si>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</si>
  <si>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</si>
  <si>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</si>
  <si>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</si>
  <si>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</si>
  <si>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</si>
  <si>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</si>
  <si>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</si>
  <si>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</si>
  <si>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</si>
  <si>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</si>
  <si>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</si>
  <si>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</si>
  <si>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</si>
  <si>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</si>
  <si>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</si>
  <si>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</si>
  <si>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</si>
  <si>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</si>
  <si>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</si>
  <si>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</si>
  <si>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</si>
  <si>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</si>
  <si>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</si>
  <si>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</si>
  <si>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</si>
  <si>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</si>
  <si>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</si>
  <si>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</si>
  <si>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</si>
  <si>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</si>
  <si>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</si>
  <si>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</si>
  <si>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</si>
  <si>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</si>
  <si>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</si>
  <si>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</si>
  <si>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</si>
  <si>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</si>
  <si>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</si>
  <si>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</si>
  <si>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</si>
  <si>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</si>
  <si>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</si>
  <si>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</si>
  <si>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</si>
  <si>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</si>
  <si>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</si>
  <si>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</si>
  <si>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</si>
  <si>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</si>
  <si>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</si>
  <si>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</si>
  <si>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</si>
  <si>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</si>
  <si>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</si>
  <si>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</si>
  <si>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</si>
  <si>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</si>
  <si>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</si>
  <si>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</si>
  <si>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</si>
  <si>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</si>
  <si>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</si>
  <si>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</si>
  <si>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</si>
  <si>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</si>
  <si>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</si>
  <si>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</si>
  <si>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</si>
  <si>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</si>
  <si>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</si>
  <si>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</si>
  <si>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</si>
  <si>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</si>
  <si>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</si>
  <si>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</si>
  <si>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</si>
  <si>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</si>
  <si>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</si>
  <si>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</si>
  <si>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</si>
  <si>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</si>
  <si>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</si>
  <si>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</si>
  <si>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</si>
  <si>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</si>
  <si>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</si>
  <si>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</si>
  <si>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</si>
  <si>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</si>
  <si>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</si>
  <si>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</si>
  <si>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</si>
  <si>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</si>
  <si>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</si>
  <si>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</si>
  <si>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</si>
  <si>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</si>
  <si>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</si>
  <si>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</si>
  <si>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</si>
  <si>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</si>
  <si>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</si>
  <si>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</si>
  <si>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</si>
  <si>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</si>
  <si>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</si>
  <si>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</si>
  <si>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</si>
  <si>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</si>
  <si>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</si>
  <si>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</si>
  <si>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</si>
  <si>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</si>
  <si>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</si>
  <si>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</si>
  <si>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</si>
  <si>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</si>
  <si>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</si>
  <si>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</si>
  <si>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</si>
  <si>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</si>
  <si>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</si>
  <si>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</si>
  <si>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</si>
  <si>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</si>
  <si>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</si>
  <si>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</si>
  <si>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</si>
  <si>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</si>
  <si>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</si>
  <si>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</si>
  <si>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</si>
  <si>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</si>
  <si>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</si>
  <si>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</si>
  <si>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</si>
  <si>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</si>
  <si>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</si>
  <si>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</si>
  <si>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</si>
  <si>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</si>
  <si>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</si>
  <si>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</si>
  <si>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</si>
  <si>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</si>
  <si>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</si>
  <si>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</si>
  <si>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</si>
  <si>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</si>
  <si>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</si>
  <si>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</si>
  <si>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</si>
  <si>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</si>
  <si>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</si>
  <si>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</si>
  <si>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</si>
  <si>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</si>
  <si>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</si>
  <si>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</si>
  <si>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</si>
  <si>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</si>
  <si>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</si>
  <si>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</si>
  <si>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</si>
  <si>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</si>
  <si>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</si>
  <si>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</si>
  <si>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</si>
  <si>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</si>
  <si>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</si>
  <si>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</si>
  <si>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</si>
  <si>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</si>
  <si>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</si>
  <si>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</si>
  <si>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</si>
  <si>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</si>
  <si>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</si>
  <si>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</si>
  <si>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</si>
  <si>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</si>
  <si>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</si>
  <si>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</si>
  <si>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</si>
  <si>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</si>
  <si>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</si>
  <si>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</si>
  <si>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</si>
  <si>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</si>
  <si>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</si>
  <si>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</si>
  <si>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</si>
  <si>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</si>
  <si>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</si>
  <si>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</si>
  <si>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</si>
  <si>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</si>
  <si>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</si>
  <si>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</si>
  <si>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</si>
  <si>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</si>
  <si>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</si>
  <si>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</si>
  <si>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</si>
  <si>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</si>
  <si>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</si>
  <si>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</si>
  <si>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</si>
  <si>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</si>
  <si>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</si>
  <si>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</si>
  <si>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</si>
  <si>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</si>
  <si>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</si>
  <si>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</si>
  <si>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</si>
  <si>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</si>
  <si>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</si>
  <si>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</si>
  <si>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</si>
  <si>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</si>
  <si>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</si>
  <si>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</si>
  <si>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</si>
  <si>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</si>
  <si>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</si>
  <si>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</si>
  <si>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</si>
  <si>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</si>
  <si>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</si>
  <si>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</si>
  <si>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</si>
  <si>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</si>
  <si>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</si>
  <si>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</si>
  <si>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</si>
  <si>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</si>
  <si>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</si>
  <si>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</si>
  <si>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</si>
  <si>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</si>
  <si>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</si>
  <si>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</si>
  <si>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</si>
  <si>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</si>
  <si>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</si>
  <si>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</si>
  <si>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</si>
  <si>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</si>
  <si>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</si>
  <si>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</si>
  <si>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</si>
  <si>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</si>
  <si>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</si>
  <si>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</si>
  <si>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</si>
  <si>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</si>
  <si>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</si>
  <si>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</si>
  <si>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</si>
  <si>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</si>
  <si>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</si>
  <si>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</si>
  <si>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</si>
  <si>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</si>
  <si>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</si>
  <si>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</si>
  <si>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</si>
  <si>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</si>
  <si>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</si>
  <si>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</si>
  <si>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</si>
  <si>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</si>
  <si>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</si>
  <si>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</si>
  <si>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</si>
  <si>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</si>
  <si>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</si>
  <si>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</si>
  <si>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</si>
  <si>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</si>
  <si>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</si>
  <si>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</si>
  <si>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</si>
  <si>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</si>
  <si>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</si>
  <si>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</si>
  <si>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</si>
  <si>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</si>
  <si>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</si>
  <si>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</si>
  <si>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</si>
  <si>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</si>
  <si>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</si>
  <si>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</si>
  <si>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</si>
  <si>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</si>
  <si>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</si>
  <si>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</si>
  <si>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</si>
  <si>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</si>
  <si>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</si>
  <si>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</si>
  <si>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</si>
  <si>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</si>
  <si>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</si>
  <si>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</si>
  <si>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</si>
  <si>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</si>
  <si>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</si>
  <si>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</si>
  <si>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</si>
  <si>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</si>
  <si>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</si>
  <si>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</si>
  <si>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</si>
  <si>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</si>
  <si>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</si>
  <si>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</si>
  <si>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</si>
  <si>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</si>
  <si>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</si>
  <si>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</si>
  <si>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</si>
  <si>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</si>
  <si>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</si>
  <si>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</si>
  <si>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</si>
  <si>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</si>
  <si>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</si>
  <si>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</si>
  <si>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</si>
  <si>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</si>
  <si>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</si>
  <si>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</si>
  <si>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</si>
  <si>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</si>
  <si>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</si>
  <si>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</si>
  <si>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</si>
  <si>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</si>
  <si>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</si>
  <si>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</si>
  <si>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</si>
  <si>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</si>
  <si>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</si>
  <si>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</si>
  <si>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</si>
  <si>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</si>
  <si>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</si>
  <si>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</si>
  <si>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</si>
  <si>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</si>
  <si>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</si>
  <si>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</si>
  <si>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</si>
  <si>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</si>
  <si>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</si>
  <si>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</si>
  <si>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</si>
  <si>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</si>
  <si>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</si>
  <si>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</si>
  <si>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</si>
  <si>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</si>
  <si>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</si>
  <si>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</si>
  <si>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</si>
  <si>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</si>
  <si>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</si>
  <si>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</si>
  <si>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</si>
  <si>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</si>
  <si>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</si>
  <si>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</si>
  <si>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</si>
  <si>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</si>
  <si>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</si>
  <si>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</si>
  <si>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</si>
  <si>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</si>
  <si>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</si>
  <si>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</si>
  <si>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</si>
  <si>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</si>
  <si>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</si>
  <si>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</si>
  <si>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</si>
  <si>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</si>
  <si>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</si>
  <si>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</si>
  <si>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</si>
  <si>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</si>
  <si>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</si>
  <si>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</si>
  <si>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</si>
  <si>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</si>
  <si>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</si>
  <si>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</si>
  <si>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</si>
  <si>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</si>
  <si>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</si>
  <si>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</si>
  <si>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</si>
  <si>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</si>
  <si>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</si>
  <si>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</si>
  <si>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</si>
  <si>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</si>
  <si>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</si>
  <si>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</si>
  <si>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</si>
  <si>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</si>
  <si>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</si>
  <si>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</si>
  <si>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</si>
  <si>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</si>
  <si>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</si>
  <si>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</si>
  <si>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</si>
  <si>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</si>
  <si>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</si>
  <si>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</si>
  <si>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</si>
  <si>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</si>
  <si>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</si>
  <si>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</si>
  <si>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</si>
  <si>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</si>
  <si>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</si>
  <si>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</si>
  <si>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</si>
  <si>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</si>
  <si>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</si>
  <si>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</si>
  <si>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</si>
  <si>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</si>
  <si>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</si>
  <si>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</si>
  <si>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</si>
  <si>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</si>
  <si>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</si>
  <si>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</si>
  <si>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</si>
  <si>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</si>
  <si>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</si>
  <si>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</si>
  <si>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</si>
  <si>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</si>
  <si>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</si>
  <si>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</si>
  <si>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</si>
  <si>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</si>
  <si>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</si>
  <si>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</si>
  <si>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</si>
  <si>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</si>
  <si>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</si>
  <si>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</si>
  <si>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</si>
  <si>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</si>
  <si>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</si>
  <si>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</si>
  <si>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</si>
  <si>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</si>
  <si>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</si>
  <si>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</si>
  <si>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</si>
  <si>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</si>
  <si>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</si>
  <si>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</si>
  <si>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</si>
  <si>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</si>
  <si>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</si>
  <si>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</si>
  <si>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</si>
  <si>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</si>
  <si>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</si>
  <si>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</si>
  <si>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</si>
  <si>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</si>
  <si>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</si>
  <si>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</si>
  <si>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</si>
  <si>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</si>
  <si>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</si>
  <si>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</si>
  <si>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</si>
  <si>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</si>
  <si>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</si>
  <si>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</si>
  <si>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</si>
  <si>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</si>
  <si>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</si>
  <si>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</si>
  <si>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</si>
  <si>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</si>
  <si>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</si>
  <si>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</si>
  <si>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</si>
  <si>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</si>
  <si>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</si>
  <si>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</si>
  <si>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</si>
  <si>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</si>
  <si>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</si>
  <si>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</si>
  <si>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</si>
  <si>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</si>
  <si>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</si>
  <si>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</si>
  <si>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</si>
  <si>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</si>
  <si>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</si>
  <si>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</si>
  <si>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</si>
  <si>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</si>
  <si>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</si>
  <si>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</si>
  <si>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</si>
  <si>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</si>
  <si>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</si>
  <si>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</si>
  <si>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</si>
  <si>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</si>
  <si>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</si>
  <si>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</si>
  <si>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</si>
  <si>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</si>
  <si>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</si>
  <si>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</si>
  <si>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</si>
  <si>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</si>
  <si>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</si>
  <si>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</si>
  <si>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</si>
  <si>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</si>
  <si>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</si>
  <si>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</si>
  <si>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</si>
  <si>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</si>
  <si>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</si>
  <si>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</si>
  <si>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</si>
  <si>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</si>
  <si>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</si>
  <si>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</si>
  <si>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</si>
  <si>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</si>
  <si>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</si>
  <si>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</si>
  <si>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</si>
  <si>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</si>
  <si>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</si>
  <si>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</si>
  <si>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</si>
  <si>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</si>
  <si>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</si>
  <si>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</si>
  <si>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</si>
  <si>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</si>
  <si>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</si>
  <si>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</si>
  <si>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</si>
  <si>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</si>
  <si>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</si>
  <si>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</si>
  <si>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</si>
  <si>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</si>
  <si>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</si>
  <si>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</si>
  <si>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</si>
  <si>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</si>
  <si>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</si>
  <si>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</si>
  <si>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</si>
  <si>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</si>
  <si>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</si>
  <si>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</si>
  <si>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</si>
  <si>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</si>
  <si>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</si>
  <si>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</si>
  <si>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</si>
  <si>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</si>
  <si>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</si>
  <si>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</si>
  <si>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</si>
  <si>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</si>
  <si>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</si>
  <si>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</si>
  <si>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</si>
  <si>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</si>
  <si>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</si>
  <si>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</si>
  <si>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</si>
  <si>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</si>
  <si>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</si>
  <si>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</si>
  <si>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</si>
  <si>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</si>
  <si>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</si>
  <si>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</si>
  <si>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</si>
  <si>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</si>
  <si>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</si>
  <si>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</si>
  <si>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</si>
  <si>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</si>
  <si>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</si>
  <si>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</si>
  <si>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</si>
  <si>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</si>
  <si>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</si>
  <si>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</si>
  <si>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</si>
  <si>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</si>
  <si>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</si>
  <si>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</si>
  <si>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</si>
  <si>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</si>
  <si>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</si>
  <si>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</si>
  <si>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</si>
  <si>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</si>
  <si>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</si>
  <si>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</si>
  <si>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</si>
  <si>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</si>
  <si>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</si>
  <si>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</si>
  <si>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</si>
  <si>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</si>
  <si>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</si>
  <si>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</si>
  <si>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</si>
  <si>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</si>
  <si>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</si>
  <si>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</si>
  <si>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</si>
  <si>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</si>
  <si>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</si>
  <si>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</si>
  <si>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</si>
  <si>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</si>
  <si>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</si>
  <si>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</si>
  <si>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</si>
  <si>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</si>
  <si>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</si>
  <si>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</si>
  <si>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</si>
  <si>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</si>
  <si>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</si>
  <si>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</si>
  <si>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</si>
  <si>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</si>
  <si>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</si>
  <si>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</si>
  <si>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</si>
  <si>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</si>
  <si>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</si>
  <si>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</si>
  <si>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</si>
  <si>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</si>
  <si>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</si>
  <si>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</si>
  <si>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</si>
  <si>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</si>
  <si>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</si>
  <si>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</si>
  <si>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</si>
  <si>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</si>
  <si>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</si>
  <si>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</si>
  <si>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</si>
  <si>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</si>
  <si>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</si>
  <si>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</si>
  <si>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</si>
  <si>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</si>
  <si>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</si>
  <si>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</si>
  <si>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</si>
  <si>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</si>
  <si>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</si>
  <si>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</si>
  <si>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</si>
  <si>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</si>
  <si>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</si>
  <si>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</si>
  <si>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</si>
  <si>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</si>
  <si>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</si>
  <si>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</si>
  <si>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</si>
  <si>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</si>
  <si>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</si>
  <si>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</si>
  <si>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</si>
  <si>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</si>
  <si>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</si>
  <si>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</si>
  <si>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</si>
  <si>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</si>
  <si>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</si>
  <si>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</si>
  <si>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</si>
  <si>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</si>
  <si>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</si>
  <si>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</si>
  <si>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</si>
  <si>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</si>
  <si>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</si>
  <si>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</si>
  <si>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</si>
  <si>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</si>
  <si>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</si>
  <si>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</si>
  <si>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</si>
  <si>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</si>
  <si>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</si>
  <si>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</si>
  <si>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</si>
  <si>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</si>
  <si>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</si>
  <si>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</si>
  <si>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</si>
  <si>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</si>
  <si>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</si>
  <si>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</si>
  <si>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</si>
  <si>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</si>
  <si>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</si>
  <si>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</si>
  <si>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</si>
  <si>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</si>
  <si>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</si>
  <si>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</si>
  <si>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</si>
  <si>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</si>
  <si>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</si>
  <si>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</si>
  <si>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</si>
  <si>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</si>
  <si>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</si>
  <si>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</si>
  <si>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</si>
  <si>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</si>
  <si>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</si>
  <si>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</si>
  <si>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</si>
  <si>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</si>
  <si>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</si>
  <si>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</si>
  <si>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</si>
  <si>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</si>
  <si>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</si>
  <si>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</si>
  <si>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</si>
  <si>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</si>
  <si>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</si>
  <si>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</si>
  <si>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</si>
  <si>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</si>
  <si>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</si>
  <si>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</si>
  <si>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</si>
  <si>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</si>
  <si>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</si>
  <si>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</si>
  <si>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</si>
  <si>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</si>
  <si>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</si>
  <si>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</si>
  <si>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</si>
  <si>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</si>
  <si>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</si>
  <si>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</si>
  <si>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</si>
  <si>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</si>
  <si>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</si>
  <si>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</si>
  <si>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</si>
  <si>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</si>
  <si>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</si>
  <si>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</si>
  <si>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</si>
  <si>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</si>
  <si>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</si>
  <si>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</si>
  <si>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</si>
  <si>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</si>
  <si>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</si>
  <si>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</si>
  <si>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</si>
  <si>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</si>
  <si>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</si>
  <si>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</si>
  <si>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</si>
  <si>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</si>
  <si>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</si>
  <si>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</si>
  <si>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</si>
  <si>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</si>
  <si>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</si>
  <si>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</si>
  <si>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</si>
  <si>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</si>
  <si>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</si>
  <si>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</si>
  <si>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</si>
  <si>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</si>
  <si>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</si>
  <si>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</si>
  <si>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</si>
  <si>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</si>
  <si>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</si>
  <si>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</si>
  <si>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</si>
  <si>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</si>
  <si>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</si>
  <si>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</si>
  <si>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</si>
  <si>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</si>
  <si>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</si>
  <si>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</si>
  <si>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</si>
  <si>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</si>
  <si>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</si>
  <si>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</si>
  <si>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</si>
  <si>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</si>
  <si>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</si>
  <si>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</si>
  <si>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</si>
  <si>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</si>
  <si>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</si>
  <si>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</si>
  <si>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</si>
  <si>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</si>
  <si>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</si>
  <si>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</si>
  <si>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</si>
  <si>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</si>
  <si>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</si>
  <si>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</si>
  <si>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</si>
  <si>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</si>
  <si>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</si>
  <si>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</si>
  <si>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</si>
  <si>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</si>
  <si>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</si>
  <si>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</si>
  <si>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</si>
  <si>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</si>
  <si>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</si>
  <si>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</si>
  <si>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</si>
  <si>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</si>
  <si>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</si>
  <si>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</si>
  <si>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</si>
  <si>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</si>
  <si>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</si>
  <si>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</si>
  <si>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</si>
  <si>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</si>
  <si>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</si>
  <si>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</si>
  <si>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</si>
  <si>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</si>
  <si>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</si>
  <si>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</si>
  <si>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</si>
  <si>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</si>
  <si>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</si>
  <si>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</si>
  <si>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</si>
  <si>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</si>
  <si>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</si>
  <si>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</si>
  <si>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</si>
  <si>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</si>
  <si>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</si>
  <si>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</si>
  <si>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</si>
  <si>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</si>
  <si>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</si>
  <si>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</si>
  <si>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</si>
  <si>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</si>
  <si>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</si>
  <si>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</si>
  <si>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</si>
  <si>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</si>
  <si>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</si>
  <si>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</si>
  <si>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</si>
  <si>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</si>
  <si>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</si>
  <si>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</si>
  <si>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</si>
  <si>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</si>
  <si>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</si>
  <si>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</si>
  <si>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</si>
  <si>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</si>
  <si>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</si>
  <si>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</si>
  <si>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</si>
  <si>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</si>
  <si>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</si>
  <si>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</si>
  <si>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</si>
  <si>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</si>
  <si>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</si>
  <si>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</si>
  <si>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</si>
  <si>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</si>
  <si>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</si>
  <si>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</si>
  <si>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</si>
  <si>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</si>
  <si>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</si>
  <si>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</si>
  <si>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</si>
  <si>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</si>
  <si>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</si>
  <si>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</si>
  <si>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</si>
  <si>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</si>
  <si>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</si>
  <si>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</si>
  <si>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</si>
  <si>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</si>
  <si>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</si>
  <si>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</si>
  <si>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</si>
  <si>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</si>
  <si>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</si>
  <si>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</si>
  <si>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</si>
  <si>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</si>
  <si>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</si>
  <si>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</si>
  <si>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</si>
  <si>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</si>
  <si>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</si>
  <si>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</si>
  <si>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</si>
  <si>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</si>
  <si>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</si>
  <si>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</si>
  <si>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</si>
  <si>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</si>
  <si>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</si>
  <si>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</si>
  <si>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</si>
  <si>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</si>
  <si>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</si>
  <si>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</si>
  <si>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</si>
  <si>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</si>
  <si>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</si>
  <si>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</si>
  <si>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</si>
  <si>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</si>
  <si>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</si>
  <si>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</si>
  <si>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</si>
  <si>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</si>
  <si>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</si>
  <si>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</si>
  <si>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</si>
  <si>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</si>
  <si>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</si>
  <si>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</si>
  <si>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</si>
  <si>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</si>
  <si>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</si>
  <si>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</si>
  <si>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</si>
  <si>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</si>
  <si>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</si>
  <si>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</si>
  <si>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</si>
  <si>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</si>
  <si>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</si>
  <si>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</si>
  <si>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</si>
  <si>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</si>
  <si>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</si>
  <si>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</si>
  <si>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</si>
  <si>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</si>
  <si>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</si>
  <si>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</si>
  <si>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</si>
  <si>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</si>
  <si>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</si>
  <si>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</si>
  <si>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</si>
  <si>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</si>
  <si>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</si>
  <si>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</si>
  <si>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</si>
  <si>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</si>
  <si>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</si>
  <si>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</si>
  <si>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</si>
  <si>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</si>
  <si>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</si>
  <si>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</si>
  <si>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</si>
  <si>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</si>
  <si>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</si>
  <si>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</si>
  <si>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</si>
  <si>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</si>
  <si>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</si>
  <si>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</si>
  <si>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</si>
  <si>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</si>
  <si>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</si>
  <si>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</si>
  <si>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</si>
  <si>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</si>
  <si>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</si>
  <si>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</si>
  <si>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</si>
  <si>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</si>
  <si>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</si>
  <si>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</si>
  <si>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</si>
  <si>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</si>
  <si>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</si>
  <si>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</si>
  <si>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</si>
  <si>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</si>
  <si>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</si>
  <si>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</si>
  <si>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</si>
  <si>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</si>
  <si>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</si>
  <si>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</si>
  <si>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</si>
  <si>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</si>
  <si>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</si>
  <si>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</si>
  <si>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</si>
  <si>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</si>
  <si>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</si>
  <si>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</si>
  <si>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</si>
  <si>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</si>
  <si>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</si>
  <si>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</si>
  <si>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</si>
  <si>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</si>
  <si>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</si>
  <si>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</si>
  <si>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</si>
  <si>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</si>
  <si>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</si>
  <si>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</si>
  <si>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</si>
  <si>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</si>
  <si>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</si>
  <si>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</si>
  <si>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</si>
  <si>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</si>
  <si>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</si>
  <si>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</si>
  <si>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</si>
  <si>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</si>
  <si>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</si>
  <si>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</si>
  <si>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</si>
  <si>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</si>
  <si>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</si>
  <si>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</si>
  <si>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</si>
  <si>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</si>
  <si>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</si>
  <si>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</si>
  <si>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</si>
  <si>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</si>
  <si>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</si>
  <si>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</si>
  <si>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</si>
  <si>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</si>
  <si>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</si>
  <si>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</si>
  <si>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</si>
  <si>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</si>
  <si>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</si>
  <si>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</si>
  <si>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</si>
  <si>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</si>
  <si>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</si>
  <si>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</si>
  <si>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</si>
  <si>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</si>
  <si>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</si>
  <si>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</si>
  <si>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</si>
  <si>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</si>
  <si>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</si>
  <si>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</si>
  <si>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</si>
  <si>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</si>
  <si>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</si>
  <si>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</si>
  <si>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</si>
  <si>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</si>
  <si>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</si>
  <si>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</si>
  <si>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</si>
  <si>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</si>
  <si>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</si>
  <si>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</si>
  <si>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</si>
  <si>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</si>
  <si>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</si>
  <si>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</si>
  <si>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</si>
  <si>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</si>
  <si>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</si>
  <si>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</si>
  <si>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</si>
  <si>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</si>
  <si>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</si>
  <si>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</si>
  <si>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</si>
  <si>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</si>
  <si>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</si>
  <si>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</si>
  <si>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</si>
  <si>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</si>
  <si>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</si>
  <si>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</si>
  <si>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</si>
  <si>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</si>
  <si>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</si>
  <si>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</si>
  <si>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</si>
  <si>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</si>
  <si>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</si>
  <si>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</si>
  <si>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</si>
  <si>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</si>
  <si>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</si>
  <si>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</si>
  <si>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</si>
  <si>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</si>
  <si>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</si>
  <si>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</si>
  <si>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</si>
  <si>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</si>
  <si>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</si>
  <si>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</si>
  <si>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</si>
  <si>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</si>
  <si>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</si>
  <si>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</si>
  <si>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</si>
  <si>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</si>
  <si>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</si>
  <si>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</si>
  <si>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</si>
  <si>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</si>
  <si>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</si>
  <si>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</si>
  <si>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</si>
  <si>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</si>
  <si>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</si>
  <si>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</si>
  <si>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</si>
  <si>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</si>
  <si>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</si>
  <si>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</si>
  <si>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</si>
  <si>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</si>
  <si>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</si>
  <si>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</si>
  <si>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</si>
  <si>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</si>
  <si>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</si>
  <si>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</si>
  <si>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</si>
  <si>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</si>
  <si>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</si>
  <si>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</si>
  <si>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</si>
  <si>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</si>
  <si>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</si>
  <si>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</si>
  <si>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</si>
  <si>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</si>
  <si>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</si>
  <si>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</si>
  <si>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</si>
  <si>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</si>
  <si>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</si>
  <si>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</si>
  <si>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</si>
  <si>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</si>
  <si>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</si>
  <si>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</si>
  <si>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</si>
  <si>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</si>
  <si>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</si>
  <si>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</si>
  <si>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</si>
  <si>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</si>
  <si>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</si>
  <si>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</si>
  <si>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</si>
  <si>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</si>
  <si>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</si>
  <si>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</si>
  <si>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</si>
  <si>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</si>
  <si>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</si>
  <si>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</si>
  <si>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</si>
  <si>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</si>
  <si>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</si>
  <si>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</si>
  <si>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</si>
  <si>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</si>
  <si>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</si>
  <si>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</si>
  <si>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</si>
  <si>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</si>
  <si>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</si>
  <si>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</si>
  <si>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</si>
  <si>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</si>
  <si>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</si>
  <si>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</si>
  <si>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</si>
  <si>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</si>
  <si>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</si>
  <si>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</si>
  <si>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</si>
  <si>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</si>
  <si>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</si>
  <si>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</si>
  <si>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</si>
  <si>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</si>
  <si>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</si>
  <si>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</si>
  <si>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</si>
  <si>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</si>
  <si>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</si>
  <si>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</si>
  <si>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</si>
  <si>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</si>
  <si>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</si>
  <si>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</si>
  <si>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</si>
  <si>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</si>
  <si>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</si>
  <si>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</si>
  <si>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</si>
  <si>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</si>
  <si>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</si>
  <si>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</si>
  <si>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</si>
  <si>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</si>
  <si>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</si>
  <si>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</si>
  <si>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</si>
  <si>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</si>
  <si>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</si>
  <si>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</si>
  <si>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</si>
  <si>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</si>
  <si>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</si>
  <si>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</si>
  <si>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</si>
  <si>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</si>
  <si>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</si>
  <si>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</si>
  <si>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</si>
  <si>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</si>
  <si>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</si>
  <si>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</si>
  <si>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</si>
  <si>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</si>
  <si>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</si>
  <si>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</si>
  <si>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</si>
  <si>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</si>
  <si>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</si>
  <si>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</si>
  <si>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</si>
  <si>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</si>
  <si>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</si>
  <si>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</si>
  <si>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</si>
  <si>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</si>
  <si>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</si>
  <si>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</si>
  <si>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</si>
  <si>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</si>
  <si>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</si>
  <si>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</si>
  <si>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</si>
  <si>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</si>
  <si>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</si>
  <si>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</si>
  <si>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</si>
  <si>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</si>
  <si>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</si>
  <si>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</si>
  <si>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</si>
  <si>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</si>
  <si>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</si>
  <si>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</si>
  <si>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</si>
  <si>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</si>
  <si>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</si>
  <si>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</si>
  <si>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</si>
  <si>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</si>
  <si>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</si>
  <si>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</si>
  <si>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</si>
  <si>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</si>
  <si>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</si>
  <si>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</si>
  <si>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</si>
  <si>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</si>
  <si>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</si>
  <si>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</si>
  <si>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</si>
  <si>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</si>
  <si>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</si>
  <si>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</si>
  <si>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</si>
  <si>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</si>
  <si>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</si>
  <si>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</si>
  <si>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</si>
  <si>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</si>
  <si>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</si>
  <si>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</si>
  <si>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</si>
  <si>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</si>
  <si>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</si>
  <si>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</si>
  <si>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</si>
  <si>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</si>
  <si>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</si>
  <si>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</si>
  <si>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</si>
  <si>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</si>
  <si>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</si>
  <si>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</si>
  <si>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</si>
  <si>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</si>
  <si>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</si>
  <si>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</si>
  <si>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</si>
  <si>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</si>
  <si>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</si>
  <si>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</si>
  <si>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</si>
  <si>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</si>
  <si>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</si>
  <si>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</si>
  <si>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</si>
  <si>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</si>
  <si>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</si>
  <si>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</si>
  <si>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</si>
  <si>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</si>
  <si>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</si>
  <si>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</si>
  <si>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</si>
  <si>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</si>
  <si>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</si>
  <si>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</si>
  <si>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</si>
  <si>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</si>
  <si>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</si>
  <si>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</si>
  <si>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</si>
  <si>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</si>
  <si>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</si>
  <si>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</si>
  <si>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</si>
  <si>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</si>
  <si>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</si>
  <si>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</si>
  <si>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</si>
  <si>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</si>
  <si>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</si>
  <si>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</si>
  <si>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</si>
  <si>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</si>
  <si>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</si>
  <si>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</si>
  <si>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</si>
  <si>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</si>
  <si>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</si>
  <si>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</si>
  <si>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</si>
  <si>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</si>
  <si>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</si>
  <si>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</si>
  <si>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</si>
  <si>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</si>
  <si>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</si>
  <si>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</si>
  <si>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</si>
  <si>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</si>
  <si>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</si>
  <si>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</si>
  <si>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</si>
  <si>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</si>
  <si>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</si>
  <si>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</si>
  <si>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</si>
  <si>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</si>
  <si>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</si>
  <si>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</si>
  <si>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</si>
  <si>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</si>
  <si>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</si>
  <si>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</si>
  <si>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</si>
  <si>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</si>
  <si>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</si>
  <si>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</si>
  <si>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</si>
  <si>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</si>
  <si>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</si>
  <si>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</si>
  <si>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</si>
  <si>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</si>
  <si>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</si>
  <si>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</si>
  <si>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</si>
  <si>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</si>
  <si>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</si>
  <si>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</si>
  <si>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</si>
  <si>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</si>
  <si>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</si>
  <si>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</si>
  <si>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</si>
  <si>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</si>
  <si>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</si>
  <si>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</si>
  <si>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</si>
  <si>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</si>
  <si>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</si>
  <si>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</si>
  <si>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</si>
  <si>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</si>
  <si>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</si>
  <si>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</si>
  <si>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</si>
  <si>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</si>
  <si>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</si>
  <si>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</si>
  <si>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</si>
  <si>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</si>
  <si>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</si>
  <si>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</si>
  <si>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</si>
  <si>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</si>
  <si>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</si>
  <si>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</si>
  <si>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</si>
  <si>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</si>
  <si>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</si>
  <si>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</si>
  <si>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</si>
  <si>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</si>
  <si>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</si>
  <si>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</si>
  <si>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</si>
  <si>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</si>
  <si>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</si>
  <si>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</si>
  <si>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</si>
  <si>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</si>
  <si>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</si>
  <si>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</si>
  <si>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</si>
  <si>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</si>
  <si>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</si>
  <si>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</si>
  <si>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</si>
  <si>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</si>
  <si>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</si>
  <si>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</si>
  <si>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</si>
  <si>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</si>
  <si>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</si>
  <si>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</si>
  <si>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</si>
  <si>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</si>
  <si>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</si>
  <si>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</si>
  <si>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</si>
  <si>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</si>
  <si>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</si>
  <si>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</si>
  <si>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</si>
  <si>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</si>
  <si>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</si>
  <si>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</si>
  <si>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</si>
  <si>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</si>
  <si>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</si>
  <si>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</si>
  <si>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</si>
  <si>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</si>
  <si>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</si>
  <si>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</si>
  <si>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</si>
  <si>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</si>
  <si>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</si>
  <si>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</si>
  <si>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</si>
  <si>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</si>
  <si>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</si>
  <si>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</si>
  <si>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</si>
  <si>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</si>
  <si>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</si>
  <si>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</si>
  <si>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</si>
  <si>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</si>
  <si>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</si>
  <si>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</si>
  <si>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</si>
  <si>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</si>
  <si>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</si>
  <si>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</si>
  <si>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</si>
  <si>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</si>
  <si>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</si>
  <si>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</si>
  <si>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</si>
  <si>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</si>
  <si>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</si>
  <si>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</si>
  <si>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</si>
  <si>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</si>
  <si>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</si>
  <si>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</si>
  <si>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</si>
  <si>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</si>
  <si>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</si>
  <si>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</si>
  <si>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</si>
  <si>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</si>
  <si>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</si>
  <si>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</si>
  <si>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</si>
  <si>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</si>
  <si>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</si>
  <si>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</si>
  <si>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</si>
  <si>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</si>
  <si>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</si>
  <si>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</si>
  <si>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</si>
  <si>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</si>
  <si>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</si>
  <si>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</si>
  <si>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</si>
  <si>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</si>
  <si>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</si>
  <si>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</si>
  <si>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</si>
  <si>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</si>
  <si>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</si>
  <si>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</si>
  <si>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</si>
  <si>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</si>
  <si>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</si>
  <si>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</si>
  <si>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</si>
  <si>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</si>
  <si>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</si>
  <si>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</si>
  <si>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</si>
  <si>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</si>
  <si>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</si>
  <si>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</si>
  <si>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</si>
  <si>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</si>
  <si>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</si>
  <si>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</si>
  <si>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</si>
  <si>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</si>
  <si>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</si>
  <si>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</si>
  <si>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</si>
  <si>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</si>
  <si>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</si>
  <si>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</si>
  <si>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</si>
  <si>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</si>
  <si>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</si>
  <si>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</si>
  <si>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</si>
  <si>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</si>
  <si>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</si>
  <si>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</si>
  <si>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</si>
  <si>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</si>
  <si>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</si>
  <si>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</si>
  <si>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</si>
  <si>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</si>
  <si>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</si>
  <si>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</si>
  <si>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</si>
  <si>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</si>
  <si>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</si>
  <si>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</si>
  <si>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</si>
  <si>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</si>
  <si>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</si>
  <si>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</si>
  <si>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</si>
  <si>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</si>
  <si>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</si>
  <si>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</si>
  <si>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</si>
  <si>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</si>
  <si>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</si>
  <si>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</si>
  <si>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</si>
  <si>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</si>
  <si>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</si>
  <si>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</si>
  <si>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</si>
  <si>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</si>
  <si>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</si>
  <si>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</si>
  <si>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</si>
  <si>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</si>
  <si>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</si>
  <si>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</si>
  <si>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</si>
  <si>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</si>
  <si>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</si>
  <si>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</si>
  <si>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</si>
  <si>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</si>
  <si>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</si>
  <si>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</si>
  <si>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</si>
  <si>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</si>
  <si>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</si>
  <si>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</si>
  <si>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</si>
  <si>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</si>
  <si>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</si>
  <si>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</si>
  <si>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</si>
  <si>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</si>
  <si>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</si>
  <si>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</si>
  <si>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</si>
  <si>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</si>
  <si>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</si>
  <si>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</si>
  <si>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</si>
  <si>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</si>
  <si>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</si>
  <si>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</si>
  <si>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</si>
  <si>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</si>
  <si>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</si>
  <si>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</si>
  <si>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</si>
  <si>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</si>
  <si>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</si>
  <si>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</si>
  <si>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</si>
  <si>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</si>
  <si>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</si>
  <si>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</si>
  <si>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</si>
  <si>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</si>
  <si>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</si>
  <si>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</si>
  <si>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</si>
  <si>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</si>
  <si>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</si>
  <si>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</si>
  <si>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</si>
  <si>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</si>
  <si>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</si>
  <si>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</si>
  <si>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</si>
  <si>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</si>
  <si>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</si>
  <si>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</si>
  <si>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</si>
  <si>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</si>
  <si>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</si>
  <si>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</si>
  <si>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</si>
  <si>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</si>
  <si>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</si>
  <si>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</si>
  <si>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</si>
  <si>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</si>
  <si>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</si>
  <si>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</si>
  <si>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</si>
  <si>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</si>
  <si>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</si>
  <si>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</si>
  <si>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</si>
  <si>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</si>
  <si>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</si>
  <si>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</si>
  <si>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</si>
  <si>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</si>
  <si>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</si>
  <si>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</si>
  <si>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</si>
  <si>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</si>
  <si>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</si>
  <si>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</si>
  <si>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</si>
  <si>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</si>
  <si>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</si>
  <si>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</si>
  <si>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</si>
  <si>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</si>
  <si>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</si>
  <si>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</si>
  <si>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</si>
  <si>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</si>
  <si>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</si>
  <si>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</si>
  <si>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</si>
  <si>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</si>
  <si>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</si>
  <si>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</si>
  <si>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</si>
  <si>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</si>
  <si>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</si>
  <si>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</si>
  <si>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</si>
  <si>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</si>
  <si>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</si>
  <si>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</si>
  <si>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</si>
  <si>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</si>
  <si>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</si>
  <si>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</si>
  <si>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</si>
  <si>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</si>
  <si>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</si>
  <si>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</si>
  <si>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</si>
  <si>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</si>
  <si>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</si>
  <si>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</si>
  <si>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</si>
  <si>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</si>
  <si>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</si>
  <si>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</si>
  <si>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</si>
  <si>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</si>
  <si>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</si>
  <si>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</si>
  <si>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</si>
  <si>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</si>
  <si>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</si>
  <si>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</si>
  <si>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</si>
  <si>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</si>
  <si>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</si>
  <si>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</si>
  <si>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</si>
  <si>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</si>
  <si>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</si>
  <si>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</si>
  <si>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</si>
  <si>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</si>
  <si>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</si>
  <si>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</si>
  <si>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</si>
  <si>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</si>
  <si>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</si>
  <si>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</si>
  <si>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</si>
  <si>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</si>
  <si>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</si>
  <si>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</si>
  <si>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</si>
  <si>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</si>
  <si>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</si>
  <si>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</si>
  <si>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</si>
  <si>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</si>
  <si>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</si>
  <si>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</si>
  <si>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</si>
  <si>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</si>
  <si>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</si>
  <si>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</si>
  <si>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</si>
  <si>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</si>
  <si>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</si>
  <si>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</si>
  <si>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</si>
  <si>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</si>
  <si>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</si>
  <si>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</si>
  <si>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</si>
  <si>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</si>
  <si>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</si>
  <si>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</si>
  <si>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</si>
  <si>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</si>
  <si>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</si>
  <si>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</si>
  <si>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</si>
  <si>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</si>
  <si>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</si>
  <si>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</si>
  <si>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</si>
  <si>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</si>
  <si>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</si>
  <si>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</si>
  <si>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</si>
  <si>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</si>
  <si>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</si>
  <si>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</si>
  <si>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</si>
  <si>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</si>
  <si>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</si>
  <si>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</si>
  <si>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</si>
  <si>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</si>
  <si>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</si>
  <si>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</si>
  <si>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</si>
  <si>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</si>
  <si>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</si>
  <si>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</si>
  <si>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</si>
  <si>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</si>
  <si>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</si>
  <si>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</si>
  <si>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</si>
  <si>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</si>
  <si>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</si>
  <si>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</si>
  <si>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</si>
  <si>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</si>
  <si>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</si>
  <si>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</si>
  <si>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</si>
  <si>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</si>
  <si>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</si>
  <si>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</si>
  <si>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</si>
  <si>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</si>
  <si>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</si>
  <si>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</si>
  <si>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</si>
  <si>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</si>
  <si>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</si>
  <si>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</si>
  <si>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</si>
  <si>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</si>
  <si>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</si>
  <si>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</si>
  <si>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</si>
  <si>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</si>
  <si>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</si>
  <si>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</si>
  <si>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</si>
  <si>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</si>
  <si>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</si>
  <si>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</si>
  <si>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</si>
  <si>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</si>
  <si>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</si>
  <si>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</si>
  <si>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</si>
  <si>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</si>
  <si>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</si>
  <si>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</si>
  <si>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</si>
  <si>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</si>
  <si>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</si>
  <si>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</si>
  <si>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</si>
  <si>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</si>
  <si>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</si>
  <si>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</si>
  <si>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</si>
  <si>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</si>
  <si>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</si>
  <si>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</si>
  <si>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</si>
  <si>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</si>
  <si>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</si>
  <si>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</si>
  <si>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</si>
  <si>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</si>
  <si>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</si>
  <si>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</si>
  <si>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</si>
  <si>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</si>
  <si>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</si>
  <si>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</si>
  <si>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</si>
  <si>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</si>
  <si>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</si>
  <si>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</si>
  <si>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</si>
  <si>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</si>
  <si>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</si>
  <si>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</si>
  <si>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</si>
  <si>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</si>
  <si>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</si>
  <si>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</si>
  <si>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</si>
  <si>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</si>
  <si>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</si>
  <si>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</si>
  <si>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</si>
  <si>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</si>
  <si>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</si>
  <si>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</si>
  <si>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</si>
  <si>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</si>
  <si>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</si>
  <si>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</si>
  <si>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</si>
  <si>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</si>
  <si>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</si>
  <si>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</si>
  <si>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</si>
  <si>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</si>
  <si>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</si>
  <si>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</si>
  <si>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</si>
  <si>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</si>
  <si>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</si>
  <si>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</si>
  <si>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</si>
  <si>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</si>
  <si>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</si>
  <si>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</si>
  <si>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</si>
  <si>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</si>
  <si>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</si>
  <si>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</si>
  <si>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</si>
  <si>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</si>
  <si>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</si>
  <si>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</si>
  <si>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</si>
  <si>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</si>
  <si>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</si>
  <si>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</si>
  <si>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</si>
  <si>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</si>
  <si>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</si>
  <si>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</si>
  <si>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</si>
  <si>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</si>
  <si>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</si>
  <si>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</si>
  <si>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</si>
  <si>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</si>
  <si>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</si>
  <si>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</si>
  <si>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</si>
  <si>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</si>
  <si>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</si>
  <si>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</si>
  <si>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</si>
  <si>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</si>
  <si>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</si>
  <si>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</si>
  <si>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</si>
  <si>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</si>
  <si>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</si>
  <si>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</si>
  <si>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</si>
  <si>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</si>
  <si>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</si>
  <si>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</si>
  <si>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</si>
  <si>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</si>
  <si>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</si>
  <si>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</si>
  <si>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</si>
  <si>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</si>
  <si>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</si>
  <si>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</si>
  <si>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</si>
  <si>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</si>
  <si>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</si>
  <si>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</si>
  <si>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</si>
  <si>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</si>
  <si>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</si>
  <si>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</si>
  <si>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</si>
  <si>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</si>
  <si>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</si>
  <si>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</si>
  <si>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</si>
  <si>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</si>
  <si>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</si>
  <si>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</si>
  <si>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</si>
  <si>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</si>
  <si>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</si>
  <si>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</si>
  <si>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</si>
  <si>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</si>
  <si>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</si>
  <si>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</si>
  <si>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</si>
  <si>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</si>
  <si>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</si>
  <si>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</si>
  <si>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</si>
  <si>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</si>
  <si>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</si>
  <si>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</si>
  <si>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</si>
  <si>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</si>
  <si>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</si>
  <si>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</si>
  <si>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</si>
  <si>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</si>
  <si>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</si>
  <si>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</si>
  <si>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</si>
  <si>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</si>
  <si>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</si>
  <si>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</si>
  <si>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</si>
  <si>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</si>
  <si>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</si>
  <si>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</si>
  <si>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</si>
  <si>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</si>
  <si>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</si>
  <si>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</si>
  <si>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</si>
  <si>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</si>
  <si>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</si>
  <si>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</si>
  <si>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</si>
  <si>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</si>
  <si>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</si>
  <si>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</si>
  <si>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</si>
  <si>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</si>
  <si>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</si>
  <si>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</si>
  <si>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</si>
  <si>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</si>
  <si>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</si>
  <si>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</si>
  <si>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</si>
  <si>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</si>
  <si>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</si>
  <si>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</si>
  <si>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</si>
  <si>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</si>
  <si>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</si>
  <si>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</si>
  <si>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</si>
  <si>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</si>
  <si>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</si>
  <si>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</si>
  <si>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</si>
  <si>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</si>
  <si>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</si>
  <si>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</si>
  <si>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</si>
  <si>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</si>
  <si>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</si>
  <si>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</si>
  <si>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</si>
  <si>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</si>
  <si>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</si>
  <si>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</si>
  <si>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</si>
  <si>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</si>
  <si>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</si>
  <si>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</si>
  <si>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</si>
  <si>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</si>
  <si>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</si>
  <si>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</si>
  <si>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</si>
  <si>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</si>
  <si>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</si>
  <si>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</si>
  <si>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</si>
  <si>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</si>
  <si>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</si>
  <si>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</si>
  <si>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</si>
  <si>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</si>
  <si>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</si>
  <si>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</si>
  <si>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</si>
  <si>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</si>
  <si>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</si>
  <si>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</si>
  <si>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</si>
  <si>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</si>
  <si>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</si>
  <si>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</si>
  <si>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</si>
  <si>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</si>
  <si>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</si>
  <si>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</si>
  <si>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</si>
  <si>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</si>
  <si>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</si>
  <si>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</si>
  <si>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</si>
  <si>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</si>
  <si>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</si>
  <si>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</si>
  <si>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</si>
  <si>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</si>
  <si>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</si>
  <si>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</si>
  <si>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</si>
  <si>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</si>
  <si>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</si>
  <si>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</si>
  <si>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</si>
  <si>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</si>
  <si>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</si>
  <si>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</si>
  <si>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</si>
  <si>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</si>
  <si>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</si>
  <si>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</si>
  <si>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</si>
  <si>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</si>
  <si>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</si>
  <si>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</si>
  <si>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</si>
  <si>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</si>
  <si>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</si>
  <si>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</si>
  <si>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</si>
  <si>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</si>
  <si>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</si>
  <si>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</si>
  <si>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</si>
  <si>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</si>
  <si>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</si>
  <si>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</si>
  <si>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</si>
  <si>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</si>
  <si>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</si>
  <si>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</si>
  <si>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</si>
  <si>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</si>
  <si>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</si>
  <si>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</si>
  <si>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</si>
  <si>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</si>
  <si>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</si>
  <si>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</si>
  <si>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</si>
  <si>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</si>
  <si>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</si>
  <si>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</si>
  <si>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</si>
  <si>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</si>
  <si>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</si>
  <si>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</si>
  <si>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</si>
  <si>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</si>
  <si>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</si>
  <si>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</si>
  <si>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</si>
  <si>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</si>
  <si>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</si>
  <si>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</si>
  <si>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</si>
  <si>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</si>
  <si>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</si>
  <si>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</si>
  <si>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</si>
  <si>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</si>
  <si>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</si>
  <si>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</si>
  <si>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</si>
  <si>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</si>
  <si>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</si>
  <si>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</si>
  <si>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</si>
  <si>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</si>
  <si>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</si>
  <si>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</si>
  <si>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</si>
  <si>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</si>
  <si>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</si>
  <si>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</si>
  <si>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</si>
  <si>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</si>
  <si>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</si>
  <si>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</si>
  <si>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</si>
  <si>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</si>
  <si>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</si>
  <si>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</si>
  <si>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</si>
  <si>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</si>
  <si>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</si>
  <si>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</si>
  <si>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</si>
  <si>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</si>
  <si>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</si>
  <si>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</si>
  <si>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</si>
  <si>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</si>
  <si>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</si>
  <si>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</si>
  <si>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</si>
  <si>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</si>
  <si>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</si>
  <si>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</si>
  <si>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</si>
  <si>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</si>
  <si>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</si>
  <si>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</si>
  <si>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</si>
  <si>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</si>
  <si>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</si>
  <si>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</si>
  <si>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</si>
  <si>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</si>
  <si>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</si>
  <si>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</si>
  <si>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</si>
  <si>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</si>
  <si>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</si>
  <si>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</si>
  <si>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</si>
  <si>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</si>
  <si>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</si>
  <si>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</si>
  <si>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</si>
  <si>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</si>
  <si>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</si>
  <si>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</si>
  <si>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</si>
  <si>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</si>
  <si>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</si>
  <si>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</si>
  <si>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</si>
  <si>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</si>
  <si>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</si>
  <si>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</si>
  <si>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</si>
  <si>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</si>
  <si>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</si>
  <si>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</si>
  <si>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</si>
  <si>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</si>
  <si>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</si>
  <si>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</si>
  <si>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</si>
  <si>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</si>
  <si>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</si>
  <si>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</si>
  <si>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</si>
  <si>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</si>
  <si>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</si>
  <si>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</si>
  <si>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</si>
  <si>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</si>
  <si>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</si>
  <si>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</si>
  <si>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</si>
  <si>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</si>
  <si>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</si>
  <si>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</si>
  <si>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</si>
  <si>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</si>
  <si>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</si>
  <si>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</si>
  <si>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</si>
  <si>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</si>
  <si>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</si>
  <si>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</si>
  <si>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</si>
  <si>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</si>
  <si>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</si>
  <si>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</si>
  <si>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</si>
  <si>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</si>
  <si>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</si>
  <si>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</si>
  <si>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</si>
  <si>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</si>
  <si>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</si>
  <si>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</si>
  <si>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</si>
  <si>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</si>
  <si>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</si>
  <si>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</si>
  <si>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</si>
  <si>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</si>
  <si>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</si>
  <si>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</si>
  <si>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</si>
  <si>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</si>
  <si>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</si>
  <si>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</si>
  <si>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</si>
  <si>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</si>
  <si>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</si>
  <si>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</si>
  <si>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</si>
  <si>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</si>
  <si>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</si>
  <si>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</si>
  <si>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</si>
  <si>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</si>
  <si>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</si>
  <si>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</si>
  <si>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</si>
  <si>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</si>
  <si>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</si>
  <si>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</si>
  <si>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</si>
  <si>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</si>
  <si>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</si>
  <si>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</si>
  <si>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</si>
  <si>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</si>
  <si>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</si>
  <si>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</si>
  <si>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</si>
  <si>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</si>
  <si>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</si>
  <si>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</si>
  <si>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</si>
  <si>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</si>
  <si>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</si>
  <si>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</si>
  <si>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</si>
  <si>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</si>
  <si>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</si>
  <si>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</si>
  <si>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</si>
  <si>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</si>
  <si>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</si>
  <si>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</si>
  <si>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</si>
  <si>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</si>
  <si>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</si>
  <si>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</si>
  <si>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</si>
  <si>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</si>
  <si>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</si>
  <si>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</si>
  <si>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</si>
  <si>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</si>
  <si>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</si>
  <si>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</si>
  <si>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</si>
  <si>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</si>
  <si>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</si>
  <si>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</si>
  <si>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</si>
  <si>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</si>
  <si>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</si>
  <si>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</si>
  <si>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</si>
  <si>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</si>
  <si>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</si>
  <si>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</si>
  <si>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</si>
  <si>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</si>
  <si>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</si>
  <si>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</si>
  <si>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</si>
  <si>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</si>
  <si>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</si>
  <si>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</si>
  <si>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</si>
  <si>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</si>
  <si>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</si>
  <si>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</si>
  <si>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</si>
  <si>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</si>
  <si>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</si>
  <si>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</si>
  <si>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</si>
  <si>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</si>
  <si>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</si>
  <si>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</si>
  <si>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</si>
  <si>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</si>
  <si>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</si>
  <si>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</si>
  <si>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</si>
  <si>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</si>
  <si>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</si>
  <si>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</si>
  <si>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</si>
  <si>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</si>
  <si>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</si>
  <si>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</si>
  <si>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</si>
  <si>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</si>
  <si>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</si>
  <si>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</si>
  <si>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</si>
  <si>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</si>
  <si>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</si>
  <si>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</si>
  <si>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</si>
  <si>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</si>
  <si>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</si>
  <si>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</si>
  <si>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</si>
  <si>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</si>
  <si>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</si>
  <si>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</si>
  <si>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</si>
  <si>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</si>
  <si>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</si>
  <si>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</si>
  <si>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</si>
  <si>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</si>
  <si>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</si>
  <si>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</si>
  <si>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</si>
  <si>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</si>
  <si>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</si>
  <si>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</si>
  <si>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</si>
  <si>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</si>
  <si>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</si>
  <si>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</si>
  <si>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</si>
  <si>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</si>
  <si>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</si>
  <si>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</si>
  <si>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</si>
  <si>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</si>
  <si>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</si>
  <si>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</si>
  <si>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</si>
  <si>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</si>
  <si>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</si>
  <si>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</si>
  <si>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</si>
  <si>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</si>
  <si>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</si>
  <si>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</si>
  <si>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</si>
  <si>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</si>
  <si>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</si>
  <si>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</si>
  <si>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</si>
  <si>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</si>
  <si>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</si>
  <si>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</si>
  <si>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</si>
  <si>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</si>
  <si>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</si>
  <si>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</si>
  <si>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</si>
  <si>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</si>
  <si>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</si>
  <si>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</si>
  <si>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</si>
  <si>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</si>
  <si>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</si>
  <si>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</si>
  <si>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</si>
  <si>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</si>
  <si>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</si>
  <si>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</si>
  <si>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</si>
  <si>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</si>
  <si>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</si>
  <si>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</si>
  <si>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</si>
  <si>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</si>
  <si>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</si>
  <si>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</si>
  <si>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</si>
  <si>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</si>
  <si>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</si>
  <si>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</si>
  <si>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</si>
  <si>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</si>
  <si>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</si>
  <si>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</si>
  <si>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</si>
  <si>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</si>
  <si>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</si>
  <si>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</si>
  <si>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</si>
  <si>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</si>
  <si>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</si>
  <si>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</si>
  <si>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</si>
  <si>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</si>
  <si>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</si>
  <si>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</si>
  <si>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</si>
  <si>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</si>
  <si>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</si>
  <si>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</si>
  <si>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</si>
  <si>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</si>
  <si>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</si>
  <si>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</si>
  <si>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</si>
  <si>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</si>
  <si>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</si>
  <si>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</si>
  <si>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</si>
  <si>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</si>
  <si>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</si>
  <si>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</si>
  <si>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</si>
  <si>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</si>
  <si>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</si>
  <si>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</si>
  <si>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</si>
  <si>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</si>
  <si>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</si>
  <si>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</si>
  <si>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</si>
  <si>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</si>
  <si>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</si>
  <si>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</si>
  <si>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</si>
  <si>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</si>
  <si>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</si>
  <si>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</si>
  <si>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</si>
  <si>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</si>
  <si>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</si>
  <si>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</si>
  <si>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</si>
  <si>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</si>
  <si>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</si>
  <si>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</si>
  <si>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</si>
  <si>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</si>
  <si>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</si>
  <si>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</si>
  <si>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</si>
  <si>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</si>
  <si>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</si>
  <si>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</si>
  <si>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</si>
  <si>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</si>
  <si>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</si>
  <si>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</si>
  <si>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</si>
  <si>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</si>
  <si>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</si>
  <si>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</si>
  <si>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</si>
  <si>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</si>
  <si>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</si>
  <si>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</si>
  <si>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</si>
  <si>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</si>
  <si>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</si>
  <si>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</si>
  <si>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</si>
  <si>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</si>
  <si>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</si>
  <si>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</si>
  <si>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</si>
  <si>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</si>
  <si>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</si>
  <si>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</si>
  <si>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</si>
  <si>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</si>
  <si>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</si>
  <si>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</si>
  <si>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</si>
  <si>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</si>
  <si>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</si>
  <si>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</si>
  <si>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</si>
  <si>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</si>
  <si>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</si>
  <si>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</si>
  <si>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</si>
  <si>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</si>
  <si>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</si>
  <si>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</si>
  <si>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</si>
  <si>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</si>
  <si>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</si>
  <si>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</si>
  <si>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</si>
  <si>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</si>
  <si>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</si>
  <si>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</si>
  <si>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</si>
  <si>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</si>
  <si>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</si>
  <si>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</si>
  <si>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</si>
  <si>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</si>
  <si>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</si>
  <si>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</si>
  <si>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</si>
  <si>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</si>
  <si>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</si>
  <si>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</si>
  <si>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</si>
  <si>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</si>
  <si>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</si>
  <si>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</si>
  <si>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</si>
  <si>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</si>
  <si>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</si>
  <si>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</si>
  <si>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</si>
  <si>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</si>
  <si>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</si>
  <si>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</si>
  <si>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</si>
  <si>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</si>
  <si>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</si>
  <si>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</si>
  <si>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</si>
  <si>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</si>
  <si>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</si>
  <si>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</si>
  <si>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</si>
  <si>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</si>
  <si>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</si>
  <si>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</si>
  <si>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</si>
  <si>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</si>
  <si>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</si>
  <si>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</si>
  <si>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</si>
  <si>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</si>
  <si>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</si>
  <si>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</si>
  <si>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</si>
  <si>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</si>
  <si>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</si>
  <si>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</si>
  <si>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</si>
  <si>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</si>
  <si>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</si>
  <si>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</si>
  <si>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</si>
  <si>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</si>
  <si>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</si>
  <si>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</si>
  <si>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</si>
  <si>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</si>
  <si>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</si>
  <si>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</si>
  <si>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</si>
  <si>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</si>
  <si>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</si>
  <si>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</si>
  <si>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</si>
  <si>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</si>
  <si>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</si>
  <si>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</si>
  <si>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</si>
  <si>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</si>
  <si>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</si>
  <si>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</si>
  <si>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</si>
  <si>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</si>
  <si>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</si>
  <si>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</si>
  <si>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</si>
  <si>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</si>
  <si>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</si>
  <si>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</si>
  <si>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</si>
  <si>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</si>
  <si>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</si>
  <si>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</si>
  <si>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</si>
  <si>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</si>
  <si>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</si>
  <si>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</si>
  <si>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</si>
  <si>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</si>
  <si>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</si>
  <si>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</si>
  <si>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</si>
  <si>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</si>
  <si>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</si>
  <si>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</si>
  <si>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</si>
  <si>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</si>
  <si>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</si>
  <si>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</si>
  <si>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</si>
  <si>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</si>
  <si>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</si>
  <si>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</si>
  <si>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</si>
  <si>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</si>
  <si>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</si>
  <si>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</si>
  <si>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</si>
  <si>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</si>
  <si>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</si>
  <si>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</si>
  <si>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</si>
  <si>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</si>
  <si>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</si>
  <si>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</si>
  <si>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</si>
  <si>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</si>
  <si>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</si>
  <si>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</si>
  <si>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</si>
  <si>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</si>
  <si>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</si>
  <si>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</si>
  <si>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</si>
  <si>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</si>
  <si>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</si>
  <si>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</si>
  <si>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</si>
  <si>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</si>
  <si>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</si>
  <si>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</si>
  <si>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</si>
  <si>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</si>
  <si>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</si>
  <si>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</si>
  <si>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</si>
  <si>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</si>
  <si>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</si>
  <si>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</si>
  <si>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</si>
  <si>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</si>
  <si>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</si>
  <si>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</si>
  <si>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</si>
  <si>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</si>
  <si>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</si>
  <si>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</si>
  <si>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</si>
  <si>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</si>
  <si>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</si>
  <si>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</si>
  <si>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</si>
  <si>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</si>
  <si>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</si>
  <si>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</si>
  <si>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</si>
  <si>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</si>
  <si>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</si>
  <si>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</si>
  <si>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</si>
  <si>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</si>
  <si>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</si>
  <si>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</si>
  <si>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</si>
  <si>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</si>
  <si>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</si>
  <si>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</si>
  <si>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</si>
  <si>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</si>
  <si>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</si>
  <si>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</si>
  <si>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</si>
  <si>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</si>
  <si>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</si>
  <si>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</si>
  <si>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</si>
  <si>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</si>
  <si>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</si>
  <si>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</si>
  <si>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</si>
  <si>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</si>
  <si>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</si>
  <si>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</si>
  <si>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</si>
  <si>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</si>
  <si>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</si>
  <si>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</si>
  <si>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</si>
  <si>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</si>
  <si>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</si>
  <si>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</si>
  <si>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</si>
  <si>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</si>
  <si>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</si>
  <si>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</si>
  <si>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</si>
  <si>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</si>
  <si>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</si>
  <si>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</si>
  <si>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</si>
  <si>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</si>
  <si>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</si>
  <si>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</si>
  <si>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</si>
  <si>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</si>
  <si>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</si>
  <si>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</si>
  <si>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</si>
  <si>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</si>
  <si>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</si>
  <si>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</si>
  <si>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</si>
  <si>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</si>
  <si>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</si>
  <si>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</si>
  <si>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</si>
  <si>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</si>
  <si>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</si>
  <si>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</si>
  <si>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</si>
  <si>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</si>
  <si>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</si>
  <si>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</si>
  <si>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</si>
  <si>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</si>
  <si>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</si>
  <si>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</si>
  <si>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</si>
  <si>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</si>
  <si>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</si>
  <si>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</si>
  <si>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</si>
  <si>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</si>
  <si>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</si>
  <si>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</si>
  <si>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</si>
  <si>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</si>
  <si>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</si>
  <si>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</si>
  <si>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</si>
  <si>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</si>
  <si>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</si>
  <si>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</si>
  <si>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</si>
  <si>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</si>
  <si>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</si>
  <si>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</si>
  <si>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</si>
  <si>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</si>
  <si>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</si>
  <si>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</si>
  <si>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</si>
  <si>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</si>
  <si>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</si>
  <si>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</si>
  <si>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</si>
  <si>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</si>
  <si>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</si>
  <si>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</si>
  <si>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</si>
  <si>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</si>
  <si>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</si>
  <si>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</si>
  <si>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</si>
  <si>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</si>
  <si>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</si>
  <si>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</si>
  <si>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</si>
  <si>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</si>
  <si>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</si>
  <si>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</si>
  <si>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</si>
  <si>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</si>
  <si>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</si>
  <si>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</si>
  <si>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</si>
  <si>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</si>
  <si>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</si>
  <si>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</si>
  <si>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</si>
  <si>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</si>
  <si>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</si>
  <si>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</si>
  <si>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</si>
  <si>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</si>
  <si>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</si>
  <si>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</si>
  <si>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</si>
  <si>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</si>
  <si>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</si>
  <si>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</si>
  <si>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</si>
  <si>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</si>
  <si>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</si>
  <si>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</si>
  <si>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</si>
  <si>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</si>
  <si>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</si>
  <si>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</si>
  <si>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</si>
  <si>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</si>
  <si>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</si>
  <si>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</si>
  <si>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</si>
  <si>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</si>
  <si>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</si>
  <si>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</si>
  <si>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</si>
  <si>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</si>
  <si>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</si>
  <si>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</si>
  <si>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</si>
  <si>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</si>
  <si>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</si>
  <si>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</si>
  <si>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</si>
  <si>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</si>
  <si>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</si>
  <si>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</si>
  <si>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</si>
  <si>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</si>
  <si>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</si>
  <si>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</si>
  <si>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</si>
  <si>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</si>
  <si>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</si>
  <si>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</si>
  <si>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</si>
  <si>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</si>
  <si>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</si>
  <si>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</si>
  <si>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</si>
  <si>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</si>
  <si>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</si>
  <si>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</si>
  <si>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</si>
  <si>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</si>
  <si>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</si>
  <si>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</si>
  <si>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</si>
  <si>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</si>
  <si>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</si>
  <si>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</si>
  <si>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</si>
  <si>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</si>
  <si>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</si>
  <si>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</si>
  <si>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</si>
  <si>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</si>
  <si>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</si>
  <si>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</si>
  <si>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</si>
  <si>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</si>
  <si>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</si>
  <si>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</si>
  <si>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</si>
  <si>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</si>
  <si>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</si>
  <si>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</si>
  <si>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</si>
  <si>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</si>
  <si>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</si>
  <si>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</si>
  <si>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</si>
  <si>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</si>
  <si>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</si>
  <si>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</si>
  <si>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</si>
  <si>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</si>
  <si>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</si>
  <si>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</si>
  <si>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</si>
  <si>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</si>
  <si>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</si>
  <si>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</si>
  <si>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</si>
  <si>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</si>
  <si>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</si>
  <si>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</si>
  <si>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</si>
  <si>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</si>
  <si>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</si>
  <si>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</si>
  <si>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</si>
  <si>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</si>
  <si>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</si>
  <si>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</si>
  <si>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</si>
  <si>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</si>
  <si>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</si>
  <si>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</si>
  <si>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</si>
  <si>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</si>
  <si>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</si>
  <si>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</si>
  <si>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</si>
  <si>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</si>
  <si>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</si>
  <si>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</si>
  <si>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</si>
  <si>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</si>
  <si>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</si>
  <si>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</si>
  <si>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</si>
  <si>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</si>
  <si>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</si>
  <si>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</si>
  <si>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</si>
  <si>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</si>
  <si>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</si>
  <si>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</si>
  <si>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</si>
  <si>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</si>
  <si>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</si>
  <si>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</si>
  <si>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</si>
  <si>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</si>
  <si>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</si>
  <si>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</si>
  <si>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</si>
  <si>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</si>
  <si>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</si>
  <si>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</si>
  <si>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</si>
  <si>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</si>
  <si>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</si>
  <si>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</si>
  <si>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</si>
  <si>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</si>
  <si>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</si>
  <si>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</si>
  <si>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</si>
  <si>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</si>
  <si>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</si>
  <si>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</si>
  <si>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</si>
  <si>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</si>
  <si>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</si>
  <si>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</si>
  <si>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</si>
  <si>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</si>
  <si>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</si>
  <si>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</si>
  <si>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</si>
  <si>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</si>
  <si>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</si>
  <si>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</si>
  <si>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</si>
  <si>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</si>
  <si>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</si>
  <si>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</si>
  <si>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</si>
  <si>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</si>
  <si>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</si>
  <si>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</si>
  <si>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</si>
  <si>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</si>
  <si>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</si>
  <si>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</si>
  <si>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</si>
  <si>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</si>
  <si>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</si>
  <si>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</si>
  <si>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</si>
  <si>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</si>
  <si>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</si>
  <si>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</si>
  <si>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</si>
  <si>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</si>
  <si>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</si>
  <si>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</si>
  <si>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</si>
  <si>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</si>
  <si>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</si>
  <si>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</si>
  <si>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</si>
  <si>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</si>
  <si>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</si>
  <si>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</si>
  <si>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</si>
  <si>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</si>
  <si>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</si>
  <si>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</si>
  <si>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</si>
  <si>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</si>
  <si>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</si>
  <si>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</si>
  <si>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</si>
  <si>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</si>
  <si>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</si>
  <si>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</si>
  <si>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</si>
  <si>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</si>
  <si>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</si>
  <si>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</si>
  <si>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</si>
  <si>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</si>
  <si>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</si>
  <si>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</si>
  <si>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</si>
  <si>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</si>
  <si>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</si>
  <si>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</si>
  <si>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</si>
  <si>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</si>
  <si>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</si>
  <si>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</si>
  <si>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</si>
  <si>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</si>
  <si>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</si>
  <si>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</si>
  <si>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</si>
  <si>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</si>
  <si>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</si>
  <si>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</si>
  <si>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</si>
  <si>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</si>
  <si>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</si>
  <si>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</si>
  <si>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</si>
  <si>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</si>
  <si>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</si>
  <si>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</si>
  <si>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</si>
  <si>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</si>
  <si>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</si>
  <si>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</si>
  <si>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</si>
  <si>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</si>
  <si>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</si>
  <si>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</si>
  <si>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</si>
  <si>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</si>
  <si>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</si>
  <si>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</si>
  <si>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</si>
  <si>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</si>
  <si>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</si>
  <si>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</si>
  <si>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</si>
  <si>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</si>
  <si>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</si>
  <si>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</si>
  <si>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</si>
  <si>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</si>
  <si>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</si>
  <si>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</si>
  <si>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</si>
  <si>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</si>
  <si>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</si>
  <si>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</si>
  <si>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</si>
  <si>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</si>
  <si>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</si>
  <si>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</si>
  <si>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</si>
  <si>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</si>
  <si>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</si>
  <si>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</si>
  <si>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</si>
  <si>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</si>
  <si>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</si>
  <si>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</si>
  <si>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</si>
  <si>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</si>
  <si>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</si>
  <si>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</si>
  <si>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</si>
  <si>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</si>
  <si>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</si>
  <si>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</si>
  <si>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</si>
  <si>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</si>
  <si>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</si>
  <si>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</si>
  <si>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</si>
  <si>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</si>
  <si>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</si>
  <si>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</si>
  <si>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</si>
  <si>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</si>
  <si>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</si>
  <si>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</si>
  <si>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</si>
  <si>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</si>
  <si>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</si>
  <si>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</si>
  <si>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</si>
  <si>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</si>
  <si>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</si>
  <si>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</si>
  <si>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</si>
  <si>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</si>
  <si>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</si>
  <si>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</si>
  <si>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</si>
  <si>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</si>
  <si>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</si>
  <si>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</si>
  <si>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</si>
  <si>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</si>
  <si>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</si>
  <si>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</si>
  <si>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</si>
  <si>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</si>
  <si>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</si>
  <si>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</si>
  <si>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</si>
  <si>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</si>
  <si>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</si>
  <si>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</si>
  <si>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</si>
  <si>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</si>
  <si>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</si>
  <si>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</si>
  <si>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</si>
  <si>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</si>
  <si>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</si>
  <si>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</si>
  <si>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</si>
  <si>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</si>
  <si>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</si>
  <si>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</si>
  <si>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</si>
  <si>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</si>
  <si>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</si>
  <si>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</si>
  <si>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</si>
  <si>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</si>
  <si>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</si>
  <si>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</si>
  <si>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</si>
  <si>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</si>
  <si>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</si>
  <si>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</si>
  <si>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</si>
  <si>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</si>
  <si>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</si>
  <si>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</si>
  <si>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</si>
  <si>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</si>
  <si>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</si>
  <si>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</si>
  <si>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</si>
  <si>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</si>
  <si>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</si>
  <si>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</si>
  <si>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</si>
  <si>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</si>
  <si>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</si>
  <si>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</si>
  <si>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</si>
  <si>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</si>
  <si>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</si>
  <si>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</si>
  <si>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</si>
  <si>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</si>
  <si>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</si>
  <si>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</si>
  <si>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</si>
  <si>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</si>
  <si>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</si>
  <si>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</si>
  <si>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</si>
  <si>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</si>
  <si>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</si>
  <si>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</si>
  <si>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</si>
  <si>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</si>
  <si>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</si>
  <si>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</si>
  <si>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</si>
  <si>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</si>
  <si>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</si>
  <si>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</si>
  <si>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</si>
  <si>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</si>
  <si>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</si>
  <si>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</si>
  <si>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</si>
  <si>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</si>
  <si>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</si>
  <si>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</si>
  <si>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</si>
  <si>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</si>
  <si>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</si>
  <si>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</si>
  <si>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</si>
  <si>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</si>
  <si>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</si>
  <si>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</si>
  <si>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</si>
  <si>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</si>
  <si>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</si>
  <si>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</si>
  <si>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</si>
  <si>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</si>
  <si>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</si>
  <si>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</si>
  <si>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</si>
  <si>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</si>
  <si>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</si>
  <si>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</si>
  <si>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</si>
  <si>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</si>
  <si>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</si>
  <si>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</si>
  <si>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</si>
  <si>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</si>
  <si>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</si>
  <si>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</si>
  <si>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</si>
  <si>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</si>
  <si>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</si>
  <si>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</si>
  <si>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</si>
  <si>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</si>
  <si>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</si>
  <si>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</si>
  <si>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</si>
  <si>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</si>
  <si>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</si>
  <si>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</si>
  <si>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</si>
  <si>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</si>
  <si>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</si>
  <si>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</si>
  <si>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</si>
  <si>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</si>
  <si>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</si>
  <si>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</si>
  <si>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</si>
  <si>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</si>
  <si>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</si>
  <si>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</si>
  <si>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</si>
  <si>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</si>
  <si>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</si>
  <si>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</si>
  <si>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</si>
  <si>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</si>
  <si>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</si>
  <si>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</si>
  <si>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</si>
  <si>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</si>
  <si>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</si>
  <si>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</si>
  <si>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</si>
  <si>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</si>
  <si>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</si>
  <si>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</si>
  <si>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</si>
  <si>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</si>
  <si>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</si>
  <si>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</si>
  <si>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</si>
  <si>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</si>
  <si>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</si>
  <si>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</si>
  <si>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</si>
  <si>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</si>
  <si>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</si>
  <si>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</si>
  <si>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</si>
  <si>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</si>
  <si>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</si>
  <si>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</si>
  <si>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</si>
  <si>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</si>
  <si>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</si>
  <si>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</si>
  <si>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</si>
  <si>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</si>
  <si>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</si>
  <si>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</si>
  <si>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</si>
  <si>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</si>
  <si>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</si>
  <si>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</si>
  <si>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</si>
  <si>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</si>
  <si>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</si>
  <si>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</si>
  <si>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</si>
  <si>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</si>
  <si>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</si>
  <si>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</si>
  <si>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</si>
  <si>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</si>
  <si>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</si>
  <si>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</si>
  <si>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</si>
  <si>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</si>
  <si>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</si>
  <si>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</si>
  <si>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</si>
  <si>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</si>
  <si>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</si>
  <si>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</si>
  <si>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</si>
  <si>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</si>
  <si>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</si>
  <si>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</si>
  <si>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</si>
  <si>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</si>
  <si>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</si>
  <si>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</si>
  <si>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</si>
  <si>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</si>
  <si>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</si>
  <si>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</si>
  <si>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</si>
  <si>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</si>
  <si>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</si>
  <si>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</si>
  <si>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</si>
  <si>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</si>
  <si>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</si>
  <si>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</si>
  <si>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</si>
  <si>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</si>
  <si>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</si>
  <si>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</si>
  <si>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</si>
  <si>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</si>
  <si>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</si>
  <si>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</si>
  <si>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</si>
  <si>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</si>
  <si>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</si>
  <si>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</si>
  <si>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</si>
  <si>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</si>
  <si>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</si>
  <si>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</si>
  <si>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</si>
  <si>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</si>
  <si>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</si>
  <si>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</si>
  <si>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</si>
  <si>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</si>
  <si>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</si>
  <si>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</si>
  <si>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</si>
  <si>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</si>
  <si>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</si>
  <si>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</si>
  <si>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</si>
  <si>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</si>
  <si>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</si>
  <si>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</si>
  <si>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</si>
  <si>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</si>
  <si>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</si>
  <si>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</si>
  <si>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</si>
  <si>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</si>
  <si>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</si>
  <si>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</si>
  <si>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</si>
  <si>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</si>
  <si>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</si>
  <si>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</si>
  <si>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</si>
  <si>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</si>
  <si>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</si>
  <si>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</si>
  <si>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</si>
  <si>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</si>
  <si>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</si>
  <si>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</si>
  <si>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</si>
  <si>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</si>
  <si>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</si>
  <si>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</si>
  <si>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</si>
  <si>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</si>
  <si>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</si>
  <si>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</si>
  <si>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</si>
  <si>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</si>
  <si>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</si>
  <si>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</si>
  <si>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</si>
  <si>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</si>
  <si>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</si>
  <si>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</si>
  <si>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</si>
  <si>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</si>
  <si>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</si>
  <si>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</si>
  <si>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</si>
  <si>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</si>
  <si>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</si>
  <si>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</si>
  <si>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</si>
  <si>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</si>
  <si>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</si>
  <si>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</si>
  <si>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</si>
  <si>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</si>
  <si>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</si>
  <si>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</si>
  <si>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</si>
  <si>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</si>
  <si>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</si>
  <si>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</si>
  <si>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</si>
  <si>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</si>
  <si>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</si>
  <si>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</si>
  <si>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</si>
  <si>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</si>
  <si>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</si>
  <si>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</si>
  <si>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</si>
  <si>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</si>
  <si>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</si>
  <si>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</si>
  <si>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</si>
  <si>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</si>
  <si>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</si>
  <si>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</si>
  <si>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</si>
  <si>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</si>
  <si>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</si>
  <si>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</si>
  <si>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</si>
  <si>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</si>
  <si>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</si>
  <si>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</si>
  <si>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</si>
  <si>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</si>
  <si>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</si>
  <si>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</si>
  <si>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</si>
  <si>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</si>
  <si>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</si>
  <si>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</si>
  <si>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</si>
  <si>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</si>
  <si>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</si>
  <si>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</si>
  <si>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</si>
  <si>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</si>
  <si>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</si>
  <si>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</si>
  <si>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</si>
  <si>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</si>
  <si>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</si>
  <si>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</si>
  <si>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</si>
  <si>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</si>
  <si>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</si>
  <si>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</si>
  <si>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</si>
  <si>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</si>
  <si>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</si>
  <si>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</si>
  <si>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</si>
  <si>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</si>
  <si>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</si>
  <si>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</si>
  <si>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</si>
  <si>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</si>
  <si>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</si>
  <si>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</si>
  <si>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</si>
  <si>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</si>
  <si>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</si>
  <si>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</si>
  <si>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</si>
  <si>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</si>
  <si>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</si>
  <si>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</si>
  <si>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</si>
  <si>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</si>
  <si>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</si>
  <si>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</si>
  <si>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</si>
  <si>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</si>
  <si>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</si>
  <si>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</si>
  <si>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</si>
  <si>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</si>
  <si>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</si>
  <si>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</si>
  <si>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</si>
  <si>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</si>
  <si>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</si>
  <si>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</si>
  <si>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</si>
  <si>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</si>
  <si>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</si>
  <si>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</si>
  <si>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</si>
  <si>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</si>
  <si>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</si>
  <si>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</si>
  <si>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</si>
  <si>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</si>
  <si>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</si>
  <si>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</si>
  <si>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</si>
  <si>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</si>
  <si>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</si>
  <si>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</si>
  <si>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</si>
  <si>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</si>
  <si>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</si>
  <si>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</si>
  <si>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</si>
  <si>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</si>
  <si>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</si>
  <si>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</si>
  <si>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</si>
  <si>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</si>
  <si>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</si>
  <si>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</si>
  <si>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</si>
  <si>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</si>
  <si>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</si>
  <si>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</si>
  <si>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</si>
  <si>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</si>
  <si>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</si>
  <si>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</si>
  <si>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</si>
  <si>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</si>
  <si>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</si>
  <si>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</si>
  <si>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</si>
  <si>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</si>
  <si>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</si>
  <si>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</si>
  <si>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</si>
  <si>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</si>
  <si>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</si>
  <si>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</si>
  <si>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</si>
  <si>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</si>
  <si>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</si>
  <si>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</si>
  <si>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</si>
  <si>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</si>
  <si>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</si>
  <si>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</si>
  <si>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</si>
  <si>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</si>
  <si>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</si>
  <si>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</si>
  <si>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</si>
  <si>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</si>
  <si>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</si>
  <si>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</si>
  <si>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</si>
  <si>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</si>
  <si>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</si>
  <si>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</si>
  <si>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</si>
  <si>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</si>
  <si>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</si>
  <si>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</si>
  <si>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</si>
  <si>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</si>
  <si>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</si>
  <si>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</si>
  <si>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</si>
  <si>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</si>
  <si>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</si>
  <si>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</si>
  <si>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</si>
  <si>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</si>
  <si>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</si>
  <si>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</si>
  <si>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</si>
  <si>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</si>
  <si>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</si>
  <si>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</si>
  <si>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</si>
  <si>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</si>
  <si>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</si>
  <si>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</si>
  <si>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</si>
  <si>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</si>
  <si>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</si>
  <si>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</si>
  <si>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</si>
  <si>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</si>
  <si>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</si>
  <si>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</si>
  <si>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</si>
  <si>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</si>
  <si>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</si>
  <si>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</si>
  <si>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</si>
  <si>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</si>
  <si>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</si>
  <si>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</si>
  <si>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</si>
  <si>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</si>
  <si>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</si>
  <si>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</si>
  <si>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</si>
  <si>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</si>
  <si>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</si>
  <si>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</si>
  <si>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</si>
  <si>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</si>
  <si>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</si>
  <si>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</si>
  <si>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</si>
  <si>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</si>
  <si>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</si>
  <si>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</si>
  <si>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</si>
  <si>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</si>
  <si>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</si>
  <si>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</si>
  <si>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</si>
  <si>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</si>
  <si>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</si>
  <si>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</si>
  <si>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</si>
  <si>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</si>
  <si>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</si>
  <si>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</si>
  <si>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</si>
  <si>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</si>
  <si>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</si>
  <si>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</si>
  <si>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</si>
  <si>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</si>
  <si>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</si>
  <si>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</si>
  <si>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</si>
  <si>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</si>
  <si>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</si>
  <si>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</si>
  <si>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</si>
  <si>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</si>
  <si>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</si>
  <si>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</si>
  <si>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</si>
  <si>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</si>
  <si>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</si>
  <si>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</si>
  <si>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</si>
  <si>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</si>
  <si>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</si>
  <si>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</si>
  <si>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</si>
  <si>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</si>
  <si>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</si>
  <si>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</si>
  <si>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</si>
  <si>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</si>
  <si>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</si>
  <si>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</si>
  <si>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</si>
  <si>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</si>
  <si>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</si>
  <si>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</si>
  <si>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</si>
  <si>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</si>
  <si>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</si>
  <si>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</si>
  <si>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</si>
  <si>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</si>
  <si>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</si>
  <si>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</si>
  <si>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</si>
  <si>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</si>
  <si>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</si>
  <si>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</si>
  <si>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</si>
  <si>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</si>
  <si>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</si>
  <si>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</si>
  <si>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</si>
  <si>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</si>
  <si>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</si>
  <si>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</si>
  <si>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</si>
  <si>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</si>
  <si>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</si>
  <si>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</si>
  <si>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</si>
  <si>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</si>
  <si>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</si>
  <si>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</si>
  <si>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</si>
  <si>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</si>
  <si>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</si>
  <si>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</si>
  <si>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</si>
  <si>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</si>
  <si>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</si>
  <si>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</si>
  <si>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</si>
  <si>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</si>
  <si>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</si>
  <si>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</si>
  <si>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</si>
  <si>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</si>
  <si>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</si>
  <si>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</si>
  <si>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</si>
  <si>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</si>
  <si>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</si>
  <si>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</si>
  <si>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</si>
  <si>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</si>
  <si>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</si>
  <si>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</si>
  <si>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</si>
  <si>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</si>
  <si>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</si>
  <si>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</si>
  <si>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</si>
  <si>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</si>
  <si>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</si>
  <si>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</si>
  <si>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</si>
  <si>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</si>
  <si>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</si>
  <si>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</si>
  <si>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</si>
  <si>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</si>
  <si>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</si>
  <si>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</si>
  <si>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</si>
  <si>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</si>
  <si>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</si>
  <si>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</si>
  <si>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</si>
  <si>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</si>
  <si>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</si>
  <si>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</si>
  <si>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</si>
  <si>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</si>
  <si>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</si>
  <si>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</si>
  <si>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</si>
  <si>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</si>
  <si>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</si>
  <si>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</si>
  <si>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</si>
  <si>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</si>
  <si>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</si>
  <si>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</si>
  <si>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</si>
  <si>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</si>
  <si>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</si>
  <si>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</si>
  <si>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</si>
  <si>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</si>
  <si>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</si>
  <si>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</si>
  <si>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</si>
  <si>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</si>
  <si>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</si>
  <si>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</si>
  <si>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</si>
  <si>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</si>
  <si>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</si>
  <si>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</si>
  <si>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</si>
  <si>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</si>
  <si>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</si>
  <si>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</si>
  <si>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</si>
  <si>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</si>
  <si>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</si>
  <si>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</si>
  <si>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</si>
  <si>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</si>
  <si>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</si>
  <si>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</si>
  <si>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</si>
  <si>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</si>
  <si>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</si>
  <si>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</si>
  <si>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</si>
  <si>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</si>
  <si>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</si>
  <si>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</si>
  <si>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</si>
  <si>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</si>
  <si>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</si>
  <si>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</si>
  <si>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</si>
  <si>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</si>
  <si>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</si>
  <si>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</si>
  <si>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</si>
  <si>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</si>
  <si>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</si>
  <si>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</si>
  <si>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</si>
  <si>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</si>
  <si>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</si>
  <si>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</si>
  <si>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</si>
  <si>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</si>
  <si>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</si>
  <si>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</si>
  <si>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</si>
  <si>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</si>
  <si>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</si>
  <si>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</si>
  <si>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</si>
  <si>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</si>
  <si>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</si>
  <si>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</si>
  <si>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</si>
  <si>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</si>
  <si>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</si>
  <si>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</si>
  <si>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</si>
  <si>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</si>
  <si>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</si>
  <si>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</si>
  <si>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</si>
  <si>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</si>
  <si>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</si>
  <si>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</si>
  <si>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</si>
  <si>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</si>
  <si>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</si>
  <si>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</si>
  <si>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</si>
  <si>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</si>
  <si>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</si>
  <si>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</si>
  <si>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</si>
  <si>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</si>
  <si>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</si>
  <si>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</si>
  <si>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</si>
  <si>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</si>
  <si>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</si>
  <si>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</si>
  <si>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</si>
  <si>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</si>
  <si>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</si>
  <si>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</si>
  <si>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</si>
  <si>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</si>
  <si>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</si>
  <si>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</si>
  <si>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</si>
  <si>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</si>
  <si>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</si>
  <si>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</si>
  <si>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</si>
  <si>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</si>
  <si>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</si>
  <si>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</si>
  <si>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</si>
  <si>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</si>
  <si>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</si>
  <si>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</si>
  <si>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</si>
  <si>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</si>
  <si>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</si>
  <si>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</si>
  <si>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</si>
  <si>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</si>
  <si>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</si>
  <si>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</si>
  <si>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</si>
  <si>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</si>
  <si>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</si>
  <si>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</si>
  <si>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</si>
  <si>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</si>
  <si>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</si>
  <si>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</si>
  <si>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</si>
  <si>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</si>
  <si>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</si>
  <si>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</si>
  <si>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</si>
  <si>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</si>
  <si>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</si>
  <si>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</si>
  <si>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</si>
  <si>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</si>
  <si>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</si>
  <si>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</si>
  <si>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</si>
  <si>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</si>
  <si>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</si>
  <si>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</si>
  <si>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</si>
  <si>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</si>
  <si>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</si>
  <si>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</si>
  <si>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</si>
  <si>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</si>
  <si>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</si>
  <si>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</si>
  <si>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</si>
  <si>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</si>
  <si>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</si>
  <si>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</si>
  <si>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</si>
  <si>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</si>
  <si>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</si>
  <si>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</si>
  <si>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</si>
  <si>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</si>
  <si>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</si>
  <si>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</si>
  <si>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</si>
  <si>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</si>
  <si>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</si>
  <si>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</si>
  <si>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</si>
  <si>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</si>
  <si>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</si>
  <si>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</si>
  <si>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</si>
  <si>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</si>
  <si>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</si>
  <si>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</si>
  <si>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</si>
  <si>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</si>
  <si>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</si>
  <si>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</si>
  <si>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</si>
  <si>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</si>
  <si>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</si>
  <si>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</si>
  <si>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</si>
  <si>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</si>
  <si>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</si>
  <si>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</si>
  <si>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</si>
  <si>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</si>
  <si>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</si>
  <si>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</si>
  <si>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</si>
  <si>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</si>
  <si>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</si>
  <si>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</si>
  <si>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</si>
  <si>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</si>
  <si>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</si>
  <si>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</si>
  <si>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</si>
  <si>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</si>
  <si>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</si>
  <si>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</si>
  <si>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</si>
  <si>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</si>
  <si>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</si>
  <si>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</si>
  <si>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</si>
  <si>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</si>
  <si>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</si>
  <si>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</si>
  <si>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</si>
  <si>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</si>
  <si>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</si>
  <si>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</si>
  <si>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</si>
  <si>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</si>
  <si>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</si>
  <si>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</si>
  <si>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</si>
  <si>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</si>
  <si>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</si>
  <si>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</si>
  <si>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</si>
  <si>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</si>
  <si>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</si>
  <si>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</si>
  <si>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</si>
  <si>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</si>
  <si>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</si>
  <si>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</si>
  <si>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</si>
  <si>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</si>
  <si>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</si>
  <si>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</si>
  <si>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</si>
  <si>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</si>
  <si>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</si>
  <si>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</si>
  <si>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</si>
  <si>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</si>
  <si>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</si>
  <si>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</si>
  <si>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</si>
  <si>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</si>
  <si>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</si>
  <si>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</si>
  <si>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</si>
  <si>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</si>
  <si>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</si>
  <si>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</si>
  <si>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</si>
  <si>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</si>
  <si>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</si>
  <si>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</si>
  <si>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</si>
  <si>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</si>
  <si>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</si>
  <si>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</si>
  <si>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</si>
  <si>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</si>
  <si>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</si>
  <si>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</si>
  <si>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</si>
  <si>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</si>
  <si>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</si>
  <si>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</si>
  <si>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</si>
  <si>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</si>
  <si>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</si>
  <si>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</si>
  <si>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</si>
  <si>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</si>
  <si>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</si>
  <si>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</si>
  <si>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</si>
  <si>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</si>
  <si>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</si>
  <si>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</si>
  <si>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</si>
  <si>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</si>
  <si>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</si>
  <si>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</si>
  <si>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</si>
  <si>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</si>
  <si>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</si>
  <si>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</si>
  <si>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</si>
  <si>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</si>
  <si>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</si>
  <si>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</si>
  <si>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</si>
  <si>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</si>
  <si>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</si>
  <si>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</si>
  <si>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</si>
  <si>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</si>
  <si>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</si>
  <si>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</si>
  <si>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</si>
  <si>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</si>
  <si>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</si>
  <si>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</si>
  <si>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</si>
  <si>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</si>
  <si>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</si>
  <si>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</si>
  <si>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</si>
  <si>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</si>
  <si>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</si>
  <si>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</si>
  <si>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</si>
  <si>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</si>
  <si>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</si>
  <si>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</si>
  <si>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</si>
  <si>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</si>
  <si>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</si>
  <si>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</si>
  <si>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</si>
  <si>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</si>
  <si>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</si>
  <si>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</si>
  <si>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</si>
  <si>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</si>
  <si>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</si>
  <si>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</si>
  <si>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</si>
  <si>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</si>
  <si>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</si>
  <si>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</si>
  <si>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</si>
  <si>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</si>
  <si>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</si>
  <si>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</si>
  <si>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</si>
  <si>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</si>
  <si>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</si>
  <si>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</si>
  <si>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</si>
  <si>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</si>
  <si>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</si>
  <si>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</si>
  <si>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</si>
  <si>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</si>
  <si>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</si>
  <si>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</si>
  <si>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</si>
  <si>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</si>
  <si>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</si>
  <si>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</si>
  <si>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</si>
  <si>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</si>
  <si>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</si>
  <si>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</si>
  <si>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</si>
  <si>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</si>
  <si>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</si>
  <si>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</si>
  <si>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</si>
  <si>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</si>
  <si>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</si>
  <si>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</si>
  <si>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</si>
  <si>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</si>
  <si>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</si>
  <si>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</si>
  <si>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</si>
  <si>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</si>
  <si>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</si>
  <si>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</si>
  <si>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</si>
  <si>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</si>
  <si>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</si>
  <si>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</si>
  <si>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</si>
  <si>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</si>
  <si>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</si>
  <si>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</si>
  <si>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</si>
  <si>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</si>
  <si>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</si>
  <si>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</si>
  <si>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</si>
  <si>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</si>
  <si>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</si>
  <si>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</si>
  <si>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</si>
  <si>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</si>
  <si>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</si>
  <si>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</si>
  <si>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</si>
  <si>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</si>
  <si>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</si>
  <si>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</si>
  <si>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</si>
  <si>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</si>
  <si>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</si>
  <si>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</si>
  <si>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</si>
  <si>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</si>
  <si>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</si>
  <si>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</si>
  <si>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</si>
  <si>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</si>
  <si>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</si>
  <si>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</si>
  <si>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</si>
  <si>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</si>
  <si>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</si>
  <si>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</si>
  <si>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</si>
  <si>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</si>
  <si>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</si>
  <si>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</si>
  <si>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</si>
  <si>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</si>
  <si>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</si>
  <si>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</si>
  <si>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</si>
  <si>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</si>
  <si>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</si>
  <si>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</si>
  <si>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</si>
  <si>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</si>
  <si>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</si>
  <si>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</si>
  <si>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</si>
  <si>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</si>
  <si>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</si>
  <si>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</si>
  <si>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</si>
  <si>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</si>
  <si>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</si>
  <si>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</si>
  <si>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</si>
  <si>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</si>
  <si>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</si>
  <si>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</si>
  <si>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</si>
  <si>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</si>
  <si>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</si>
  <si>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</si>
  <si>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</si>
  <si>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</si>
  <si>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</si>
  <si>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</si>
  <si>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</si>
  <si>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</si>
  <si>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</si>
  <si>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</si>
  <si>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</si>
  <si>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</si>
  <si>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</si>
  <si>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</si>
  <si>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</si>
  <si>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</si>
  <si>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</si>
  <si>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</si>
  <si>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</si>
  <si>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</si>
  <si>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</si>
  <si>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</si>
  <si>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</si>
  <si>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</si>
  <si>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</si>
  <si>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</si>
  <si>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</si>
  <si>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</si>
  <si>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</si>
  <si>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</si>
  <si>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</si>
  <si>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</si>
  <si>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</si>
  <si>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</si>
  <si>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</si>
  <si>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</si>
  <si>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</si>
  <si>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</si>
  <si>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</si>
  <si>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</si>
  <si>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</si>
  <si>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</si>
  <si>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</si>
  <si>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</si>
  <si>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</si>
  <si>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</si>
  <si>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</si>
  <si>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</si>
  <si>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</si>
  <si>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</si>
  <si>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</si>
  <si>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</si>
  <si>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</si>
  <si>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</si>
  <si>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</si>
  <si>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</si>
  <si>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</si>
  <si>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</si>
  <si>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</si>
  <si>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</si>
  <si>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</si>
  <si>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</si>
  <si>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</si>
  <si>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</si>
  <si>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</si>
  <si>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</si>
  <si>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</si>
  <si>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</si>
  <si>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</si>
  <si>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</si>
  <si>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</si>
  <si>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</si>
  <si>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</si>
  <si>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</si>
  <si>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</si>
  <si>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</si>
  <si>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</si>
  <si>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</si>
  <si>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</si>
  <si>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</si>
  <si>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</si>
  <si>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</si>
  <si>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</si>
  <si>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</si>
  <si>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</si>
  <si>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</si>
  <si>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</si>
  <si>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</si>
  <si>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</si>
  <si>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</si>
  <si>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</si>
  <si>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</si>
  <si>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</si>
  <si>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</si>
  <si>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</si>
  <si>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</si>
  <si>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</si>
  <si>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</si>
  <si>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</si>
  <si>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</si>
  <si>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</si>
  <si>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</si>
  <si>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</si>
  <si>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</si>
  <si>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</si>
  <si>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</si>
  <si>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</si>
  <si>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</si>
  <si>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</si>
  <si>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</si>
  <si>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</si>
  <si>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</si>
  <si>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</si>
  <si>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</si>
  <si>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</si>
  <si>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</si>
  <si>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</si>
  <si>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</si>
  <si>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</si>
  <si>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</si>
  <si>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</si>
  <si>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</si>
  <si>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</si>
  <si>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</si>
  <si>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</si>
  <si>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</si>
  <si>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</si>
  <si>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</si>
  <si>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</si>
  <si>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</si>
  <si>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</si>
  <si>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</si>
  <si>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</si>
  <si>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</si>
  <si>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</si>
  <si>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</si>
  <si>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</si>
  <si>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</si>
  <si>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</si>
  <si>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</si>
  <si>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</si>
  <si>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</si>
  <si>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</si>
  <si>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</si>
  <si>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</si>
  <si>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</si>
  <si>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</si>
  <si>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</si>
  <si>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</si>
  <si>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</si>
  <si>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</si>
  <si>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</si>
  <si>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</si>
  <si>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</si>
  <si>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</si>
  <si>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</si>
  <si>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</si>
  <si>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</si>
  <si>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</si>
  <si>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</si>
  <si>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</si>
  <si>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</si>
  <si>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</si>
  <si>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</si>
  <si>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</si>
  <si>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</si>
  <si>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</si>
  <si>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</si>
  <si>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</si>
  <si>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</si>
  <si>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</si>
  <si>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</si>
  <si>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</si>
  <si>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</si>
  <si>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</si>
  <si>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</si>
  <si>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</si>
  <si>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</si>
  <si>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</si>
  <si>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</si>
  <si>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</si>
  <si>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</si>
  <si>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</si>
  <si>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</si>
  <si>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</si>
  <si>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</si>
  <si>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</si>
  <si>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</si>
  <si>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</si>
  <si>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</si>
  <si>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</si>
  <si>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</si>
  <si>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</si>
  <si>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</si>
  <si>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</si>
  <si>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</si>
  <si>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</si>
  <si>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</si>
  <si>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</si>
  <si>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</si>
  <si>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</si>
  <si>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</si>
  <si>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</si>
  <si>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</si>
  <si>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</si>
  <si>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</si>
  <si>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</si>
  <si>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</si>
  <si>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</si>
  <si>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</si>
  <si>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</si>
  <si>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</si>
  <si>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</si>
  <si>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</si>
  <si>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</si>
  <si>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</si>
  <si>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</si>
  <si>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</si>
  <si>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</si>
  <si>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</si>
  <si>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</si>
  <si>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</si>
  <si>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</si>
  <si>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</si>
  <si>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</si>
  <si>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</si>
  <si>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</si>
  <si>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</si>
  <si>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</si>
  <si>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</si>
  <si>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</si>
  <si>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</si>
  <si>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</si>
  <si>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</si>
  <si>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</si>
  <si>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</si>
  <si>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</si>
  <si>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</si>
  <si>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</si>
  <si>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</si>
  <si>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</si>
  <si>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</si>
  <si>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</si>
  <si>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</si>
  <si>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</si>
  <si>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</si>
  <si>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</si>
  <si>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</si>
  <si>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</si>
  <si>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</si>
  <si>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</si>
  <si>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</si>
  <si>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</si>
  <si>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</si>
  <si>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</si>
  <si>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</si>
  <si>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</si>
  <si>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</si>
  <si>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</si>
  <si>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</si>
  <si>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</si>
  <si>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</si>
  <si>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</si>
  <si>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</si>
  <si>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</si>
  <si>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</si>
  <si>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</si>
  <si>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</si>
  <si>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</si>
  <si>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</si>
  <si>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</si>
  <si>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</si>
  <si>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</si>
  <si>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</si>
  <si>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</si>
  <si>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</si>
  <si>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</si>
  <si>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</si>
  <si>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</si>
  <si>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</si>
  <si>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</si>
  <si>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</si>
  <si>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</si>
  <si>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</si>
  <si>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</si>
  <si>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</si>
  <si>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</si>
  <si>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</si>
  <si>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</si>
  <si>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</si>
  <si>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</si>
  <si>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</si>
  <si>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</si>
  <si>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</si>
  <si>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</si>
  <si>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</si>
  <si>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</si>
  <si>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</si>
  <si>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</si>
  <si>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</si>
  <si>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</si>
  <si>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</si>
  <si>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</si>
  <si>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</si>
  <si>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</si>
  <si>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</si>
  <si>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</si>
  <si>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</si>
  <si>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</si>
  <si>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</si>
  <si>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</si>
  <si>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</si>
  <si>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</si>
  <si>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</si>
  <si>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</si>
  <si>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</si>
  <si>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</si>
  <si>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</si>
  <si>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</si>
  <si>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</si>
  <si>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</si>
  <si>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</si>
  <si>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</si>
  <si>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</si>
  <si>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</si>
  <si>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</si>
  <si>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</si>
  <si>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</si>
  <si>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</si>
  <si>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</si>
  <si>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</si>
  <si>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</si>
  <si>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</si>
  <si>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</si>
  <si>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</si>
  <si>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</si>
  <si>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</si>
  <si>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</si>
  <si>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</si>
  <si>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</si>
  <si>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</si>
  <si>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</si>
  <si>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</si>
  <si>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</si>
  <si>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</si>
  <si>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</si>
  <si>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</si>
  <si>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</si>
  <si>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</si>
  <si>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</si>
  <si>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</si>
  <si>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</si>
  <si>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</si>
  <si>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</si>
  <si>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</si>
  <si>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</si>
  <si>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</si>
  <si>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</si>
  <si>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</si>
  <si>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</si>
  <si>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</si>
  <si>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</si>
  <si>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</si>
  <si>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</si>
  <si>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</si>
  <si>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</si>
  <si>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</si>
  <si>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</si>
  <si>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</si>
  <si>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</si>
  <si>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</si>
  <si>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</si>
  <si>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</si>
  <si>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</si>
  <si>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</si>
  <si>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</si>
  <si>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</si>
  <si>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</si>
  <si>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</si>
  <si>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</si>
  <si>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</si>
  <si>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</si>
  <si>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</si>
  <si>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</si>
  <si>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</si>
  <si>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</si>
  <si>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</si>
  <si>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</si>
  <si>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</si>
  <si>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</si>
  <si>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</si>
  <si>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</si>
  <si>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</si>
  <si>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</si>
  <si>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</si>
  <si>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</si>
  <si>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</si>
  <si>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</si>
  <si>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</si>
  <si>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</si>
  <si>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</si>
  <si>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</si>
  <si>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</si>
  <si>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</si>
  <si>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</si>
  <si>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</si>
  <si>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</si>
  <si>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</si>
  <si>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</si>
  <si>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</si>
  <si>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</si>
  <si>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</si>
  <si>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</si>
  <si>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</si>
  <si>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</si>
  <si>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</si>
  <si>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</si>
  <si>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</si>
  <si>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</si>
  <si>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</si>
  <si>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</si>
  <si>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</si>
  <si>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</si>
  <si>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</si>
  <si>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</si>
  <si>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</si>
  <si>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</si>
  <si>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</si>
  <si>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</si>
  <si>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</si>
  <si>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</si>
  <si>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</si>
  <si>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</si>
  <si>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</si>
  <si>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</si>
  <si>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</si>
  <si>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</si>
  <si>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</si>
  <si>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</si>
  <si>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</si>
  <si>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</si>
  <si>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</si>
  <si>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</si>
  <si>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</si>
  <si>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</si>
  <si>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</si>
  <si>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</si>
  <si>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</si>
  <si>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</si>
  <si>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</si>
  <si>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</si>
  <si>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</si>
  <si>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</si>
  <si>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</si>
  <si>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</si>
  <si>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</si>
  <si>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</si>
  <si>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</si>
  <si>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</si>
  <si>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</si>
  <si>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</si>
  <si>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</si>
  <si>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</si>
  <si>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</si>
  <si>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</si>
  <si>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</si>
  <si>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</si>
  <si>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</si>
  <si>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</si>
  <si>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</si>
  <si>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</si>
  <si>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</si>
  <si>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</si>
  <si>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</si>
  <si>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</si>
  <si>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</si>
  <si>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</si>
  <si>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</si>
  <si>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</si>
  <si>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</si>
  <si>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</si>
  <si>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</si>
  <si>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</si>
  <si>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</si>
  <si>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</si>
  <si>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</si>
  <si>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</si>
  <si>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</si>
  <si>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</si>
  <si>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</si>
  <si>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</si>
  <si>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</si>
  <si>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</si>
  <si>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</si>
  <si>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</si>
  <si>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</si>
  <si>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</si>
  <si>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</si>
  <si>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</si>
  <si>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</si>
  <si>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</si>
  <si>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</si>
  <si>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</si>
  <si>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</si>
  <si>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</si>
  <si>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</si>
  <si>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</si>
  <si>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</si>
  <si>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</si>
  <si>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</si>
  <si>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</si>
  <si>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</si>
  <si>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</si>
  <si>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</si>
  <si>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</si>
  <si>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</si>
  <si>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</si>
  <si>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</si>
  <si>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</si>
  <si>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</si>
  <si>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</si>
  <si>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</si>
  <si>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</si>
  <si>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</si>
  <si>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</si>
  <si>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</si>
  <si>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</si>
  <si>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</si>
  <si>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</si>
  <si>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</si>
  <si>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</si>
  <si>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</si>
  <si>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</si>
  <si>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</si>
  <si>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</si>
  <si>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</si>
  <si>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</si>
  <si>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</si>
  <si>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</si>
  <si>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</si>
  <si>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</si>
  <si>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</si>
  <si>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</si>
  <si>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</si>
  <si>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</si>
  <si>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</si>
  <si>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</si>
  <si>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</si>
  <si>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</si>
  <si>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</si>
  <si>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</si>
  <si>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</si>
  <si>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</si>
  <si>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</si>
  <si>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</si>
  <si>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</si>
  <si>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</si>
  <si>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</si>
  <si>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</si>
  <si>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</si>
  <si>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</si>
  <si>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</si>
  <si>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</si>
  <si>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</si>
  <si>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</si>
  <si>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</si>
  <si>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</si>
  <si>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</si>
  <si>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</si>
  <si>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</si>
  <si>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</si>
  <si>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</si>
  <si>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</si>
  <si>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</si>
  <si>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</si>
  <si>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</si>
  <si>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</si>
  <si>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</si>
  <si>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</si>
  <si>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</si>
  <si>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</si>
  <si>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</si>
  <si>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</si>
  <si>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</si>
  <si>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</si>
  <si>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</si>
  <si>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</si>
  <si>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</si>
  <si>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</si>
  <si>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</si>
  <si>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</si>
  <si>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</si>
  <si>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</si>
  <si>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</si>
  <si>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</si>
  <si>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</si>
  <si>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</si>
  <si>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</si>
  <si>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</si>
  <si>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</si>
  <si>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</si>
  <si>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</si>
  <si>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</si>
  <si>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</si>
  <si>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</si>
  <si>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</si>
  <si>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</si>
  <si>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</si>
  <si>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</si>
  <si>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</si>
  <si>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</si>
  <si>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</si>
  <si>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</si>
  <si>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</si>
  <si>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</si>
  <si>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</si>
  <si>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</si>
  <si>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</si>
  <si>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</si>
  <si>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</si>
  <si>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</si>
  <si>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</si>
  <si>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</si>
  <si>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</si>
  <si>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</si>
  <si>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</si>
  <si>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</si>
  <si>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</si>
  <si>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</si>
  <si>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</si>
  <si>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</si>
  <si>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</si>
  <si>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</si>
  <si>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</si>
  <si>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</si>
  <si>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</si>
  <si>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</si>
  <si>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</si>
  <si>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</si>
  <si>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</si>
  <si>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</si>
  <si>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</si>
  <si>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</si>
  <si>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</si>
  <si>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</si>
  <si>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</si>
  <si>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</si>
  <si>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</si>
  <si>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</si>
  <si>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</si>
  <si>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</si>
  <si>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</si>
  <si>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</si>
  <si>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</si>
  <si>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</si>
  <si>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</si>
  <si>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</si>
  <si>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</si>
  <si>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</si>
  <si>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</si>
  <si>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</si>
  <si>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</si>
  <si>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</si>
  <si>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</si>
  <si>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</si>
  <si>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</si>
  <si>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</si>
  <si>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</si>
  <si>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</si>
  <si>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</si>
  <si>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</si>
  <si>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</si>
  <si>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</si>
  <si>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</si>
  <si>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</si>
  <si>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</si>
  <si>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</si>
  <si>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</si>
  <si>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</si>
  <si>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</si>
  <si>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</si>
  <si>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</si>
  <si>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</si>
  <si>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</si>
  <si>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</si>
  <si>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</si>
  <si>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</si>
  <si>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</si>
  <si>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</si>
  <si>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</si>
  <si>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</si>
  <si>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</si>
  <si>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</si>
  <si>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</si>
  <si>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</si>
  <si>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</si>
  <si>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</si>
  <si>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</si>
  <si>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</si>
  <si>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</si>
  <si>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</si>
  <si>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</si>
  <si>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</si>
  <si>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</si>
  <si>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</si>
  <si>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</si>
  <si>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</si>
  <si>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</si>
  <si>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</si>
  <si>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</si>
  <si>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</si>
  <si>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</si>
  <si>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</si>
  <si>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</si>
  <si>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</si>
  <si>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</si>
  <si>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</si>
  <si>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</si>
  <si>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</si>
  <si>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</si>
  <si>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</si>
  <si>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</si>
  <si>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</si>
  <si>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</si>
  <si>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</si>
  <si>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</si>
  <si>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</si>
  <si>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</si>
  <si>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</si>
  <si>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</si>
  <si>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</si>
  <si>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</si>
  <si>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</si>
  <si>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</si>
  <si>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</si>
  <si>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</si>
  <si>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</si>
  <si>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</si>
  <si>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</si>
  <si>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</si>
  <si>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</si>
  <si>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</si>
  <si>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</si>
  <si>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</si>
  <si>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</si>
  <si>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</si>
  <si>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</si>
  <si>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</si>
  <si>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</si>
  <si>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</si>
  <si>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</si>
  <si>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</si>
  <si>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</si>
  <si>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</si>
  <si>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</si>
  <si>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</si>
  <si>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</si>
  <si>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</si>
  <si>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</si>
  <si>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</si>
  <si>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</si>
  <si>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</si>
  <si>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</si>
  <si>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</si>
  <si>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</si>
  <si>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</si>
  <si>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</si>
  <si>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</si>
  <si>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</si>
  <si>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</si>
  <si>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</si>
  <si>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</si>
  <si>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</si>
  <si>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</si>
  <si>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</si>
  <si>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</si>
  <si>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</si>
  <si>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</si>
  <si>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</si>
  <si>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</si>
  <si>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</si>
  <si>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</si>
  <si>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</si>
  <si>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</si>
  <si>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</si>
  <si>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</si>
  <si>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</si>
  <si>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</si>
  <si>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</si>
  <si>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</si>
  <si>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</si>
  <si>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</si>
  <si>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</si>
  <si>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</si>
  <si>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</si>
  <si>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</si>
  <si>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</si>
  <si>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</si>
  <si>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</si>
  <si>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</si>
  <si>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</si>
  <si>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</si>
  <si>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</si>
  <si>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</si>
  <si>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</si>
  <si>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</si>
  <si>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</si>
  <si>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</si>
  <si>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</si>
  <si>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</si>
  <si>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</si>
  <si>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</si>
  <si>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</si>
  <si>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</si>
  <si>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</si>
  <si>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</si>
  <si>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</si>
  <si>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</si>
  <si>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</si>
  <si>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</si>
  <si>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</si>
  <si>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</si>
  <si>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</si>
  <si>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</si>
  <si>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</si>
  <si>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</si>
  <si>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</si>
  <si>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</si>
  <si>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</si>
  <si>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</si>
  <si>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</si>
  <si>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</si>
  <si>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</si>
  <si>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</si>
  <si>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</si>
  <si>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</si>
  <si>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</si>
  <si>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</si>
  <si>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</si>
  <si>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</si>
  <si>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</si>
  <si>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</si>
  <si>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</si>
  <si>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</si>
  <si>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</si>
  <si>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</si>
  <si>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</si>
  <si>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</si>
  <si>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</si>
  <si>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</si>
  <si>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</si>
  <si>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</si>
  <si>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</si>
  <si>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</si>
  <si>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</si>
  <si>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</si>
  <si>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</si>
  <si>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</si>
  <si>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</si>
  <si>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</si>
  <si>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</si>
  <si>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</si>
  <si>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</si>
  <si>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</si>
  <si>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</si>
  <si>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</si>
  <si>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</si>
  <si>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</si>
  <si>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</si>
  <si>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</si>
  <si>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</si>
  <si>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</si>
  <si>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</si>
  <si>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</si>
  <si>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</si>
  <si>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</si>
  <si>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</si>
  <si>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</si>
  <si>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</si>
  <si>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</si>
  <si>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</si>
  <si>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</si>
  <si>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</si>
  <si>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</si>
  <si>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</si>
  <si>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</si>
  <si>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</si>
  <si>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</si>
  <si>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</si>
  <si>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</si>
  <si>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</si>
  <si>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</si>
  <si>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</si>
  <si>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</si>
  <si>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</si>
  <si>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</si>
  <si>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</si>
  <si>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</si>
  <si>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</si>
  <si>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</si>
  <si>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</si>
  <si>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</si>
  <si>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</si>
  <si>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</si>
  <si>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</si>
  <si>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</si>
  <si>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</si>
  <si>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</si>
  <si>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</si>
  <si>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</si>
  <si>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</si>
  <si>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</si>
  <si>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</si>
  <si>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</si>
  <si>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</si>
  <si>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</si>
  <si>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</si>
  <si>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</si>
  <si>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</si>
  <si>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</si>
  <si>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</si>
  <si>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</si>
  <si>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</si>
  <si>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</si>
  <si>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</si>
  <si>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</si>
  <si>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</si>
  <si>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</si>
  <si>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</si>
  <si>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</si>
  <si>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</si>
  <si>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</si>
  <si>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</si>
  <si>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</si>
  <si>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</si>
  <si>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</si>
  <si>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</si>
  <si>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</si>
  <si>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</si>
  <si>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</si>
  <si>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</si>
  <si>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</si>
  <si>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</si>
  <si>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</si>
  <si>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</si>
  <si>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</si>
  <si>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</si>
  <si>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</si>
  <si>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</si>
  <si>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</si>
  <si>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</si>
  <si>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</si>
  <si>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</si>
  <si>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</si>
  <si>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</si>
  <si>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</si>
  <si>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</si>
  <si>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</si>
  <si>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</si>
  <si>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</si>
  <si>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</si>
  <si>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</si>
  <si>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</si>
  <si>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</si>
  <si>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</si>
  <si>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</si>
  <si>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</si>
  <si>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</si>
  <si>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</si>
  <si>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</si>
  <si>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</si>
  <si>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</si>
  <si>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</si>
  <si>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</si>
  <si>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</si>
  <si>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</si>
  <si>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</si>
  <si>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</si>
  <si>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</si>
  <si>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</si>
  <si>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</si>
  <si>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</si>
  <si>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</si>
  <si>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</si>
  <si>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</si>
  <si>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</si>
  <si>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</si>
  <si>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</si>
  <si>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</si>
  <si>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</si>
  <si>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</si>
  <si>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</si>
  <si>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</si>
  <si>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</si>
  <si>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</si>
  <si>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</si>
  <si>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</si>
  <si>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</si>
  <si>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</si>
  <si>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</si>
  <si>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</si>
  <si>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</si>
  <si>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</si>
  <si>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</si>
  <si>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</si>
  <si>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</si>
  <si>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</si>
  <si>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</si>
  <si>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</si>
  <si>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</si>
  <si>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</si>
  <si>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</si>
  <si>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</si>
  <si>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</si>
  <si>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</si>
  <si>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</si>
  <si>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</si>
  <si>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</si>
  <si>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</si>
  <si>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</si>
  <si>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</si>
  <si>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</si>
  <si>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</si>
  <si>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</si>
  <si>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</si>
  <si>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</si>
  <si>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</si>
  <si>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</si>
  <si>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</si>
  <si>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</si>
  <si>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</si>
  <si>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</si>
  <si>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</si>
  <si>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</si>
  <si>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</si>
  <si>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</si>
  <si>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</si>
  <si>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</si>
  <si>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</si>
  <si>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</si>
  <si>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</si>
  <si>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</si>
  <si>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</si>
  <si>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</si>
  <si>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</si>
  <si>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</si>
  <si>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</si>
  <si>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</si>
  <si>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</si>
  <si>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</si>
  <si>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</si>
  <si>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</si>
  <si>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</si>
  <si>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</si>
  <si>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</si>
  <si>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</si>
  <si>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</si>
  <si>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</si>
  <si>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</si>
  <si>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</si>
  <si>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</si>
  <si>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</si>
  <si>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</si>
  <si>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</si>
  <si>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</si>
  <si>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</si>
  <si>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</si>
  <si>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</si>
  <si>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</si>
  <si>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</si>
  <si>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</si>
  <si>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Vantage Development, LLC</t>
  </si>
  <si>
    <t>Jordan Wilson</t>
  </si>
  <si>
    <t>jwilson@thevantagegroup.biz</t>
  </si>
  <si>
    <t>City Limits</t>
  </si>
  <si>
    <t>TBD - Synovus</t>
  </si>
  <si>
    <t>TBD - Sugar Creek (incl'd 1% Fed.)</t>
  </si>
  <si>
    <t>Electric Heat Pump</t>
  </si>
  <si>
    <t>DCA North Region</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</si>
  <si>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</si>
  <si>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HUD</t>
  </si>
  <si>
    <t>N/a</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</si>
  <si>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 is blank as there is no ground lease in place.</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</si>
  <si>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t>
  </si>
  <si>
    <t>John Wall and Associates</t>
  </si>
  <si>
    <t>An appraisal is not required as there is not an identity of interest between the buyer and seller of the property; therefore, an appraisal has not been commisioned at this time.</t>
  </si>
  <si>
    <t>United Consulting</t>
  </si>
  <si>
    <t xml:space="preserve">No identity of interest exists between the Seller and Purchaser. The entity with site control, via an assignment of the purchase option, is the applicant. A copy of the Option agreement along with the assignment of the option has been included in the application. </t>
  </si>
  <si>
    <t>Georgia Power</t>
  </si>
  <si>
    <t xml:space="preserve">A letter stating that Georgia Power has the ability and capacity to serve the development for electricity has been included in the application. Gas will not be used at the property thus an availbility letter was not obtained. </t>
  </si>
  <si>
    <t>Building</t>
  </si>
  <si>
    <t>Covered Porch</t>
  </si>
  <si>
    <t>On-site laundry</t>
  </si>
  <si>
    <t>This is a New Construction project; therefore, this section for Rehabilitation does not apply.</t>
  </si>
  <si>
    <t xml:space="preserve">The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</si>
  <si>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Agree</t>
  </si>
  <si>
    <t>A draft scoring sheet evidencing the expected score has been included within the application folders.</t>
  </si>
  <si>
    <t>The project will meet or exceed all Fair Housing accessibility requirements as set forth.  In addition, E&amp;A Services or an alternate approved qualified consultant(s) will be used throughout the entire project from start through final inspection, per DCA requirements.</t>
  </si>
  <si>
    <t>Yes - see Comment</t>
  </si>
  <si>
    <t>The proposed development is not applying for credit under the preservation set-aside.</t>
  </si>
  <si>
    <t>The proposed site is currently vacant; therefore, relocation will not be necessary.</t>
  </si>
  <si>
    <t xml:space="preserve">If selected the applicant agrees to adhere to the AFFH Marketing plan that meets all of the above criteria and strategies.  </t>
  </si>
  <si>
    <t>Funding of this development will not result in a waste of DCA resources. Additionally, it should be noted that none of the Project Team members have made conditional promises or financial commitments to the Local Government in order to obtain support.</t>
  </si>
  <si>
    <t xml:space="preserve">The applicant is not claiming points for revitalization and does not have a third party capital investment. </t>
  </si>
  <si>
    <t>The applicant is not claiming point in this section.</t>
  </si>
  <si>
    <t>Site Census Tract</t>
  </si>
  <si>
    <t>The applicant is not claiming points in this category.</t>
  </si>
  <si>
    <t>This application is for the RURAL pool thus we do not qualify for points in this category.</t>
  </si>
  <si>
    <t xml:space="preserve">The applicants certifies to engage a QB in the development and/or operation of the property in amounts equal to or greater than 5% of the total construction hard cost. </t>
  </si>
  <si>
    <t xml:space="preserve">The applicant certifies that we will partner with a CORES certified entity to accept resident services at the development. </t>
  </si>
  <si>
    <t>The applicant has not received a loan that will qualify as "favorable financing" nor is a ground lease in place.</t>
  </si>
  <si>
    <t>The applicant agrees to accept DCA-administered PBRA at the proposed development for not more than 20% of the overall units, if funding is available. Our project team has extensive experience with DCA 811 and have excellent prior performance with the program.</t>
  </si>
  <si>
    <t xml:space="preserve">The applicant is not claiming points in this category. </t>
  </si>
  <si>
    <t>N/A - this is a 9% application.</t>
  </si>
  <si>
    <t xml:space="preserve">N/A </t>
  </si>
  <si>
    <t xml:space="preserve">The applicant has made all of the scoring comments we feel as necessary to explain our self-score. All backup documentation for scoring justifications has been included within the appropriate folders. </t>
  </si>
  <si>
    <t xml:space="preserve">This application is for 9% credits and not requesting funding under the preservation set-aside; therefore, no information was listed above. </t>
  </si>
  <si>
    <t>President of GP</t>
  </si>
  <si>
    <t>9% Credit Competitive Round only</t>
  </si>
  <si>
    <t>NAHPA, Inc. (Nat'l Aff Hsg Pres Associates, Inc.)</t>
  </si>
  <si>
    <t>Mark E. English</t>
  </si>
  <si>
    <t>President of General Partner</t>
  </si>
  <si>
    <t>mark@nahpa.org</t>
  </si>
  <si>
    <t>Development Director for Consultant</t>
  </si>
  <si>
    <t>The Bridges at Lincom</t>
  </si>
  <si>
    <t>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</si>
  <si>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We have included a construction interest rate chart that justifies the amount used in our sources of funds. </t>
  </si>
  <si>
    <t>Row House/TH</t>
  </si>
  <si>
    <t>The proposal is for 54 units in Hartwell, Hart County. The development will target families.</t>
  </si>
  <si>
    <t>The managing agent will provide on-site social/recreational programs and on-site enrichment classes on a monthly basis.  All activities to be overseen by the property manager. The applicant agrees to provide the minimum 2 services as required by the 2023 QAP.</t>
  </si>
  <si>
    <t>The Bridges at Lincom, LP</t>
  </si>
  <si>
    <t>City of Hartwell</t>
  </si>
  <si>
    <t>Per a letter obtained from the City of Hartwell, both water and sewer are available and in sufficient excess capacity to serve the proposed development.</t>
  </si>
  <si>
    <t>The applicant agrees to provide all of the required amenities and will also provide two additional amenities. As evidenced on the site plan, the development will feature a playground and computer center.</t>
  </si>
  <si>
    <t>During the pre-application determination the Certifying GP and Developer were deemed "Qualified". There have not been any changes to the project team since the pre-application submission. We have included a copy of the DCA letter stating that 2023PA-008 The Bridges at Lincom is deemed qualified.</t>
  </si>
  <si>
    <t>National Affordable Housing Preservation Associates, Inc.</t>
  </si>
  <si>
    <t>www.nahpa.org</t>
  </si>
  <si>
    <t xml:space="preserve">The Entity listed above is a nonprofit corporation with no stock (shareholders) but is governed by a Board of Directors. NAHPA 2023 GA, Inc. is the sole General Partner of The Bridges at Lincom, LP.  NAHPA 2023 GA, Inc. is wholly owned by National Affordable Housing Preservation Associates, Inc. a 501(c)3 nonprofit. A nonprofit opinion letter and the development agreement and with all exhibits have been included. </t>
  </si>
  <si>
    <t>A non-profit legal opinion has been included within the application backup documentation.</t>
  </si>
  <si>
    <t>2023PA-008</t>
  </si>
  <si>
    <t>Hartwell Elementary School</t>
  </si>
  <si>
    <t>Hart County Middle School</t>
  </si>
  <si>
    <t>Hart County High School</t>
  </si>
  <si>
    <t xml:space="preserve">Hart County Middle School qualifies for points under Section C and it serves grades 06, 07, 08 therefore the applicant qualifies for 1 point in this category. Please note that Hart County Board of Education does not have a district map therefore we obtained a letter to verify the schools applicable to our proposed development site. </t>
  </si>
  <si>
    <t>TBD - United Bank</t>
  </si>
  <si>
    <t>Amortizing</t>
  </si>
  <si>
    <t>DDA/QCT</t>
  </si>
  <si>
    <t>Other (training/dues)</t>
  </si>
  <si>
    <t xml:space="preserve">Per the market study, the location is well suited to the development. The site is between Walmart and Ingles; Dollar General is across the highway. The population and household growth in the market area is positive. The market area will grow by 136 households from 2022 to 2025. The capture rates for the development are reasonable. The overall LIHTC capture rate is 28.7%.The overall vacancy rate among apartments surveyed in the PMA is 0.0%. The market analyst determined that the development, as proposed, should be successful. </t>
  </si>
  <si>
    <t xml:space="preserve">The site connects to the currently existing Oakview Trail. Pictures of Oakview Trail have been provided within our application folders. </t>
  </si>
  <si>
    <t xml:space="preserve">The site is currently zoned B-II which allows for townhome developments. Per the letter obtained from the City of Hartwell, the site could actually accommodate 113 townhomes but we are only proposing 54 in this initial phase. </t>
  </si>
  <si>
    <t xml:space="preserve">The applicant agrees to adhere to the DCA design minimums as listed above. </t>
  </si>
  <si>
    <t xml:space="preserve">Per the desirable certification submitted within our backup folders, the site actually qualifies for 26 points but given DCA's QAP for 2023 we limited the score to 20 points. Please note that there are no undesirable activities near the proposed site. </t>
  </si>
  <si>
    <t xml:space="preserve">Hart County Public Transit information can be found at: http://hartcountyga.gov/publictransit.html. The call-and-ride service provides reliable and low-cost transportation to all citizens of Hart County. </t>
  </si>
  <si>
    <t>At or Below 60th Percentile</t>
  </si>
  <si>
    <t>Above 60th Percentile</t>
  </si>
  <si>
    <t xml:space="preserve">Using 2020 or 2021 Local Health and Economic indicators provides a points value of 2 points. The site census tract has a 1.7% below poverty line allowing the applicant to claim 5 points in category A. </t>
  </si>
  <si>
    <t xml:space="preserve">This development will be the first phase of a phase development therefore we are not claiming points in this category at this time. A second phase on adjoining property will be applied for in the future. </t>
  </si>
  <si>
    <t xml:space="preserve">The most recently funded application in the 9% competitive round was funded in 2017 allowing the application to elect 3 points in this scoring category. </t>
  </si>
  <si>
    <t xml:space="preserve">The proposed development has received a letter of support from the Hartwell GICH team along with a letter from the local municipality acknowledging the issuance of the GICH support letter. </t>
  </si>
  <si>
    <t>NAHPA Development, LLC</t>
  </si>
  <si>
    <t xml:space="preserve">Please note that the asset management fee for the federal investor is $4,050 and escalates at 3%, the state investor requires an asset management fee of 1/2 of the Federal investor.
Also, the deferred developer fee of $915.00 pays off in the first year. </t>
  </si>
  <si>
    <t xml:space="preserve">Per the Environmental Phase I report included within the backup documentation folders, a wetland was observed northeast of the Project Site, this area did NOT encroach onto the Project Site. No streams were identified on the site. United Consulting performed a noise assessment for the Project Site based on the location of the proposed structures and outdoor amenity area, an "acceptable" noise level, as defined by HUD, was calculated. No structures are on the Project Site therefore, radon and asbestos testing was not warranted. Based on the entirety of the Phase I Environmental Site Assessment, no on-site or off-site RECs were identified. </t>
  </si>
  <si>
    <t xml:space="preserve">All sources and uses are verifiable. Commitments for the above listed financing are located in Tab 01: Feasibility. Please note that there will be no shortfall of funding during construction.
Interest Rate: 30-day term SOFR plus 275bps. For application purposes we have assumed an 8.25% rate on the construction loan at this time. The perm loan will have a rate of 8.25%.  Additionally, we have included a construction interst rate chart that justifies the construction loan interest amount used in our sources of funds.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</si>
</sst>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2">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The Bridges at Lincom</v>
      </c>
    </row>
    <row r="3" spans="1:6" ht="15" customHeight="1">
      <c r="A3" s="666" t="str">
        <f>CONCATENATE('Part I-Project Identification'!F26,", ", 'Part I-Project Identification'!J26," County")</f>
        <v>Hartwell, Hart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K175" sqref="K175:L175"/>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The Bridges at Lincom, Hartwell, Hart County</v>
      </c>
      <c r="B2" s="3661"/>
      <c r="C2" s="3661"/>
      <c r="D2" s="3661"/>
      <c r="E2" s="3661"/>
      <c r="F2" s="3661"/>
      <c r="G2" s="3661"/>
      <c r="H2" s="3661"/>
      <c r="I2" s="3661"/>
      <c r="J2" s="3661"/>
      <c r="K2" s="3661"/>
      <c r="L2" s="3661"/>
      <c r="M2" s="3661"/>
      <c r="N2" s="3661"/>
      <c r="O2" s="3661"/>
      <c r="P2" s="3661"/>
      <c r="Q2" s="3662"/>
      <c r="T2" s="1427" t="str">
        <f>A2</f>
        <v>PART FOUR - PROJECTED REVENUES &amp; EXPENSES  -  2023-0 The Bridges at Lincom, Hartwell, Hart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65" t="str">
        <f>'Part I-Project Identification'!$O$28</f>
        <v>Hart Co.</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3045</v>
      </c>
      <c r="MG4" s="3554" t="s">
        <v>3046</v>
      </c>
      <c r="MH4" s="3554" t="s">
        <v>3047</v>
      </c>
      <c r="MI4" s="3554" t="s">
        <v>3048</v>
      </c>
      <c r="MJ4" s="355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3203</v>
      </c>
      <c r="R5" s="830"/>
      <c r="S5" s="337"/>
      <c r="T5" s="337"/>
      <c r="U5" s="337"/>
      <c r="W5" s="338"/>
      <c r="X5" s="3554" t="s">
        <v>3681</v>
      </c>
      <c r="Y5" s="3554" t="s">
        <v>3682</v>
      </c>
      <c r="Z5" s="3554" t="s">
        <v>3683</v>
      </c>
      <c r="AA5" s="3554" t="s">
        <v>3684</v>
      </c>
      <c r="AB5" s="3554" t="s">
        <v>3685</v>
      </c>
      <c r="AC5" s="3554" t="s">
        <v>3686</v>
      </c>
      <c r="AD5" s="3554" t="s">
        <v>3687</v>
      </c>
      <c r="AE5" s="3554" t="s">
        <v>3688</v>
      </c>
      <c r="AF5" s="3554" t="s">
        <v>3689</v>
      </c>
      <c r="AG5" s="3554" t="s">
        <v>3690</v>
      </c>
      <c r="AH5" s="3554" t="s">
        <v>861</v>
      </c>
      <c r="AI5" s="3554" t="s">
        <v>705</v>
      </c>
      <c r="AJ5" s="3554" t="s">
        <v>706</v>
      </c>
      <c r="AK5" s="3554" t="s">
        <v>707</v>
      </c>
      <c r="AL5" s="3554" t="s">
        <v>708</v>
      </c>
      <c r="AM5" s="3554" t="s">
        <v>862</v>
      </c>
      <c r="AN5" s="3554" t="s">
        <v>2131</v>
      </c>
      <c r="AO5" s="3554" t="s">
        <v>2132</v>
      </c>
      <c r="AP5" s="3554" t="s">
        <v>2133</v>
      </c>
      <c r="AQ5" s="3554" t="s">
        <v>2134</v>
      </c>
      <c r="AR5" s="3554" t="s">
        <v>3692</v>
      </c>
      <c r="AS5" s="3554" t="s">
        <v>3693</v>
      </c>
      <c r="AT5" s="3554" t="s">
        <v>3694</v>
      </c>
      <c r="AU5" s="3554" t="s">
        <v>3695</v>
      </c>
      <c r="AV5" s="3554" t="s">
        <v>3691</v>
      </c>
      <c r="AW5" s="3554" t="s">
        <v>863</v>
      </c>
      <c r="AX5" s="3554" t="s">
        <v>2135</v>
      </c>
      <c r="AY5" s="3554" t="s">
        <v>2136</v>
      </c>
      <c r="AZ5" s="3554" t="s">
        <v>2137</v>
      </c>
      <c r="BA5" s="3554" t="s">
        <v>2138</v>
      </c>
      <c r="BB5" s="3554" t="s">
        <v>3696</v>
      </c>
      <c r="BC5" s="3554" t="s">
        <v>3697</v>
      </c>
      <c r="BD5" s="3554" t="s">
        <v>3698</v>
      </c>
      <c r="BE5" s="3554" t="s">
        <v>3699</v>
      </c>
      <c r="BF5" s="3554" t="s">
        <v>3700</v>
      </c>
      <c r="BG5" s="3554" t="s">
        <v>123</v>
      </c>
      <c r="BH5" s="3554" t="s">
        <v>2139</v>
      </c>
      <c r="BI5" s="3554" t="s">
        <v>2140</v>
      </c>
      <c r="BJ5" s="3554" t="s">
        <v>2141</v>
      </c>
      <c r="BK5" s="3554" t="s">
        <v>1080</v>
      </c>
      <c r="BL5" s="3554" t="s">
        <v>3701</v>
      </c>
      <c r="BM5" s="3554" t="s">
        <v>3702</v>
      </c>
      <c r="BN5" s="3554" t="s">
        <v>3703</v>
      </c>
      <c r="BO5" s="3554" t="s">
        <v>3704</v>
      </c>
      <c r="BP5" s="3554" t="s">
        <v>3705</v>
      </c>
      <c r="BQ5" s="3554" t="s">
        <v>517</v>
      </c>
      <c r="BR5" s="3554" t="s">
        <v>518</v>
      </c>
      <c r="BS5" s="3554" t="s">
        <v>535</v>
      </c>
      <c r="BT5" s="3554" t="s">
        <v>536</v>
      </c>
      <c r="BU5" s="3554" t="s">
        <v>537</v>
      </c>
      <c r="BV5" s="3554" t="s">
        <v>3706</v>
      </c>
      <c r="BW5" s="3554" t="s">
        <v>3707</v>
      </c>
      <c r="BX5" s="3554" t="s">
        <v>3708</v>
      </c>
      <c r="BY5" s="3554" t="s">
        <v>3709</v>
      </c>
      <c r="BZ5" s="3554" t="s">
        <v>3710</v>
      </c>
      <c r="CA5" s="3554" t="s">
        <v>538</v>
      </c>
      <c r="CB5" s="3554" t="s">
        <v>539</v>
      </c>
      <c r="CC5" s="3554" t="s">
        <v>540</v>
      </c>
      <c r="CD5" s="3554" t="s">
        <v>541</v>
      </c>
      <c r="CE5" s="3554" t="s">
        <v>542</v>
      </c>
      <c r="CF5" s="3554" t="s">
        <v>543</v>
      </c>
      <c r="CG5" s="3554" t="s">
        <v>544</v>
      </c>
      <c r="CH5" s="3554" t="s">
        <v>872</v>
      </c>
      <c r="CI5" s="3554" t="s">
        <v>873</v>
      </c>
      <c r="CJ5" s="3554" t="s">
        <v>874</v>
      </c>
      <c r="CK5" s="3554" t="s">
        <v>3716</v>
      </c>
      <c r="CL5" s="3554" t="s">
        <v>3717</v>
      </c>
      <c r="CM5" s="3554" t="s">
        <v>3718</v>
      </c>
      <c r="CN5" s="3554" t="s">
        <v>3719</v>
      </c>
      <c r="CO5" s="3554" t="s">
        <v>3720</v>
      </c>
      <c r="CP5" s="3554" t="s">
        <v>3711</v>
      </c>
      <c r="CQ5" s="3554" t="s">
        <v>3712</v>
      </c>
      <c r="CR5" s="3554" t="s">
        <v>3713</v>
      </c>
      <c r="CS5" s="3554" t="s">
        <v>3714</v>
      </c>
      <c r="CT5" s="3554" t="s">
        <v>3715</v>
      </c>
      <c r="CU5" s="3554" t="s">
        <v>3721</v>
      </c>
      <c r="CV5" s="3554" t="s">
        <v>3722</v>
      </c>
      <c r="CW5" s="3554" t="s">
        <v>3723</v>
      </c>
      <c r="CX5" s="3554" t="s">
        <v>3724</v>
      </c>
      <c r="CY5" s="3554" t="s">
        <v>3725</v>
      </c>
      <c r="CZ5" s="3554" t="s">
        <v>466</v>
      </c>
      <c r="DA5" s="3554" t="s">
        <v>467</v>
      </c>
      <c r="DB5" s="3554" t="s">
        <v>468</v>
      </c>
      <c r="DC5" s="3554" t="s">
        <v>469</v>
      </c>
      <c r="DD5" s="3554" t="s">
        <v>470</v>
      </c>
      <c r="DE5" s="3554" t="s">
        <v>3726</v>
      </c>
      <c r="DF5" s="3554" t="s">
        <v>3727</v>
      </c>
      <c r="DG5" s="3554" t="s">
        <v>3728</v>
      </c>
      <c r="DH5" s="3554" t="s">
        <v>3729</v>
      </c>
      <c r="DI5" s="3554" t="s">
        <v>3730</v>
      </c>
      <c r="DJ5" s="3554" t="s">
        <v>822</v>
      </c>
      <c r="DK5" s="3554" t="s">
        <v>823</v>
      </c>
      <c r="DL5" s="3554" t="s">
        <v>824</v>
      </c>
      <c r="DM5" s="3554" t="s">
        <v>825</v>
      </c>
      <c r="DN5" s="3554" t="s">
        <v>826</v>
      </c>
      <c r="DO5" s="3554" t="s">
        <v>827</v>
      </c>
      <c r="DP5" s="3554" t="s">
        <v>828</v>
      </c>
      <c r="DQ5" s="3554" t="s">
        <v>829</v>
      </c>
      <c r="DR5" s="3554" t="s">
        <v>830</v>
      </c>
      <c r="DS5" s="3554" t="s">
        <v>831</v>
      </c>
      <c r="DT5" s="3554" t="s">
        <v>3731</v>
      </c>
      <c r="DU5" s="3554" t="s">
        <v>3732</v>
      </c>
      <c r="DV5" s="3554" t="s">
        <v>3733</v>
      </c>
      <c r="DW5" s="3554" t="s">
        <v>3734</v>
      </c>
      <c r="DX5" s="3554" t="s">
        <v>3735</v>
      </c>
      <c r="DY5" s="3554" t="s">
        <v>3736</v>
      </c>
      <c r="DZ5" s="3554" t="s">
        <v>3737</v>
      </c>
      <c r="EA5" s="3554" t="s">
        <v>3738</v>
      </c>
      <c r="EB5" s="3554" t="s">
        <v>3739</v>
      </c>
      <c r="EC5" s="3554" t="s">
        <v>3740</v>
      </c>
      <c r="ED5" s="3554" t="s">
        <v>2235</v>
      </c>
      <c r="EE5" s="3554" t="s">
        <v>2236</v>
      </c>
      <c r="EF5" s="3554" t="s">
        <v>2237</v>
      </c>
      <c r="EG5" s="3554" t="s">
        <v>2238</v>
      </c>
      <c r="EH5" s="3554" t="s">
        <v>2239</v>
      </c>
      <c r="EI5" s="3554" t="s">
        <v>3741</v>
      </c>
      <c r="EJ5" s="3554" t="s">
        <v>3742</v>
      </c>
      <c r="EK5" s="3554" t="s">
        <v>3743</v>
      </c>
      <c r="EL5" s="3554" t="s">
        <v>3744</v>
      </c>
      <c r="EM5" s="3554" t="s">
        <v>3745</v>
      </c>
      <c r="EN5" s="3554" t="s">
        <v>3746</v>
      </c>
      <c r="EO5" s="3554" t="s">
        <v>3747</v>
      </c>
      <c r="EP5" s="3554" t="s">
        <v>3748</v>
      </c>
      <c r="EQ5" s="3554" t="s">
        <v>3749</v>
      </c>
      <c r="ER5" s="3554" t="s">
        <v>3750</v>
      </c>
      <c r="ES5" s="3554" t="s">
        <v>111</v>
      </c>
      <c r="ET5" s="3554" t="s">
        <v>1083</v>
      </c>
      <c r="EU5" s="3554" t="s">
        <v>1084</v>
      </c>
      <c r="EV5" s="3554" t="s">
        <v>1139</v>
      </c>
      <c r="EW5" s="3554" t="s">
        <v>1140</v>
      </c>
      <c r="EX5" s="3554" t="s">
        <v>126</v>
      </c>
      <c r="EY5" s="3554" t="s">
        <v>1141</v>
      </c>
      <c r="EZ5" s="3554" t="s">
        <v>1142</v>
      </c>
      <c r="FA5" s="3554" t="s">
        <v>1143</v>
      </c>
      <c r="FB5" s="3554" t="s">
        <v>1144</v>
      </c>
      <c r="FC5" s="3554" t="s">
        <v>3751</v>
      </c>
      <c r="FD5" s="3554" t="s">
        <v>3752</v>
      </c>
      <c r="FE5" s="3554" t="s">
        <v>3753</v>
      </c>
      <c r="FF5" s="3554" t="s">
        <v>3754</v>
      </c>
      <c r="FG5" s="3554" t="s">
        <v>3755</v>
      </c>
      <c r="FH5" s="3554" t="s">
        <v>125</v>
      </c>
      <c r="FI5" s="3554" t="s">
        <v>853</v>
      </c>
      <c r="FJ5" s="3554" t="s">
        <v>854</v>
      </c>
      <c r="FK5" s="3554" t="s">
        <v>855</v>
      </c>
      <c r="FL5" s="3554" t="s">
        <v>856</v>
      </c>
      <c r="FM5" s="3554" t="s">
        <v>3756</v>
      </c>
      <c r="FN5" s="3554" t="s">
        <v>3757</v>
      </c>
      <c r="FO5" s="3554" t="s">
        <v>3758</v>
      </c>
      <c r="FP5" s="3554" t="s">
        <v>3759</v>
      </c>
      <c r="FQ5" s="3554" t="s">
        <v>3760</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6094</v>
      </c>
      <c r="D6" s="1515"/>
      <c r="E6" s="1515"/>
      <c r="F6" s="1515"/>
      <c r="G6" s="1211" t="s">
        <v>194</v>
      </c>
      <c r="H6" s="3663" t="s">
        <v>6096</v>
      </c>
      <c r="I6" s="3664"/>
      <c r="J6" s="3664"/>
      <c r="K6" s="686" t="s">
        <v>3135</v>
      </c>
      <c r="L6" s="3556" t="str">
        <f>'Part I-Project Identification'!$A$6</f>
        <v>April 2023</v>
      </c>
      <c r="M6" s="3556"/>
      <c r="N6" s="3556"/>
      <c r="O6" s="1717" t="s">
        <v>6076</v>
      </c>
      <c r="P6" s="1505">
        <v>71300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6280</v>
      </c>
      <c r="MQ6" s="3554" t="s">
        <v>6281</v>
      </c>
      <c r="MR6" s="3554" t="s">
        <v>6282</v>
      </c>
      <c r="MS6" s="3554" t="s">
        <v>6283</v>
      </c>
      <c r="MT6" s="3554"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6095</v>
      </c>
      <c r="E7" s="4"/>
      <c r="G7" s="1246" t="s">
        <v>194</v>
      </c>
      <c r="I7" s="3587" t="s">
        <v>4070</v>
      </c>
      <c r="J7" s="686" t="s">
        <v>742</v>
      </c>
      <c r="K7" s="686" t="s">
        <v>3182</v>
      </c>
      <c r="L7" s="3556"/>
      <c r="M7" s="3556"/>
      <c r="N7" s="3556"/>
      <c r="O7" s="1718" t="s">
        <v>6075</v>
      </c>
      <c r="P7" s="1543">
        <v>44669</v>
      </c>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3763</v>
      </c>
      <c r="C8" s="1"/>
      <c r="E8" s="1"/>
      <c r="F8" s="1"/>
      <c r="I8" s="3587"/>
      <c r="J8" s="686" t="s">
        <v>743</v>
      </c>
      <c r="K8" s="686" t="s">
        <v>3183</v>
      </c>
      <c r="L8" s="667"/>
      <c r="M8" s="667"/>
      <c r="N8" s="1716" t="s">
        <v>6479</v>
      </c>
      <c r="O8" s="3589" t="s">
        <v>7044</v>
      </c>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3764</v>
      </c>
      <c r="C9" s="686" t="s">
        <v>165</v>
      </c>
      <c r="D9" s="686" t="s">
        <v>510</v>
      </c>
      <c r="E9" s="686" t="s">
        <v>1382</v>
      </c>
      <c r="F9" s="686" t="s">
        <v>1382</v>
      </c>
      <c r="G9" s="3587" t="s">
        <v>6091</v>
      </c>
      <c r="H9" s="830" t="s">
        <v>3301</v>
      </c>
      <c r="I9" s="3587"/>
      <c r="J9" s="3583" t="s">
        <v>6085</v>
      </c>
      <c r="K9" s="686" t="s">
        <v>2217</v>
      </c>
      <c r="L9" s="3592" t="s">
        <v>139</v>
      </c>
      <c r="M9" s="3593"/>
      <c r="N9" s="686" t="s">
        <v>2184</v>
      </c>
      <c r="O9" s="686" t="s">
        <v>6482</v>
      </c>
      <c r="P9" s="3585" t="s">
        <v>6244</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3000</v>
      </c>
      <c r="IK9" s="3554" t="s">
        <v>3000</v>
      </c>
      <c r="IL9" s="3554" t="s">
        <v>3000</v>
      </c>
      <c r="IM9" s="3554" t="s">
        <v>3000</v>
      </c>
      <c r="IN9" s="3554" t="s">
        <v>3000</v>
      </c>
      <c r="IO9" s="1884" t="s">
        <v>526</v>
      </c>
      <c r="IP9" s="1884" t="s">
        <v>2245</v>
      </c>
      <c r="IQ9" s="1884" t="s">
        <v>2246</v>
      </c>
      <c r="IR9" s="1884" t="s">
        <v>2247</v>
      </c>
      <c r="IS9" s="1884" t="s">
        <v>2248</v>
      </c>
      <c r="IT9" s="1884" t="s">
        <v>526</v>
      </c>
      <c r="IU9" s="1884" t="s">
        <v>2245</v>
      </c>
      <c r="IV9" s="1884" t="s">
        <v>2246</v>
      </c>
      <c r="IW9" s="1884" t="s">
        <v>2247</v>
      </c>
      <c r="IX9" s="1884" t="s">
        <v>2248</v>
      </c>
      <c r="IY9" s="3554" t="s">
        <v>6285</v>
      </c>
      <c r="IZ9" s="3554" t="s">
        <v>6285</v>
      </c>
      <c r="JA9" s="3554" t="s">
        <v>6285</v>
      </c>
      <c r="JB9" s="3554" t="s">
        <v>6285</v>
      </c>
      <c r="JC9" s="3554" t="s">
        <v>6285</v>
      </c>
      <c r="JD9" s="3554" t="s">
        <v>6286</v>
      </c>
      <c r="JE9" s="3554" t="s">
        <v>6286</v>
      </c>
      <c r="JF9" s="3554" t="s">
        <v>6286</v>
      </c>
      <c r="JG9" s="3554" t="s">
        <v>6286</v>
      </c>
      <c r="JH9" s="3554" t="s">
        <v>6286</v>
      </c>
      <c r="JI9" s="3554" t="s">
        <v>6288</v>
      </c>
      <c r="JJ9" s="3554" t="s">
        <v>6288</v>
      </c>
      <c r="JK9" s="3554" t="s">
        <v>6288</v>
      </c>
      <c r="JL9" s="3554" t="s">
        <v>6288</v>
      </c>
      <c r="JM9" s="3554" t="s">
        <v>6288</v>
      </c>
      <c r="JN9" s="3554" t="s">
        <v>6289</v>
      </c>
      <c r="JO9" s="3554" t="s">
        <v>6289</v>
      </c>
      <c r="JP9" s="3554" t="s">
        <v>6289</v>
      </c>
      <c r="JQ9" s="3554" t="s">
        <v>6289</v>
      </c>
      <c r="JR9" s="3554" t="s">
        <v>6289</v>
      </c>
      <c r="JS9" s="3554" t="s">
        <v>6290</v>
      </c>
      <c r="JT9" s="3554" t="s">
        <v>6290</v>
      </c>
      <c r="JU9" s="3554" t="s">
        <v>6290</v>
      </c>
      <c r="JV9" s="3554" t="s">
        <v>6290</v>
      </c>
      <c r="JW9" s="3554" t="s">
        <v>6290</v>
      </c>
      <c r="JX9" s="3554" t="s">
        <v>6483</v>
      </c>
      <c r="JY9" s="3554" t="s">
        <v>6483</v>
      </c>
      <c r="JZ9" s="3554" t="s">
        <v>6483</v>
      </c>
      <c r="KA9" s="3554" t="s">
        <v>6483</v>
      </c>
      <c r="KB9" s="3554" t="s">
        <v>6483</v>
      </c>
      <c r="KC9" s="3554" t="s">
        <v>6648</v>
      </c>
      <c r="KD9" s="3554" t="s">
        <v>6648</v>
      </c>
      <c r="KE9" s="3554" t="s">
        <v>6648</v>
      </c>
      <c r="KF9" s="3554" t="s">
        <v>6648</v>
      </c>
      <c r="KG9" s="3554" t="s">
        <v>6648</v>
      </c>
      <c r="KH9" s="3554" t="s">
        <v>6649</v>
      </c>
      <c r="KI9" s="3554" t="s">
        <v>6649</v>
      </c>
      <c r="KJ9" s="3554" t="s">
        <v>6649</v>
      </c>
      <c r="KK9" s="3554" t="s">
        <v>6649</v>
      </c>
      <c r="KL9" s="3554" t="s">
        <v>6649</v>
      </c>
      <c r="KM9" s="3554" t="s">
        <v>6292</v>
      </c>
      <c r="KN9" s="3554" t="s">
        <v>6292</v>
      </c>
      <c r="KO9" s="3554" t="s">
        <v>6292</v>
      </c>
      <c r="KP9" s="3554" t="s">
        <v>6292</v>
      </c>
      <c r="KQ9" s="3554" t="s">
        <v>6292</v>
      </c>
      <c r="KR9" s="3554" t="s">
        <v>6484</v>
      </c>
      <c r="KS9" s="3554" t="s">
        <v>6484</v>
      </c>
      <c r="KT9" s="3554" t="s">
        <v>6484</v>
      </c>
      <c r="KU9" s="3554" t="s">
        <v>6484</v>
      </c>
      <c r="KV9" s="3554" t="s">
        <v>6484</v>
      </c>
      <c r="KW9" s="3554" t="s">
        <v>6650</v>
      </c>
      <c r="KX9" s="3554" t="s">
        <v>6650</v>
      </c>
      <c r="KY9" s="3554" t="s">
        <v>6650</v>
      </c>
      <c r="KZ9" s="3554" t="s">
        <v>6650</v>
      </c>
      <c r="LA9" s="3554" t="s">
        <v>6650</v>
      </c>
      <c r="LB9" s="3554" t="s">
        <v>6651</v>
      </c>
      <c r="LC9" s="3554" t="s">
        <v>6651</v>
      </c>
      <c r="LD9" s="3554" t="s">
        <v>6651</v>
      </c>
      <c r="LE9" s="3554" t="s">
        <v>6651</v>
      </c>
      <c r="LF9" s="3554" t="s">
        <v>6651</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3931</v>
      </c>
      <c r="C10" s="686" t="s">
        <v>164</v>
      </c>
      <c r="D10" s="686" t="s">
        <v>166</v>
      </c>
      <c r="E10" s="686" t="s">
        <v>1383</v>
      </c>
      <c r="F10" s="686" t="s">
        <v>1203</v>
      </c>
      <c r="G10" s="3588"/>
      <c r="H10" s="686" t="s">
        <v>6092</v>
      </c>
      <c r="I10" s="3588"/>
      <c r="J10" s="3584"/>
      <c r="K10" s="358" t="s">
        <v>334</v>
      </c>
      <c r="L10" s="686" t="s">
        <v>1432</v>
      </c>
      <c r="M10" s="686" t="s">
        <v>504</v>
      </c>
      <c r="N10" s="686" t="s">
        <v>1382</v>
      </c>
      <c r="O10" s="686" t="s">
        <v>6496</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3001</v>
      </c>
      <c r="IU10" s="1884" t="s">
        <v>3001</v>
      </c>
      <c r="IV10" s="1884" t="s">
        <v>3001</v>
      </c>
      <c r="IW10" s="1884" t="s">
        <v>3001</v>
      </c>
      <c r="IX10" s="1884"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2</v>
      </c>
      <c r="F18" s="1084">
        <v>892</v>
      </c>
      <c r="G18" s="1084">
        <v>668</v>
      </c>
      <c r="H18" s="1084">
        <v>610</v>
      </c>
      <c r="I18" s="1084">
        <v>0</v>
      </c>
      <c r="J18" s="1100">
        <f>IF(C18="",0,HLOOKUP(C18,'Part IV-Utility Allowances'!$I$11:$M$22,12))</f>
        <v>110</v>
      </c>
      <c r="K18" s="1101"/>
      <c r="L18" s="1102">
        <f t="shared" si="1"/>
        <v>500</v>
      </c>
      <c r="M18" s="1102">
        <f t="shared" si="2"/>
        <v>1000</v>
      </c>
      <c r="N18" s="1103" t="s">
        <v>2652</v>
      </c>
      <c r="O18" s="1685" t="s">
        <v>7091</v>
      </c>
      <c r="P18" s="1103" t="s">
        <v>2120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2</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1784</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f t="shared" si="249"/>
        <v>2</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2</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50</v>
      </c>
      <c r="C19" s="132">
        <v>2</v>
      </c>
      <c r="D19" s="1751">
        <v>2.5</v>
      </c>
      <c r="E19" s="133">
        <v>7</v>
      </c>
      <c r="F19" s="133">
        <v>1146</v>
      </c>
      <c r="G19" s="133">
        <v>802</v>
      </c>
      <c r="H19" s="133">
        <v>690</v>
      </c>
      <c r="I19" s="133">
        <v>0</v>
      </c>
      <c r="J19" s="756">
        <f>IF(C19="",0,HLOOKUP(C19,'Part IV-Utility Allowances'!$I$11:$M$22,12))</f>
        <v>140</v>
      </c>
      <c r="K19" s="644"/>
      <c r="L19" s="461">
        <f t="shared" si="1"/>
        <v>550</v>
      </c>
      <c r="M19" s="461">
        <f t="shared" si="2"/>
        <v>3850</v>
      </c>
      <c r="N19" s="1103" t="s">
        <v>2652</v>
      </c>
      <c r="O19" s="1685" t="s">
        <v>7091</v>
      </c>
      <c r="P19" s="1103" t="s">
        <v>2120</v>
      </c>
      <c r="Q19" s="110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7</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8022</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7</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f t="shared" si="250"/>
        <v>7</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7</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50</v>
      </c>
      <c r="C20" s="132">
        <v>2</v>
      </c>
      <c r="D20" s="1751">
        <v>2</v>
      </c>
      <c r="E20" s="133">
        <v>1</v>
      </c>
      <c r="F20" s="1084">
        <v>1112</v>
      </c>
      <c r="G20" s="133">
        <v>802</v>
      </c>
      <c r="H20" s="133">
        <v>690</v>
      </c>
      <c r="I20" s="133">
        <v>0</v>
      </c>
      <c r="J20" s="756">
        <f>IF(C20="",0,HLOOKUP(C20,'Part IV-Utility Allowances'!$I$11:$M$22,12))</f>
        <v>140</v>
      </c>
      <c r="K20" s="644"/>
      <c r="L20" s="461">
        <f t="shared" si="1"/>
        <v>550</v>
      </c>
      <c r="M20" s="461">
        <f t="shared" si="2"/>
        <v>550</v>
      </c>
      <c r="N20" s="1103" t="s">
        <v>2652</v>
      </c>
      <c r="O20" s="1685" t="s">
        <v>7091</v>
      </c>
      <c r="P20" s="1103" t="s">
        <v>2120</v>
      </c>
      <c r="Q20" s="110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1</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1112</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1</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f t="shared" si="250"/>
        <v>1</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1</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50</v>
      </c>
      <c r="C21" s="132">
        <v>3</v>
      </c>
      <c r="D21" s="1751">
        <v>2.5</v>
      </c>
      <c r="E21" s="133">
        <v>4</v>
      </c>
      <c r="F21" s="133">
        <v>1542</v>
      </c>
      <c r="G21" s="133">
        <v>926</v>
      </c>
      <c r="H21" s="133">
        <v>773</v>
      </c>
      <c r="I21" s="133">
        <v>0</v>
      </c>
      <c r="J21" s="756">
        <f>IF(C21="",0,HLOOKUP(C21,'Part IV-Utility Allowances'!$I$11:$M$22,12))</f>
        <v>173</v>
      </c>
      <c r="K21" s="644"/>
      <c r="L21" s="461">
        <f t="shared" si="1"/>
        <v>600</v>
      </c>
      <c r="M21" s="461">
        <f t="shared" si="2"/>
        <v>2400</v>
      </c>
      <c r="N21" s="1103" t="s">
        <v>2652</v>
      </c>
      <c r="O21" s="1685" t="s">
        <v>7091</v>
      </c>
      <c r="P21" s="1103" t="s">
        <v>2120</v>
      </c>
      <c r="Q21" s="110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f t="shared" si="21"/>
        <v>4</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f t="shared" si="136"/>
        <v>6168</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f t="shared" si="171"/>
        <v>4</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f t="shared" si="251"/>
        <v>4</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4</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50</v>
      </c>
      <c r="C22" s="132">
        <v>3</v>
      </c>
      <c r="D22" s="1753">
        <v>2</v>
      </c>
      <c r="E22" s="133">
        <v>1</v>
      </c>
      <c r="F22" s="1084">
        <v>1371</v>
      </c>
      <c r="G22" s="133">
        <v>926</v>
      </c>
      <c r="H22" s="133">
        <v>773</v>
      </c>
      <c r="I22" s="133">
        <v>0</v>
      </c>
      <c r="J22" s="756">
        <f>IF(C22="",0,HLOOKUP(C22,'Part IV-Utility Allowances'!$I$11:$M$22,12))</f>
        <v>173</v>
      </c>
      <c r="K22" s="644"/>
      <c r="L22" s="461">
        <f t="shared" si="1"/>
        <v>600</v>
      </c>
      <c r="M22" s="461">
        <f t="shared" si="2"/>
        <v>600</v>
      </c>
      <c r="N22" s="1103" t="s">
        <v>2652</v>
      </c>
      <c r="O22" s="1685" t="s">
        <v>7091</v>
      </c>
      <c r="P22" s="1103" t="s">
        <v>2120</v>
      </c>
      <c r="Q22" s="110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f t="shared" si="21"/>
        <v>1</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f t="shared" si="136"/>
        <v>1371</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f t="shared" si="171"/>
        <v>1</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f t="shared" si="251"/>
        <v>1</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1</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60</v>
      </c>
      <c r="C23" s="132">
        <v>1</v>
      </c>
      <c r="D23" s="1751">
        <v>1</v>
      </c>
      <c r="E23" s="133">
        <v>6</v>
      </c>
      <c r="F23" s="133">
        <v>892</v>
      </c>
      <c r="G23" s="133">
        <v>801</v>
      </c>
      <c r="H23" s="133">
        <v>710</v>
      </c>
      <c r="I23" s="133">
        <v>0</v>
      </c>
      <c r="J23" s="756">
        <f>IF(C23="",0,HLOOKUP(C23,'Part IV-Utility Allowances'!$I$11:$M$22,12))</f>
        <v>110</v>
      </c>
      <c r="K23" s="644"/>
      <c r="L23" s="461">
        <f t="shared" si="1"/>
        <v>600</v>
      </c>
      <c r="M23" s="461">
        <f t="shared" si="2"/>
        <v>3600</v>
      </c>
      <c r="N23" s="1103" t="s">
        <v>2652</v>
      </c>
      <c r="O23" s="1685" t="s">
        <v>7091</v>
      </c>
      <c r="P23" s="1103" t="s">
        <v>2120</v>
      </c>
      <c r="Q23" s="1104"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f t="shared" si="14"/>
        <v>6</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f t="shared" si="129"/>
        <v>5352</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f t="shared" si="169"/>
        <v>6</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f t="shared" si="249"/>
        <v>6</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6</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v>60</v>
      </c>
      <c r="C24" s="132">
        <v>2</v>
      </c>
      <c r="D24" s="1751">
        <v>2.5</v>
      </c>
      <c r="E24" s="133">
        <v>21</v>
      </c>
      <c r="F24" s="133">
        <v>1146</v>
      </c>
      <c r="G24" s="133">
        <v>963</v>
      </c>
      <c r="H24" s="133">
        <v>790</v>
      </c>
      <c r="I24" s="133">
        <v>0</v>
      </c>
      <c r="J24" s="756">
        <f>IF(C24="",0,HLOOKUP(C24,'Part IV-Utility Allowances'!$I$11:$M$22,12))</f>
        <v>140</v>
      </c>
      <c r="K24" s="644"/>
      <c r="L24" s="461">
        <f t="shared" si="1"/>
        <v>650</v>
      </c>
      <c r="M24" s="461">
        <f t="shared" si="2"/>
        <v>13650</v>
      </c>
      <c r="N24" s="1103" t="s">
        <v>2652</v>
      </c>
      <c r="O24" s="1685" t="s">
        <v>7091</v>
      </c>
      <c r="P24" s="1103" t="s">
        <v>2120</v>
      </c>
      <c r="Q24" s="1104" t="s">
        <v>2652</v>
      </c>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f t="shared" si="15"/>
        <v>21</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f t="shared" si="130"/>
        <v>24066</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21</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f t="shared" si="250"/>
        <v>21</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21</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v>60</v>
      </c>
      <c r="C25" s="132">
        <v>2</v>
      </c>
      <c r="D25" s="1751">
        <v>2</v>
      </c>
      <c r="E25" s="133">
        <v>1</v>
      </c>
      <c r="F25" s="133">
        <v>1112</v>
      </c>
      <c r="G25" s="133">
        <v>963</v>
      </c>
      <c r="H25" s="133">
        <v>790</v>
      </c>
      <c r="I25" s="133">
        <v>0</v>
      </c>
      <c r="J25" s="756">
        <f>IF(C25="",0,HLOOKUP(C25,'Part IV-Utility Allowances'!$I$11:$M$22,12))</f>
        <v>140</v>
      </c>
      <c r="K25" s="644"/>
      <c r="L25" s="461">
        <f t="shared" si="1"/>
        <v>650</v>
      </c>
      <c r="M25" s="461">
        <f t="shared" si="2"/>
        <v>650</v>
      </c>
      <c r="N25" s="1103" t="s">
        <v>2652</v>
      </c>
      <c r="O25" s="1685" t="s">
        <v>7091</v>
      </c>
      <c r="P25" s="1103" t="s">
        <v>2120</v>
      </c>
      <c r="Q25" s="1104" t="s">
        <v>2652</v>
      </c>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f t="shared" si="15"/>
        <v>1</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f t="shared" si="130"/>
        <v>1112</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1</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f t="shared" si="250"/>
        <v>1</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1</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v>60</v>
      </c>
      <c r="C26" s="132">
        <v>3</v>
      </c>
      <c r="D26" s="1751">
        <v>2.5</v>
      </c>
      <c r="E26" s="133">
        <v>7</v>
      </c>
      <c r="F26" s="133">
        <v>1542</v>
      </c>
      <c r="G26" s="133">
        <v>1112</v>
      </c>
      <c r="H26" s="133">
        <v>873</v>
      </c>
      <c r="I26" s="133">
        <v>0</v>
      </c>
      <c r="J26" s="756">
        <f>IF(C26="",0,HLOOKUP(C26,'Part IV-Utility Allowances'!$I$11:$M$22,12))</f>
        <v>173</v>
      </c>
      <c r="K26" s="644"/>
      <c r="L26" s="461">
        <f t="shared" si="1"/>
        <v>700</v>
      </c>
      <c r="M26" s="461">
        <f t="shared" si="2"/>
        <v>4900</v>
      </c>
      <c r="N26" s="1103" t="s">
        <v>2652</v>
      </c>
      <c r="O26" s="1685" t="s">
        <v>7091</v>
      </c>
      <c r="P26" s="1103" t="s">
        <v>2120</v>
      </c>
      <c r="Q26" s="1104" t="s">
        <v>2652</v>
      </c>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f t="shared" si="16"/>
        <v>7</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f t="shared" si="131"/>
        <v>10794</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7</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f t="shared" si="251"/>
        <v>7</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7</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v>60</v>
      </c>
      <c r="C27" s="132">
        <v>3</v>
      </c>
      <c r="D27" s="1751">
        <v>2</v>
      </c>
      <c r="E27" s="133">
        <v>1</v>
      </c>
      <c r="F27" s="133">
        <v>1371</v>
      </c>
      <c r="G27" s="133">
        <v>1112</v>
      </c>
      <c r="H27" s="133">
        <v>873</v>
      </c>
      <c r="I27" s="133">
        <v>0</v>
      </c>
      <c r="J27" s="756">
        <f>IF(C27="",0,HLOOKUP(C27,'Part IV-Utility Allowances'!$I$11:$M$22,12))</f>
        <v>173</v>
      </c>
      <c r="K27" s="644"/>
      <c r="L27" s="461">
        <f t="shared" si="1"/>
        <v>700</v>
      </c>
      <c r="M27" s="461">
        <f t="shared" si="2"/>
        <v>700</v>
      </c>
      <c r="N27" s="1103" t="s">
        <v>2652</v>
      </c>
      <c r="O27" s="1685" t="s">
        <v>7091</v>
      </c>
      <c r="P27" s="1103" t="s">
        <v>2120</v>
      </c>
      <c r="Q27" s="1104" t="s">
        <v>2652</v>
      </c>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f t="shared" si="16"/>
        <v>1</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f t="shared" si="131"/>
        <v>1371</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1</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f t="shared" si="251"/>
        <v>1</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1</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v>70</v>
      </c>
      <c r="C28" s="132">
        <v>1</v>
      </c>
      <c r="D28" s="1751">
        <v>1</v>
      </c>
      <c r="E28" s="133">
        <v>1</v>
      </c>
      <c r="F28" s="133">
        <v>892</v>
      </c>
      <c r="G28" s="133">
        <v>935</v>
      </c>
      <c r="H28" s="133">
        <v>810</v>
      </c>
      <c r="I28" s="133">
        <v>0</v>
      </c>
      <c r="J28" s="756">
        <f>IF(C28="",0,HLOOKUP(C28,'Part IV-Utility Allowances'!$I$11:$M$22,12))</f>
        <v>110</v>
      </c>
      <c r="K28" s="644"/>
      <c r="L28" s="461">
        <f t="shared" si="1"/>
        <v>700</v>
      </c>
      <c r="M28" s="461">
        <f t="shared" si="2"/>
        <v>700</v>
      </c>
      <c r="N28" s="1103" t="s">
        <v>2652</v>
      </c>
      <c r="O28" s="1685" t="s">
        <v>7091</v>
      </c>
      <c r="P28" s="1103" t="s">
        <v>2120</v>
      </c>
      <c r="Q28" s="1104" t="s">
        <v>2652</v>
      </c>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f t="shared" si="9"/>
        <v>1</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f t="shared" si="124"/>
        <v>892</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f t="shared" si="169"/>
        <v>1</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f t="shared" si="249"/>
        <v>1</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1</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v>70</v>
      </c>
      <c r="C29" s="132">
        <v>2</v>
      </c>
      <c r="D29" s="1751">
        <v>2.5</v>
      </c>
      <c r="E29" s="133">
        <v>1</v>
      </c>
      <c r="F29" s="133">
        <v>1146</v>
      </c>
      <c r="G29" s="133">
        <v>1123</v>
      </c>
      <c r="H29" s="133">
        <v>890</v>
      </c>
      <c r="I29" s="133">
        <v>0</v>
      </c>
      <c r="J29" s="756">
        <f>IF(C29="",0,HLOOKUP(C29,'Part IV-Utility Allowances'!$I$11:$M$22,12))</f>
        <v>140</v>
      </c>
      <c r="K29" s="644"/>
      <c r="L29" s="461">
        <f t="shared" si="1"/>
        <v>750</v>
      </c>
      <c r="M29" s="461">
        <f t="shared" si="2"/>
        <v>750</v>
      </c>
      <c r="N29" s="1103" t="s">
        <v>2652</v>
      </c>
      <c r="O29" s="1685" t="s">
        <v>7091</v>
      </c>
      <c r="P29" s="1103" t="s">
        <v>2120</v>
      </c>
      <c r="Q29" s="1104" t="s">
        <v>2652</v>
      </c>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f t="shared" si="10"/>
        <v>1</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f t="shared" si="125"/>
        <v>1146</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f t="shared" si="170"/>
        <v>1</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f t="shared" si="250"/>
        <v>1</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1</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v>70</v>
      </c>
      <c r="C30" s="132">
        <v>3</v>
      </c>
      <c r="D30" s="1751">
        <v>2.5</v>
      </c>
      <c r="E30" s="133">
        <v>1</v>
      </c>
      <c r="F30" s="133">
        <v>1542</v>
      </c>
      <c r="G30" s="133">
        <v>1297</v>
      </c>
      <c r="H30" s="133">
        <v>973</v>
      </c>
      <c r="I30" s="133">
        <v>0</v>
      </c>
      <c r="J30" s="756">
        <f>IF(C30="",0,HLOOKUP(C30,'Part IV-Utility Allowances'!$I$11:$M$22,12))</f>
        <v>173</v>
      </c>
      <c r="K30" s="644"/>
      <c r="L30" s="461">
        <f t="shared" si="1"/>
        <v>800</v>
      </c>
      <c r="M30" s="461">
        <f t="shared" si="2"/>
        <v>800</v>
      </c>
      <c r="N30" s="1103" t="s">
        <v>2652</v>
      </c>
      <c r="O30" s="1685" t="s">
        <v>7091</v>
      </c>
      <c r="P30" s="1103" t="s">
        <v>2120</v>
      </c>
      <c r="Q30" s="1104" t="s">
        <v>2652</v>
      </c>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f t="shared" si="11"/>
        <v>1</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f t="shared" si="126"/>
        <v>1542</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f t="shared" si="171"/>
        <v>1</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f t="shared" si="251"/>
        <v>1</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1</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06" t="s">
        <v>3768</v>
      </c>
      <c r="C49" s="3607"/>
      <c r="D49" s="107" t="s">
        <v>954</v>
      </c>
      <c r="E49" s="1113">
        <f>SUM(E11:E48)</f>
        <v>54</v>
      </c>
      <c r="F49" s="1111">
        <f>(E11*F11+E12*F12+E13*F13+E14*F14+E15*F15+E16*F16+E17*F17+E18*F18+E19*F19+E20*F20+E21*F21+E22*F22+E23*F23+E24*F24+E25*F25+E26*F26+E27*F27+E28*F28+E29*F29+E30*F30+E31*F31+E32*F32+E33*F33+E34*F34+E35*F35+E36*F36+E37*F37+E38*F38+E39*F39+E40*F40+E41*F41+E42*F42+E43*F43+E44*F44+E45*F45+E46*F46+E47*F47+E48*F48)</f>
        <v>64732</v>
      </c>
      <c r="H49" s="3580" t="s">
        <v>3765</v>
      </c>
      <c r="I49" s="1114" t="s">
        <v>3766</v>
      </c>
      <c r="J49" s="1115" t="str">
        <f>IF(P67=0,"",IF(SUM(P58:P62)/P67&gt;=0.4,"Pass","Fail"))</f>
        <v>Pass</v>
      </c>
      <c r="K49" s="448"/>
      <c r="L49" s="699" t="s">
        <v>1225</v>
      </c>
      <c r="M49" s="94">
        <f>SUM(M11:M48)</f>
        <v>34150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1</v>
      </c>
      <c r="AE49" s="1749">
        <f t="shared" si="339"/>
        <v>1</v>
      </c>
      <c r="AF49" s="1749">
        <f t="shared" si="339"/>
        <v>1</v>
      </c>
      <c r="AG49" s="1749">
        <f t="shared" si="339"/>
        <v>0</v>
      </c>
      <c r="AH49" s="1749">
        <f t="shared" si="339"/>
        <v>0</v>
      </c>
      <c r="AI49" s="1749">
        <f t="shared" si="339"/>
        <v>6</v>
      </c>
      <c r="AJ49" s="1749">
        <f t="shared" si="339"/>
        <v>22</v>
      </c>
      <c r="AK49" s="1749">
        <f t="shared" si="339"/>
        <v>8</v>
      </c>
      <c r="AL49" s="1749">
        <f t="shared" si="339"/>
        <v>0</v>
      </c>
      <c r="AM49" s="1749">
        <f>SUM(AM11:AM48)</f>
        <v>0</v>
      </c>
      <c r="AN49" s="1749">
        <f>SUM(AN11:AN48)</f>
        <v>2</v>
      </c>
      <c r="AO49" s="1749">
        <f>SUM(AO11:AO48)</f>
        <v>8</v>
      </c>
      <c r="AP49" s="1749">
        <f>SUM(AP11:AP48)</f>
        <v>5</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892</v>
      </c>
      <c r="EP49" s="1749">
        <f t="shared" si="342"/>
        <v>1146</v>
      </c>
      <c r="EQ49" s="1749">
        <f t="shared" si="342"/>
        <v>1542</v>
      </c>
      <c r="ER49" s="1749">
        <f t="shared" si="342"/>
        <v>0</v>
      </c>
      <c r="ES49" s="1749">
        <f t="shared" si="342"/>
        <v>0</v>
      </c>
      <c r="ET49" s="1749">
        <f t="shared" si="342"/>
        <v>5352</v>
      </c>
      <c r="EU49" s="1749">
        <f t="shared" si="342"/>
        <v>25178</v>
      </c>
      <c r="EV49" s="1749">
        <f t="shared" si="342"/>
        <v>12165</v>
      </c>
      <c r="EW49" s="1749">
        <f t="shared" si="342"/>
        <v>0</v>
      </c>
      <c r="EX49" s="1749">
        <f t="shared" si="338"/>
        <v>0</v>
      </c>
      <c r="EY49" s="1749">
        <f t="shared" si="338"/>
        <v>1784</v>
      </c>
      <c r="EZ49" s="1749">
        <f t="shared" si="338"/>
        <v>9134</v>
      </c>
      <c r="FA49" s="1749">
        <f t="shared" si="338"/>
        <v>7539</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9</v>
      </c>
      <c r="GI49" s="1749">
        <f t="shared" si="343"/>
        <v>31</v>
      </c>
      <c r="GJ49" s="1749">
        <f t="shared" si="343"/>
        <v>14</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9</v>
      </c>
      <c r="JK49" s="1749">
        <f t="shared" si="344"/>
        <v>31</v>
      </c>
      <c r="JL49" s="1749">
        <f t="shared" si="344"/>
        <v>14</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9</v>
      </c>
      <c r="MM49" s="1749">
        <f t="shared" si="346"/>
        <v>31</v>
      </c>
      <c r="MN49" s="1749">
        <f t="shared" si="346"/>
        <v>14</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57.777777777777779</v>
      </c>
      <c r="C50" s="3579"/>
      <c r="D50" s="119" t="s">
        <v>3675</v>
      </c>
      <c r="E50" s="1110">
        <f>SUM(E18:E48)</f>
        <v>54</v>
      </c>
      <c r="F50" s="1112">
        <f>(E18*F18+E19*F19+E20*F20+E21*F21+E22*F22+E23*F23+E24*F24+E25*F25+E26*F26+E27*F27+E28*F28+E29*F29+E30*F30+E31*F31+E32*F32+E33*F33+E34*F34+E35*F35+E36*F36+E37*F37+E38*F38+E39*F39+E40*F40+E41*F41+E42*F42+E43*F43+E44*F44+E45*F45+E46*F46+E47*F47+E48*F48)</f>
        <v>64732</v>
      </c>
      <c r="H50" s="3581"/>
      <c r="I50" s="1116" t="s">
        <v>3767</v>
      </c>
      <c r="J50" s="1117" t="str">
        <f>IF(P67=0,"",IF(SUM(P59:P62)/P67&gt;=0.2,"Pass","Fail"))</f>
        <v>Pass</v>
      </c>
      <c r="K50" s="448"/>
      <c r="L50" s="107" t="s">
        <v>757</v>
      </c>
      <c r="M50" s="94">
        <f>M49*12</f>
        <v>409800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67" t="s">
        <v>3812</v>
      </c>
      <c r="P53" s="3568"/>
      <c r="S53" s="3595" t="str">
        <f>B53</f>
        <v>UNIT SUMMARY</v>
      </c>
      <c r="T53" s="3595"/>
      <c r="U53" s="3595"/>
      <c r="V53" s="3595"/>
      <c r="AY53" s="359"/>
      <c r="BD53" s="359"/>
      <c r="LO53" s="361"/>
      <c r="MD53" s="357"/>
    </row>
    <row r="54" spans="1:381" ht="14.25" customHeight="1">
      <c r="A54" s="10"/>
      <c r="B54" s="10"/>
      <c r="K54" s="144" t="s">
        <v>6643</v>
      </c>
      <c r="O54" s="3565" t="s">
        <v>7045</v>
      </c>
      <c r="P54" s="3566"/>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4075</v>
      </c>
      <c r="B56" s="3659"/>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75" t="s">
        <v>3184</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3677</v>
      </c>
      <c r="I57" s="29"/>
      <c r="J57" s="62"/>
      <c r="K57" s="1127">
        <f>AC49</f>
        <v>0</v>
      </c>
      <c r="L57" s="1128">
        <f>AD49</f>
        <v>1</v>
      </c>
      <c r="M57" s="1128">
        <f>AE49</f>
        <v>1</v>
      </c>
      <c r="N57" s="1128">
        <f>AF49</f>
        <v>1</v>
      </c>
      <c r="O57" s="1129">
        <f>AG49</f>
        <v>0</v>
      </c>
      <c r="P57" s="745">
        <f t="shared" si="347"/>
        <v>3</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6</v>
      </c>
      <c r="M58" s="1128">
        <f>AJ49</f>
        <v>22</v>
      </c>
      <c r="N58" s="1128">
        <f>AK49</f>
        <v>8</v>
      </c>
      <c r="O58" s="1129">
        <f>AL49</f>
        <v>0</v>
      </c>
      <c r="P58" s="745">
        <f t="shared" si="347"/>
        <v>36</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2</v>
      </c>
      <c r="M59" s="1149">
        <f>AO49</f>
        <v>8</v>
      </c>
      <c r="N59" s="1149">
        <f>AP49</f>
        <v>5</v>
      </c>
      <c r="O59" s="1150">
        <f>AQ49</f>
        <v>0</v>
      </c>
      <c r="P59" s="466">
        <f t="shared" si="347"/>
        <v>15</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3678</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3679</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3680</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3762</v>
      </c>
      <c r="D63" s="1"/>
      <c r="E63" s="1"/>
      <c r="F63" s="1"/>
      <c r="G63" s="62"/>
      <c r="H63" s="68"/>
      <c r="I63" s="44"/>
      <c r="J63" s="62"/>
      <c r="K63" s="1092">
        <f>SUM(K56:K62)</f>
        <v>0</v>
      </c>
      <c r="L63" s="1092">
        <f>SUM(L56:L62)</f>
        <v>9</v>
      </c>
      <c r="M63" s="1092">
        <f>SUM(M56:M62)</f>
        <v>31</v>
      </c>
      <c r="N63" s="1092">
        <f>SUM(N56:N62)</f>
        <v>14</v>
      </c>
      <c r="O63" s="1092">
        <f>SUM(O56:O62)</f>
        <v>0</v>
      </c>
      <c r="P63" s="1092">
        <f t="shared" si="347"/>
        <v>54</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9</v>
      </c>
      <c r="M65" s="1099">
        <f>SUM(M63:M64)</f>
        <v>31</v>
      </c>
      <c r="N65" s="1099">
        <f>SUM(N63:N64)</f>
        <v>14</v>
      </c>
      <c r="O65" s="1099">
        <f>SUM(O63:O64)</f>
        <v>0</v>
      </c>
      <c r="P65" s="1099">
        <f t="shared" si="347"/>
        <v>54</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9</v>
      </c>
      <c r="M67" s="1091">
        <f>SUM(M65:M66)</f>
        <v>31</v>
      </c>
      <c r="N67" s="1091">
        <f>SUM(N65:N66)</f>
        <v>14</v>
      </c>
      <c r="O67" s="1091">
        <f>SUM(O65:O66)</f>
        <v>0</v>
      </c>
      <c r="P67" s="1091">
        <f t="shared" si="347"/>
        <v>54</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3771</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4068</v>
      </c>
      <c r="E73" s="3555"/>
      <c r="F73" s="3555"/>
      <c r="G73" s="6"/>
      <c r="H73" s="81" t="s">
        <v>3677</v>
      </c>
      <c r="I73" s="29"/>
      <c r="J73" s="1"/>
      <c r="K73" s="1436" t="str">
        <f t="shared" ref="K73:P73" si="350">IF(OR(K57=0,K67=0),"",K57/K67)</f>
        <v/>
      </c>
      <c r="L73" s="1437">
        <f t="shared" si="350"/>
        <v>0.1111111111111111</v>
      </c>
      <c r="M73" s="1437">
        <f t="shared" si="350"/>
        <v>3.2258064516129031E-2</v>
      </c>
      <c r="N73" s="1437">
        <f t="shared" si="350"/>
        <v>7.1428571428571425E-2</v>
      </c>
      <c r="O73" s="1437" t="str">
        <f t="shared" si="350"/>
        <v/>
      </c>
      <c r="P73" s="1438">
        <f t="shared" si="350"/>
        <v>5.5555555555555552E-2</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6486</v>
      </c>
      <c r="I74" s="29"/>
      <c r="J74" s="1"/>
      <c r="K74" s="1509" t="str">
        <f>IF(OR(K57=0,P73="",K67=0),"",P73*K67)</f>
        <v/>
      </c>
      <c r="L74" s="1509">
        <f>IF(OR(L57=0,P73="",L67=0),"",P73*L67)</f>
        <v>0.5</v>
      </c>
      <c r="M74" s="1509">
        <f>IF(OR(M57=0,P73="",M67=0),"",P73*M67)</f>
        <v>1.7222222222222221</v>
      </c>
      <c r="N74" s="1509">
        <f>IF(OR(N57=0,P73="",N67=0),"",P73*N67)</f>
        <v>0.77777777777777768</v>
      </c>
      <c r="O74" s="1509" t="str">
        <f>IF(OR(O57=0,P73="",O67=0),"",P73*O67)</f>
        <v/>
      </c>
      <c r="P74" s="1510">
        <f>IF(OR(P73="",P67=0),"",P73*P67)</f>
        <v>3</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6487</v>
      </c>
      <c r="I75" s="1409"/>
      <c r="J75" s="1"/>
      <c r="K75" s="1511" t="str">
        <f t="shared" ref="K75:P75" si="351">IF(OR(K74="",K57=0),"", K57-K74)</f>
        <v/>
      </c>
      <c r="L75" s="1511">
        <f t="shared" si="351"/>
        <v>0.5</v>
      </c>
      <c r="M75" s="1511">
        <f t="shared" si="351"/>
        <v>-0.7222222222222221</v>
      </c>
      <c r="N75" s="1511">
        <f t="shared" si="351"/>
        <v>0.22222222222222232</v>
      </c>
      <c r="O75" s="1511" t="str">
        <f t="shared" si="351"/>
        <v/>
      </c>
      <c r="P75" s="1511">
        <f t="shared" si="351"/>
        <v>0</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5"/>
      <c r="E76" s="3555"/>
      <c r="F76" s="3555"/>
      <c r="G76" s="6"/>
      <c r="H76" s="81" t="s">
        <v>1081</v>
      </c>
      <c r="I76" s="29"/>
      <c r="J76" s="1"/>
      <c r="K76" s="1436" t="str">
        <f t="shared" ref="K76:P76" si="352">IF(OR(K58=0,K67=0),"",K58/K67)</f>
        <v/>
      </c>
      <c r="L76" s="1437">
        <f t="shared" si="352"/>
        <v>0.66666666666666663</v>
      </c>
      <c r="M76" s="1437">
        <f t="shared" si="352"/>
        <v>0.70967741935483875</v>
      </c>
      <c r="N76" s="1437">
        <f t="shared" si="352"/>
        <v>0.5714285714285714</v>
      </c>
      <c r="O76" s="1437" t="str">
        <f t="shared" si="352"/>
        <v/>
      </c>
      <c r="P76" s="1438">
        <f t="shared" si="352"/>
        <v>0.66666666666666663</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6486</v>
      </c>
      <c r="I77" s="29"/>
      <c r="J77" s="1"/>
      <c r="K77" s="1509" t="str">
        <f>IF(OR(K58=0,P76="",K67=0),"",P76*K67)</f>
        <v/>
      </c>
      <c r="L77" s="1509">
        <f>IF(OR(L58=0,P76="",L67=0),"",P76*L67)</f>
        <v>6</v>
      </c>
      <c r="M77" s="1509">
        <f>IF(OR(M58=0,P76="",M67=0),"",P76*M67)</f>
        <v>20.666666666666664</v>
      </c>
      <c r="N77" s="1509">
        <f>IF(OR(N58=0,P76="",N67=0),"",P76*N67)</f>
        <v>9.3333333333333321</v>
      </c>
      <c r="O77" s="1509" t="str">
        <f>IF(OR(O58=0,P76="",O67=0),"",P76*O67)</f>
        <v/>
      </c>
      <c r="P77" s="1510">
        <f>IF(OR(P76="",P67=0),"",P76*P67)</f>
        <v>36</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6487</v>
      </c>
      <c r="I78" s="1409"/>
      <c r="J78" s="1"/>
      <c r="K78" s="1511" t="str">
        <f t="shared" ref="K78:P78" si="353">IF(OR(K77="",K58=0),"", K58-K77)</f>
        <v/>
      </c>
      <c r="L78" s="1511">
        <f t="shared" si="353"/>
        <v>0</v>
      </c>
      <c r="M78" s="1511">
        <f t="shared" si="353"/>
        <v>1.3333333333333357</v>
      </c>
      <c r="N78" s="1511">
        <f t="shared" si="353"/>
        <v>-1.3333333333333321</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0.22222222222222221</v>
      </c>
      <c r="M79" s="1437">
        <f t="shared" si="354"/>
        <v>0.25806451612903225</v>
      </c>
      <c r="N79" s="1437">
        <f t="shared" si="354"/>
        <v>0.35714285714285715</v>
      </c>
      <c r="O79" s="1437" t="str">
        <f t="shared" si="354"/>
        <v/>
      </c>
      <c r="P79" s="1438">
        <f t="shared" si="354"/>
        <v>0.27777777777777779</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2.5</v>
      </c>
      <c r="M80" s="1509">
        <f>IF(OR(M59=0,P79="",M67=0),"",P79*M67)</f>
        <v>8.6111111111111107</v>
      </c>
      <c r="N80" s="1509">
        <f>IF(OR(N59=0,P79="",N67=0),"",P79*N67)</f>
        <v>3.8888888888888893</v>
      </c>
      <c r="O80" s="1509" t="str">
        <f>IF(OR(O59=0,P79="",O67=0),"",P79*O67)</f>
        <v/>
      </c>
      <c r="P80" s="1510">
        <f>IF(OR(P79="",P67=0),"",P79*P67)</f>
        <v>15</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-0.5</v>
      </c>
      <c r="M81" s="1511">
        <f t="shared" si="355"/>
        <v>-0.61111111111111072</v>
      </c>
      <c r="N81" s="1511">
        <f t="shared" si="355"/>
        <v>1.1111111111111107</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6" t="str">
        <f>$O$53</f>
        <v>Income Averaging</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9</v>
      </c>
      <c r="M113" s="1125">
        <f>GI49</f>
        <v>31</v>
      </c>
      <c r="N113" s="1125">
        <f>GJ49</f>
        <v>14</v>
      </c>
      <c r="O113" s="1126">
        <f>GK49</f>
        <v>0</v>
      </c>
      <c r="P113" s="749">
        <f t="shared" ref="P113:P123" si="364">SUM(K113:O113)</f>
        <v>54</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9</v>
      </c>
      <c r="M115" s="1093">
        <f>SUM(M113:M114)+GS49</f>
        <v>31</v>
      </c>
      <c r="N115" s="1093">
        <f>SUM(N113:N114)+GT49</f>
        <v>14</v>
      </c>
      <c r="O115" s="1093">
        <f>SUM(O113:O114)+GU49</f>
        <v>0</v>
      </c>
      <c r="P115" s="1093">
        <f t="shared" si="364"/>
        <v>54</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6491</v>
      </c>
      <c r="D127" s="3557"/>
      <c r="E127" s="908" t="s">
        <v>36</v>
      </c>
      <c r="F127" s="767"/>
      <c r="G127" s="909"/>
      <c r="H127" s="1442"/>
      <c r="I127" s="910"/>
      <c r="J127" s="911"/>
      <c r="K127" s="1145">
        <f t="shared" ref="K127:P127" si="365">SUM(K128:K135)</f>
        <v>0</v>
      </c>
      <c r="L127" s="1146">
        <f t="shared" si="365"/>
        <v>0</v>
      </c>
      <c r="M127" s="1146">
        <f t="shared" si="365"/>
        <v>0</v>
      </c>
      <c r="N127" s="1146">
        <f t="shared" si="365"/>
        <v>0</v>
      </c>
      <c r="O127" s="1147">
        <f t="shared" si="365"/>
        <v>0</v>
      </c>
      <c r="P127" s="1096">
        <f t="shared" si="365"/>
        <v>0</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6291</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6293</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6485</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6480</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6481</v>
      </c>
      <c r="F138" s="1"/>
      <c r="G138" s="62"/>
      <c r="H138" s="1406"/>
      <c r="I138" s="33"/>
      <c r="J138" s="62"/>
      <c r="K138" s="1151">
        <f>JI49</f>
        <v>0</v>
      </c>
      <c r="L138" s="1152">
        <f>JJ49</f>
        <v>9</v>
      </c>
      <c r="M138" s="1152">
        <f>JK49</f>
        <v>31</v>
      </c>
      <c r="N138" s="1152">
        <f>JL49</f>
        <v>14</v>
      </c>
      <c r="O138" s="1153">
        <f>JM49</f>
        <v>0</v>
      </c>
      <c r="P138" s="1688">
        <f t="shared" si="366"/>
        <v>54</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6287</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6" t="str">
        <f>$O$53</f>
        <v>Income Averaging</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6492</v>
      </c>
      <c r="D147" s="355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60">
        <f t="shared" ref="K149:O150" si="370">K138</f>
        <v>0</v>
      </c>
      <c r="L149" s="1161">
        <f t="shared" si="370"/>
        <v>9</v>
      </c>
      <c r="M149" s="1161">
        <f t="shared" si="370"/>
        <v>31</v>
      </c>
      <c r="N149" s="1161">
        <f t="shared" si="370"/>
        <v>14</v>
      </c>
      <c r="O149" s="1162">
        <f t="shared" si="370"/>
        <v>0</v>
      </c>
      <c r="P149" s="1688">
        <f t="shared" si="369"/>
        <v>54</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1" t="s">
        <v>3890</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892</v>
      </c>
      <c r="M158" s="1164">
        <f>EP49</f>
        <v>1146</v>
      </c>
      <c r="N158" s="1164">
        <f>EQ49</f>
        <v>1542</v>
      </c>
      <c r="O158" s="1165">
        <f>ER49</f>
        <v>0</v>
      </c>
      <c r="P158" s="1088">
        <f t="shared" si="372"/>
        <v>3580</v>
      </c>
      <c r="Q158" s="1291">
        <f t="shared" si="373"/>
        <v>1193.3333333333333</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5352</v>
      </c>
      <c r="M159" s="1164">
        <f>EU49</f>
        <v>25178</v>
      </c>
      <c r="N159" s="1164">
        <f>EV49</f>
        <v>12165</v>
      </c>
      <c r="O159" s="1165">
        <f>EW49</f>
        <v>0</v>
      </c>
      <c r="P159" s="1088">
        <f t="shared" si="372"/>
        <v>42695</v>
      </c>
      <c r="Q159" s="1291">
        <f t="shared" si="373"/>
        <v>1185.9722222222222</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1784</v>
      </c>
      <c r="M160" s="1224">
        <f>EZ49</f>
        <v>9134</v>
      </c>
      <c r="N160" s="1224">
        <f>FA49</f>
        <v>7539</v>
      </c>
      <c r="O160" s="1225">
        <f>FB49</f>
        <v>0</v>
      </c>
      <c r="P160" s="1226">
        <f t="shared" si="372"/>
        <v>18457</v>
      </c>
      <c r="Q160" s="1291">
        <f t="shared" si="373"/>
        <v>1230.4666666666667</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8028</v>
      </c>
      <c r="M164" s="1690">
        <f>SUM(M157:M163)</f>
        <v>35458</v>
      </c>
      <c r="N164" s="1690">
        <f>SUM(N157:N163)</f>
        <v>21246</v>
      </c>
      <c r="O164" s="1690">
        <f>SUM(O157:O163)</f>
        <v>0</v>
      </c>
      <c r="P164" s="1690">
        <f>SUM(K164:O164)</f>
        <v>64732</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8028</v>
      </c>
      <c r="M166" s="1689">
        <f>SUM(M164:M165)</f>
        <v>35458</v>
      </c>
      <c r="N166" s="1689">
        <f>SUM(N164:N165)</f>
        <v>21246</v>
      </c>
      <c r="O166" s="1689">
        <f>SUM(O164:O165)</f>
        <v>0</v>
      </c>
      <c r="P166" s="1689">
        <f>SUM(K166:O166)</f>
        <v>64732</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8028</v>
      </c>
      <c r="M168" s="1094">
        <f>SUM(M166:M167)</f>
        <v>35458</v>
      </c>
      <c r="N168" s="1094">
        <f>SUM(N166:N167)</f>
        <v>21246</v>
      </c>
      <c r="O168" s="1094">
        <f>SUM(O166:O167)</f>
        <v>0</v>
      </c>
      <c r="P168" s="1094">
        <f>SUM(K168:O168)</f>
        <v>64732</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892</v>
      </c>
      <c r="M171" s="1290">
        <f>IF(OR(M67="",M67=0),"",M168/M67)</f>
        <v>1143.8064516129032</v>
      </c>
      <c r="N171" s="1290">
        <f>IF(OR(N67="",N67=0),"",N168/N67)</f>
        <v>1517.5714285714287</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4">
        <v>1570</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66302</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8196</v>
      </c>
      <c r="I179" s="3553"/>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34986</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33750</v>
      </c>
      <c r="G221" s="3625"/>
      <c r="H221" s="1"/>
      <c r="I221" s="1" t="s">
        <v>1300</v>
      </c>
      <c r="K221" s="1"/>
      <c r="L221" s="3624"/>
      <c r="M221" s="3625"/>
      <c r="N221" s="1"/>
      <c r="O221" s="319">
        <f>+Q220/(P67*0.93)</f>
        <v>696.65471923536427</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33750</v>
      </c>
      <c r="G222" s="3600"/>
      <c r="H222" s="1"/>
      <c r="I222" s="1" t="s">
        <v>1301</v>
      </c>
      <c r="K222" s="1"/>
      <c r="L222" s="3627"/>
      <c r="M222" s="3628"/>
      <c r="N222" s="1"/>
      <c r="O222" s="319">
        <f>+Q220/(P67*0.93)/12</f>
        <v>58.054559936280356</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c r="G223" s="3600"/>
      <c r="H223" s="1"/>
      <c r="I223" s="1"/>
      <c r="K223" s="8" t="s">
        <v>184</v>
      </c>
      <c r="L223" s="3631">
        <f>SUM(L221:M222)</f>
        <v>0</v>
      </c>
      <c r="M223" s="3632"/>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67500</v>
      </c>
      <c r="G227" s="3632"/>
      <c r="H227" s="1"/>
      <c r="I227" s="1" t="s">
        <v>1497</v>
      </c>
      <c r="K227" s="1"/>
      <c r="L227" s="3611">
        <v>1620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4428</v>
      </c>
      <c r="M228" s="3614"/>
      <c r="N228" s="3626" t="str">
        <f>IF(Q230="","",IF(Q228&lt;Q230, "WARNING! OE below required minimum.",""))</f>
        <v/>
      </c>
      <c r="O228" s="4" t="s">
        <v>2029</v>
      </c>
      <c r="P228" s="1"/>
      <c r="Q228" s="326">
        <f>F227+F236+F247+L223+L231+L241+L247+Q220</f>
        <v>233220</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324</v>
      </c>
      <c r="M229" s="3614"/>
      <c r="N229" s="3626"/>
      <c r="O229" s="42" t="s">
        <v>2486</v>
      </c>
      <c r="P229" s="319">
        <f>+Q228/P67</f>
        <v>4318.8888888888887</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1350</v>
      </c>
      <c r="G230" s="3625"/>
      <c r="H230" s="1"/>
      <c r="I230" s="3617" t="s">
        <v>46</v>
      </c>
      <c r="J230" s="3618"/>
      <c r="K230" s="3619"/>
      <c r="L230" s="3629"/>
      <c r="M230" s="3630"/>
      <c r="N230" s="3626"/>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175500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3186</v>
      </c>
      <c r="G231" s="3600"/>
      <c r="H231" s="1"/>
      <c r="I231" s="4"/>
      <c r="K231" s="8" t="s">
        <v>184</v>
      </c>
      <c r="L231" s="3633">
        <f>SUM(L227:L230)</f>
        <v>6372</v>
      </c>
      <c r="M231" s="3634"/>
      <c r="N231" s="3626"/>
      <c r="O231" s="3639" t="s">
        <v>6724</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v>5400</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6912</v>
      </c>
      <c r="G234" s="3600"/>
      <c r="H234" s="1"/>
      <c r="I234" s="4" t="s">
        <v>1297</v>
      </c>
      <c r="K234" s="248" t="s">
        <v>3883</v>
      </c>
      <c r="O234" s="1312" t="s">
        <v>3085</v>
      </c>
      <c r="P234" s="4"/>
      <c r="Q234" s="917">
        <f>Q243</f>
        <v>13500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7111</v>
      </c>
      <c r="C235" s="3609"/>
      <c r="D235" s="3609"/>
      <c r="E235" s="3610"/>
      <c r="F235" s="3627">
        <v>540</v>
      </c>
      <c r="G235" s="3628"/>
      <c r="H235" s="1"/>
      <c r="I235" s="1" t="s">
        <v>1290</v>
      </c>
      <c r="K235" s="365">
        <f>L235/12/P67</f>
        <v>7.5</v>
      </c>
      <c r="L235" s="3611">
        <v>4860</v>
      </c>
      <c r="M235" s="3612"/>
      <c r="N235" s="3626" t="str">
        <f>IF(Q234&lt;Q243, "WARNING! RR proposed is below the DCA required minimum.","")</f>
        <v/>
      </c>
      <c r="O235" s="772" t="s">
        <v>3882</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17388</v>
      </c>
      <c r="G236" s="3632"/>
      <c r="H236" s="1"/>
      <c r="I236" s="1" t="s">
        <v>1291</v>
      </c>
      <c r="K236" s="365">
        <f>L236/12/P67</f>
        <v>0</v>
      </c>
      <c r="L236" s="3613"/>
      <c r="M236" s="3614"/>
      <c r="N236" s="3643"/>
      <c r="O236" s="3644" t="s">
        <v>3229</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2</v>
      </c>
      <c r="L237" s="3613">
        <f>540+756</f>
        <v>1296</v>
      </c>
      <c r="M237" s="3614"/>
      <c r="N237" s="3643"/>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14.166666666666666</v>
      </c>
      <c r="L238" s="3613">
        <v>9180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0</v>
      </c>
      <c r="G239" s="3648"/>
      <c r="H239" s="1"/>
      <c r="I239" s="72" t="s">
        <v>6681</v>
      </c>
      <c r="K239" s="365">
        <f>L239/12/P67</f>
        <v>0</v>
      </c>
      <c r="L239" s="3613"/>
      <c r="M239" s="3614"/>
      <c r="N239" s="3643"/>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4860</v>
      </c>
      <c r="G240" s="3636"/>
      <c r="H240" s="1"/>
      <c r="I240" s="3620" t="s">
        <v>46</v>
      </c>
      <c r="J240" s="3621"/>
      <c r="K240" s="365">
        <f>L240/12/P67</f>
        <v>0</v>
      </c>
      <c r="L240" s="3629"/>
      <c r="M240" s="3630"/>
      <c r="N240" s="3643"/>
      <c r="O240" s="387" t="s">
        <v>3051</v>
      </c>
      <c r="P240" s="673" t="str">
        <f>CONCATENATE(SUM(MK49:MO49)," units x $",'DCA Underwriting Assumptions'!$Q$29," =")</f>
        <v>54 units x $250 =</v>
      </c>
      <c r="Q240" s="501">
        <f>SUM(MK49:MO49)*'DCA Underwriting Assumptions'!$Q$29</f>
        <v>13500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9990</v>
      </c>
      <c r="G241" s="3636"/>
      <c r="H241" s="1"/>
      <c r="K241" s="8" t="s">
        <v>184</v>
      </c>
      <c r="L241" s="3633">
        <f>SUM(L235:L240)</f>
        <v>15336</v>
      </c>
      <c r="M241" s="3634"/>
      <c r="N241" s="3643"/>
      <c r="O241" s="502" t="s">
        <v>6498</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4698</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8640</v>
      </c>
      <c r="G243" s="3600"/>
      <c r="H243" s="1"/>
      <c r="I243" s="4" t="s">
        <v>1298</v>
      </c>
      <c r="O243" s="769" t="s">
        <v>2467</v>
      </c>
      <c r="P243" s="770">
        <f>SUM(MF49:MJ49)+SUM(MK49:MO49)+SUM(MP49:MT49)+P125</f>
        <v>54</v>
      </c>
      <c r="Q243" s="771">
        <f>SUM(Q239:Q242)</f>
        <v>13500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c r="G244" s="3600"/>
      <c r="H244" s="1"/>
      <c r="I244" s="72" t="s">
        <v>3929</v>
      </c>
      <c r="K244" s="1"/>
      <c r="L244" s="3611">
        <v>38610</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5940</v>
      </c>
      <c r="G245" s="3600"/>
      <c r="H245" s="1"/>
      <c r="I245" s="1" t="s">
        <v>140</v>
      </c>
      <c r="K245" s="1"/>
      <c r="L245" s="3613">
        <v>18900</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34128</v>
      </c>
      <c r="G247" s="3642"/>
      <c r="H247" s="1"/>
      <c r="K247" s="8" t="s">
        <v>184</v>
      </c>
      <c r="L247" s="3633">
        <f>SUM(L243:L246)</f>
        <v>57510</v>
      </c>
      <c r="M247" s="3640"/>
      <c r="N247" s="1"/>
      <c r="O247" s="4" t="s">
        <v>2030</v>
      </c>
      <c r="P247" s="1"/>
      <c r="Q247" s="326">
        <f>Q228+Q234</f>
        <v>246720</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69"/>
      <c r="L251" s="3570"/>
      <c r="M251" s="1284" t="s">
        <v>3900</v>
      </c>
      <c r="N251" s="1222"/>
      <c r="O251" s="4" t="s">
        <v>3875</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38" t="s">
        <v>7046</v>
      </c>
      <c r="B256" s="3638"/>
      <c r="C256" s="3638"/>
      <c r="D256" s="3638"/>
      <c r="E256" s="3638"/>
      <c r="F256" s="3638"/>
      <c r="G256" s="3638"/>
      <c r="H256" s="3638"/>
      <c r="I256" s="3638"/>
      <c r="J256" s="3638"/>
      <c r="K256" s="3638"/>
      <c r="L256" s="3638"/>
      <c r="M256" s="3638"/>
      <c r="N256" s="3637"/>
      <c r="O256" s="3637"/>
      <c r="P256" s="3637"/>
      <c r="Q256" s="3637"/>
      <c r="R256" s="3047"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2" priority="6" operator="equal">
      <formula>"Finish Row!"</formula>
    </cfRule>
  </conditionalFormatting>
  <conditionalFormatting sqref="A11:A48">
    <cfRule type="cellIs" dxfId="171" priority="34" stopIfTrue="1" operator="equal">
      <formula>1</formula>
    </cfRule>
  </conditionalFormatting>
  <conditionalFormatting sqref="B50:C50">
    <cfRule type="cellIs" dxfId="170" priority="19" operator="greaterThan">
      <formula>60.0000001</formula>
    </cfRule>
  </conditionalFormatting>
  <conditionalFormatting sqref="H11:I11">
    <cfRule type="expression" priority="32" stopIfTrue="1">
      <formula>AND($B11="PHA", $H11&gt;0)</formula>
    </cfRule>
  </conditionalFormatting>
  <conditionalFormatting sqref="J11:J48">
    <cfRule type="expression" priority="31" stopIfTrue="1">
      <formula>AND($B11="PHA", $H11&gt;0)</formula>
    </cfRule>
  </conditionalFormatting>
  <conditionalFormatting sqref="K93:P131 K56:P67">
    <cfRule type="cellIs" dxfId="169" priority="24" operator="equal">
      <formula>0</formula>
    </cfRule>
  </conditionalFormatting>
  <conditionalFormatting sqref="K130:P135">
    <cfRule type="cellIs" dxfId="168" priority="3" operator="equal">
      <formula>0</formula>
    </cfRule>
  </conditionalFormatting>
  <conditionalFormatting sqref="K136:P168">
    <cfRule type="cellIs" dxfId="167" priority="15" operator="equal">
      <formula>0</formula>
    </cfRule>
  </conditionalFormatting>
  <conditionalFormatting sqref="L102:O102">
    <cfRule type="cellIs" dxfId="166" priority="9" operator="equal">
      <formula>"&lt;&lt; Select LIHTC Election &gt;&gt;"</formula>
    </cfRule>
    <cfRule type="containsText" dxfId="165" priority="13" operator="containsText" text="&lt;&lt; Select Election or Income Averaging &gt;&gt;">
      <formula>NOT(ISERROR(SEARCH("&lt;&lt; Select Election or Income Averaging &gt;&gt;",L102)))</formula>
    </cfRule>
  </conditionalFormatting>
  <conditionalFormatting sqref="L145:O145">
    <cfRule type="cellIs" dxfId="164" priority="8" operator="equal">
      <formula>"&lt;&lt; Select LIHTC Election &gt;&gt;"</formula>
    </cfRule>
    <cfRule type="containsText" dxfId="163" priority="11" operator="containsText" text="&lt;&lt; Select Election or Income Averaging &gt;&gt;">
      <formula>NOT(ISERROR(SEARCH("&lt;&lt; Select Election or Income Averaging &gt;&gt;",L145)))</formula>
    </cfRule>
  </conditionalFormatting>
  <conditionalFormatting sqref="P179">
    <cfRule type="cellIs" dxfId="162" priority="30" operator="greaterThan">
      <formula>0.02</formula>
    </cfRule>
  </conditionalFormatting>
  <conditionalFormatting sqref="Q11:Q17 Q31:Q48">
    <cfRule type="expression" dxfId="161" priority="28">
      <formula>AND($P$11="New Construction",$Q$11="Yes")</formula>
    </cfRule>
  </conditionalFormatting>
  <conditionalFormatting sqref="U69">
    <cfRule type="cellIs" dxfId="160" priority="5" stopIfTrue="1" operator="greaterThan">
      <formula>0</formula>
    </cfRule>
  </conditionalFormatting>
  <conditionalFormatting sqref="U91:U92 U101:U103 U112 U126">
    <cfRule type="cellIs" dxfId="159" priority="33" stopIfTrue="1" operator="greaterThan">
      <formula>0</formula>
    </cfRule>
  </conditionalFormatting>
  <conditionalFormatting sqref="U155">
    <cfRule type="cellIs" dxfId="158" priority="16" stopIfTrue="1" operator="greaterThan">
      <formula>0</formula>
    </cfRule>
  </conditionalFormatting>
  <conditionalFormatting sqref="Q18:Q30">
    <cfRule type="expression" dxfId="157" priority="2">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140" sqref="A140:F14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The Bridges at Lincom, Hartwell, Hart County</v>
      </c>
      <c r="B2" s="3672"/>
      <c r="C2" s="3672"/>
      <c r="D2" s="3672"/>
      <c r="E2" s="3672"/>
      <c r="F2" s="3672"/>
      <c r="G2" s="3672"/>
      <c r="H2" s="3672"/>
      <c r="I2" s="3672"/>
      <c r="J2" s="3672"/>
      <c r="K2" s="3673"/>
      <c r="L2" s="4"/>
      <c r="M2" s="4"/>
      <c r="N2" s="3674" t="str">
        <f>A2</f>
        <v>PART SIX - OPERATING PRO FORMA  -  2023-0 The Bridges at Lincom, Hartwell, Hart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3402</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3403</v>
      </c>
      <c r="E6" s="3558"/>
      <c r="F6" s="3558"/>
      <c r="G6" s="59">
        <v>6075</v>
      </c>
      <c r="H6" s="75" t="s">
        <v>1768</v>
      </c>
      <c r="K6" s="80">
        <f>IF(($B$15+$B$16+$B$17+$B$18)=0,"",B31/($B$15+$B$16+$B$17+$B$18))</f>
        <v>-1.5627561183638429E-2</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8.9999317789427824E-2</v>
      </c>
      <c r="N8" s="3559"/>
      <c r="O8" s="3561"/>
      <c r="AA8" s="1721">
        <v>8</v>
      </c>
    </row>
    <row r="9" spans="1:27" ht="13.35" customHeight="1">
      <c r="A9" s="6" t="s">
        <v>2033</v>
      </c>
      <c r="B9" s="186">
        <v>7.0000000000000007E-2</v>
      </c>
      <c r="C9" s="1213" t="str">
        <f>IF(B9&lt;0.07, "Must be &gt;= 7%!","")</f>
        <v/>
      </c>
      <c r="D9" s="1" t="s">
        <v>2307</v>
      </c>
      <c r="G9" s="1228"/>
      <c r="H9" s="140" t="s">
        <v>1355</v>
      </c>
      <c r="K9" s="1230"/>
      <c r="N9" s="3559"/>
      <c r="O9" s="3561"/>
      <c r="AA9" s="1721">
        <v>9</v>
      </c>
    </row>
    <row r="10" spans="1:27">
      <c r="A10" s="6" t="s">
        <v>1336</v>
      </c>
      <c r="B10" s="58">
        <v>0.02</v>
      </c>
      <c r="D10" s="1" t="s">
        <v>1597</v>
      </c>
      <c r="G10" s="1229" t="s">
        <v>2649</v>
      </c>
      <c r="H10" s="140" t="s">
        <v>2174</v>
      </c>
      <c r="K10" s="1231">
        <v>0.09</v>
      </c>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409800</v>
      </c>
      <c r="C15" s="15">
        <f t="shared" ref="C15:K15" si="1">$B$15*(1+$B$6)^(C14-1)</f>
        <v>417996</v>
      </c>
      <c r="D15" s="15">
        <f t="shared" si="1"/>
        <v>426355.92</v>
      </c>
      <c r="E15" s="15">
        <f t="shared" si="1"/>
        <v>434883.03839999996</v>
      </c>
      <c r="F15" s="15">
        <f t="shared" si="1"/>
        <v>443580.69916799996</v>
      </c>
      <c r="G15" s="15">
        <f t="shared" si="1"/>
        <v>452452.31315136002</v>
      </c>
      <c r="H15" s="15">
        <f t="shared" si="1"/>
        <v>461501.3594143872</v>
      </c>
      <c r="I15" s="15">
        <f t="shared" si="1"/>
        <v>470731.38660267484</v>
      </c>
      <c r="J15" s="15">
        <f t="shared" si="1"/>
        <v>480146.01433472842</v>
      </c>
      <c r="K15" s="16">
        <f t="shared" si="1"/>
        <v>489748.93462142296</v>
      </c>
      <c r="N15" s="3562"/>
      <c r="O15" s="3564"/>
      <c r="S15" s="3667" t="s">
        <v>3408</v>
      </c>
      <c r="Z15" s="1719" t="s">
        <v>6460</v>
      </c>
      <c r="AA15" s="1721">
        <v>15</v>
      </c>
    </row>
    <row r="16" spans="1:27" ht="13.35" customHeight="1">
      <c r="A16" s="17" t="s">
        <v>952</v>
      </c>
      <c r="B16" s="18">
        <f>MIN(B15*B10,'Part V-Revenues &amp; Expenses'!$H$179)</f>
        <v>8196</v>
      </c>
      <c r="C16" s="18">
        <f t="shared" ref="C16:K16" si="2">$B$16*(1+$B$6)^(C14-1)</f>
        <v>8359.92</v>
      </c>
      <c r="D16" s="18">
        <f t="shared" si="2"/>
        <v>8527.1183999999994</v>
      </c>
      <c r="E16" s="18">
        <f t="shared" si="2"/>
        <v>8697.6607679999997</v>
      </c>
      <c r="F16" s="18">
        <f t="shared" si="2"/>
        <v>8871.6139833599991</v>
      </c>
      <c r="G16" s="18">
        <f t="shared" si="2"/>
        <v>9049.0462630271995</v>
      </c>
      <c r="H16" s="18">
        <f t="shared" si="2"/>
        <v>9230.0271882877441</v>
      </c>
      <c r="I16" s="18">
        <f t="shared" si="2"/>
        <v>9414.6277320534973</v>
      </c>
      <c r="J16" s="18">
        <f t="shared" si="2"/>
        <v>9602.9202866945689</v>
      </c>
      <c r="K16" s="19">
        <f t="shared" si="2"/>
        <v>9794.9786924284599</v>
      </c>
      <c r="N16" s="3559"/>
      <c r="O16" s="3561"/>
      <c r="S16" s="3668"/>
      <c r="Z16" s="1719" t="s">
        <v>6460</v>
      </c>
      <c r="AA16" s="1721">
        <v>16</v>
      </c>
    </row>
    <row r="17" spans="1:27" ht="13.35" customHeight="1">
      <c r="A17" s="17" t="s">
        <v>2216</v>
      </c>
      <c r="B17" s="18">
        <f t="shared" ref="B17:K17" si="3">-(B15+B16)*$B$9</f>
        <v>-29259.72</v>
      </c>
      <c r="C17" s="18">
        <f t="shared" si="3"/>
        <v>-29844.914400000001</v>
      </c>
      <c r="D17" s="18">
        <f t="shared" si="3"/>
        <v>-30441.812688000002</v>
      </c>
      <c r="E17" s="18">
        <f t="shared" si="3"/>
        <v>-31050.648941759999</v>
      </c>
      <c r="F17" s="18">
        <f t="shared" si="3"/>
        <v>-31671.661920595201</v>
      </c>
      <c r="G17" s="18">
        <f t="shared" si="3"/>
        <v>-32305.095159007109</v>
      </c>
      <c r="H17" s="18">
        <f t="shared" si="3"/>
        <v>-32951.197062187253</v>
      </c>
      <c r="I17" s="18">
        <f t="shared" si="3"/>
        <v>-33610.22100343099</v>
      </c>
      <c r="J17" s="18">
        <f t="shared" si="3"/>
        <v>-34282.425423499611</v>
      </c>
      <c r="K17" s="19">
        <f t="shared" si="3"/>
        <v>-34968.0739319696</v>
      </c>
      <c r="N17" s="3559"/>
      <c r="O17" s="3561"/>
      <c r="Q17" s="3670" t="s">
        <v>3298</v>
      </c>
      <c r="R17" s="3670" t="s">
        <v>3407</v>
      </c>
      <c r="S17" s="3668"/>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6460</v>
      </c>
      <c r="AA19" s="1721">
        <v>19</v>
      </c>
    </row>
    <row r="20" spans="1:27" ht="13.35" customHeight="1">
      <c r="A20" s="341" t="s">
        <v>3837</v>
      </c>
      <c r="B20" s="18">
        <f>SUM(B15:B19)</f>
        <v>388736.28</v>
      </c>
      <c r="C20" s="18">
        <f t="shared" ref="C20:K20" si="4">SUM(C15:C19)</f>
        <v>396511.00559999997</v>
      </c>
      <c r="D20" s="18">
        <f t="shared" si="4"/>
        <v>404441.22571199998</v>
      </c>
      <c r="E20" s="18">
        <f t="shared" si="4"/>
        <v>412530.05022623995</v>
      </c>
      <c r="F20" s="18">
        <f t="shared" si="4"/>
        <v>420780.65123076475</v>
      </c>
      <c r="G20" s="18">
        <f t="shared" si="4"/>
        <v>429196.26425538008</v>
      </c>
      <c r="H20" s="18">
        <f t="shared" si="4"/>
        <v>437780.18954048771</v>
      </c>
      <c r="I20" s="18">
        <f t="shared" si="4"/>
        <v>446535.79333129735</v>
      </c>
      <c r="J20" s="18">
        <f t="shared" si="4"/>
        <v>455466.50919792335</v>
      </c>
      <c r="K20" s="19">
        <f t="shared" si="4"/>
        <v>464575.83938188181</v>
      </c>
      <c r="N20" s="3559"/>
      <c r="O20" s="3561"/>
      <c r="Z20" s="1719" t="s">
        <v>6460</v>
      </c>
      <c r="AA20" s="1721">
        <v>20</v>
      </c>
    </row>
    <row r="21" spans="1:27" ht="13.35" customHeight="1">
      <c r="A21" s="17" t="s">
        <v>572</v>
      </c>
      <c r="B21" s="18">
        <f>-('Part V-Revenues &amp; Expenses'!$Q$228-'Part V-Revenues &amp; Expenses'!$Q$220)</f>
        <v>-198234</v>
      </c>
      <c r="C21" s="18">
        <f t="shared" ref="C21:K21" si="5">$B$21*(1+$B$7)^(C14-1)</f>
        <v>-204181.02000000002</v>
      </c>
      <c r="D21" s="18">
        <f t="shared" si="5"/>
        <v>-210306.45059999998</v>
      </c>
      <c r="E21" s="18">
        <f t="shared" si="5"/>
        <v>-216615.644118</v>
      </c>
      <c r="F21" s="18">
        <f t="shared" si="5"/>
        <v>-223114.11344153999</v>
      </c>
      <c r="G21" s="18">
        <f t="shared" si="5"/>
        <v>-229807.53684478617</v>
      </c>
      <c r="H21" s="18">
        <f t="shared" si="5"/>
        <v>-236701.76295012978</v>
      </c>
      <c r="I21" s="18">
        <f t="shared" si="5"/>
        <v>-243802.81583863369</v>
      </c>
      <c r="J21" s="18">
        <f t="shared" si="5"/>
        <v>-251116.90031379266</v>
      </c>
      <c r="K21" s="19">
        <f t="shared" si="5"/>
        <v>-258650.40732320645</v>
      </c>
      <c r="N21" s="3559"/>
      <c r="O21" s="3561"/>
      <c r="Q21" s="47">
        <v>1</v>
      </c>
      <c r="R21" s="869">
        <f>-B32</f>
        <v>915</v>
      </c>
      <c r="S21" s="869">
        <f>B33+R21</f>
        <v>26661.060000000027</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-34986</v>
      </c>
      <c r="C22" s="18">
        <f>IF(AND('Part VI-Pro Forma'!$G$9="Yes",'Part VI-Pro Forma'!$G$10="Yes"),"Choose One!",IF('Part VI-Pro Forma'!$G$9="Yes",ROUND((-$K$9*(1+'Part VI-Pro Forma'!$B$7)^('Part VI-Pro Forma'!C14-1)),),IF('Part VI-Pro Forma'!$G$10="Yes",ROUND((-(SUM(C15:C18)*'Part VI-Pro Forma'!$K$10)),),"Choose mgt fee")))</f>
        <v>-35686</v>
      </c>
      <c r="D22" s="18">
        <f>IF(AND('Part VI-Pro Forma'!$G$9="Yes",'Part VI-Pro Forma'!$G$10="Yes"),"Choose One!",IF('Part VI-Pro Forma'!$G$9="Yes",ROUND((-$K$9*(1+'Part VI-Pro Forma'!$B$7)^('Part VI-Pro Forma'!D14-1)),),IF('Part VI-Pro Forma'!$G$10="Yes",ROUND((-(SUM(D15:D18)*'Part VI-Pro Forma'!$K$10)),),"Choose mgt fee")))</f>
        <v>-36400</v>
      </c>
      <c r="E22" s="18">
        <f>IF(AND('Part VI-Pro Forma'!$G$9="Yes",'Part VI-Pro Forma'!$G$10="Yes"),"Choose One!",IF('Part VI-Pro Forma'!$G$9="Yes",ROUND((-$K$9*(1+'Part VI-Pro Forma'!$B$7)^('Part VI-Pro Forma'!E14-1)),),IF('Part VI-Pro Forma'!$G$10="Yes",ROUND((-(SUM(E15:E18)*'Part VI-Pro Forma'!$K$10)),),"Choose mgt fee")))</f>
        <v>-37128</v>
      </c>
      <c r="F22" s="18">
        <f>IF(AND('Part VI-Pro Forma'!$G$9="Yes",'Part VI-Pro Forma'!$G$10="Yes"),"Choose One!",IF('Part VI-Pro Forma'!$G$9="Yes",ROUND((-$K$9*(1+'Part VI-Pro Forma'!$B$7)^('Part VI-Pro Forma'!F14-1)),),IF('Part VI-Pro Forma'!$G$10="Yes",ROUND((-(SUM(F15:F18)*'Part VI-Pro Forma'!$K$10)),),"Choose mgt fee")))</f>
        <v>-37870</v>
      </c>
      <c r="G22" s="18">
        <f>IF(AND('Part VI-Pro Forma'!$G$9="Yes",'Part VI-Pro Forma'!$G$10="Yes"),"Choose One!",IF('Part VI-Pro Forma'!$G$9="Yes",ROUND((-$K$9*(1+'Part VI-Pro Forma'!$B$7)^('Part VI-Pro Forma'!G14-1)),),IF('Part VI-Pro Forma'!$G$10="Yes",ROUND((-(SUM(G15:G18)*'Part VI-Pro Forma'!$K$10)),),"Choose mgt fee")))</f>
        <v>-38628</v>
      </c>
      <c r="H22" s="18">
        <f>IF(AND('Part VI-Pro Forma'!$G$9="Yes",'Part VI-Pro Forma'!$G$10="Yes"),"Choose One!",IF('Part VI-Pro Forma'!$G$9="Yes",ROUND((-$K$9*(1+'Part VI-Pro Forma'!$B$7)^('Part VI-Pro Forma'!H14-1)),),IF('Part VI-Pro Forma'!$G$10="Yes",ROUND((-(SUM(H15:H18)*'Part VI-Pro Forma'!$K$10)),),"Choose mgt fee")))</f>
        <v>-39400</v>
      </c>
      <c r="I22" s="18">
        <f>IF(AND('Part VI-Pro Forma'!$G$9="Yes",'Part VI-Pro Forma'!$G$10="Yes"),"Choose One!",IF('Part VI-Pro Forma'!$G$9="Yes",ROUND((-$K$9*(1+'Part VI-Pro Forma'!$B$7)^('Part VI-Pro Forma'!I14-1)),),IF('Part VI-Pro Forma'!$G$10="Yes",ROUND((-(SUM(I15:I18)*'Part VI-Pro Forma'!$K$10)),),"Choose mgt fee")))</f>
        <v>-40188</v>
      </c>
      <c r="J22" s="18">
        <f>IF(AND('Part VI-Pro Forma'!$G$9="Yes",'Part VI-Pro Forma'!$G$10="Yes"),"Choose One!",IF('Part VI-Pro Forma'!$G$9="Yes",ROUND((-$K$9*(1+'Part VI-Pro Forma'!$B$7)^('Part VI-Pro Forma'!J14-1)),),IF('Part VI-Pro Forma'!$G$10="Yes",ROUND((-(SUM(J15:J18)*'Part VI-Pro Forma'!$K$10)),),"Choose mgt fee")))</f>
        <v>-40992</v>
      </c>
      <c r="K22" s="19">
        <f>IF(AND('Part VI-Pro Forma'!$G$9="Yes",'Part VI-Pro Forma'!$G$10="Yes"),"Choose One!",IF('Part VI-Pro Forma'!$G$9="Yes",ROUND((-$K$9*(1+'Part VI-Pro Forma'!$B$7)^('Part VI-Pro Forma'!K14-1)),),IF('Part VI-Pro Forma'!$G$10="Yes",ROUND((-(SUM(K15:K18)*'Part VI-Pro Forma'!$K$10)),),"Choose mgt fee")))</f>
        <v>-41812</v>
      </c>
      <c r="N22" s="3559"/>
      <c r="O22" s="3561"/>
      <c r="Q22" s="47">
        <v>2</v>
      </c>
      <c r="R22" s="869">
        <f>-SUM(B32:C32)</f>
        <v>915</v>
      </c>
      <c r="S22" s="869">
        <f>SUM(B33:C33)+R22</f>
        <v>53862.575599999982</v>
      </c>
      <c r="Z22" s="1719" t="s">
        <v>6460</v>
      </c>
      <c r="AA22" s="1721">
        <v>22</v>
      </c>
    </row>
    <row r="23" spans="1:27" ht="13.35" customHeight="1">
      <c r="A23" s="17" t="s">
        <v>1128</v>
      </c>
      <c r="B23" s="18">
        <f>-('Part V-Revenues &amp; Expenses'!$Q$234)</f>
        <v>-13500</v>
      </c>
      <c r="C23" s="18">
        <f t="shared" ref="C23:K23" si="6">$B$23*(1+$B$8)^(C14-1)</f>
        <v>-13905</v>
      </c>
      <c r="D23" s="18">
        <f t="shared" si="6"/>
        <v>-14322.15</v>
      </c>
      <c r="E23" s="18">
        <f t="shared" si="6"/>
        <v>-14751.8145</v>
      </c>
      <c r="F23" s="18">
        <f t="shared" si="6"/>
        <v>-15194.368934999999</v>
      </c>
      <c r="G23" s="18">
        <f t="shared" si="6"/>
        <v>-15650.200003049998</v>
      </c>
      <c r="H23" s="18">
        <f t="shared" si="6"/>
        <v>-16119.706003141499</v>
      </c>
      <c r="I23" s="18">
        <f t="shared" si="6"/>
        <v>-16603.297183235743</v>
      </c>
      <c r="J23" s="18">
        <f t="shared" si="6"/>
        <v>-17101.396098732814</v>
      </c>
      <c r="K23" s="19">
        <f t="shared" si="6"/>
        <v>-17614.437981694799</v>
      </c>
      <c r="N23" s="3559"/>
      <c r="O23" s="3561"/>
      <c r="Q23" s="47">
        <v>3</v>
      </c>
      <c r="R23" s="869">
        <f>-SUM(B32:D32)</f>
        <v>915</v>
      </c>
      <c r="S23" s="869">
        <f>SUM(B33:D33)+R23</f>
        <v>81550.013211999991</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915</v>
      </c>
      <c r="S24" s="869">
        <f>SUM(B33:E33)+R24</f>
        <v>109666.06829523994</v>
      </c>
      <c r="Z24" s="1719" t="s">
        <v>6460</v>
      </c>
      <c r="AA24" s="1721">
        <v>24</v>
      </c>
    </row>
    <row r="25" spans="1:27" ht="13.35" customHeight="1">
      <c r="A25" s="17" t="s">
        <v>1129</v>
      </c>
      <c r="B25" s="18">
        <f>SUM(B20:B24)</f>
        <v>142016.28000000003</v>
      </c>
      <c r="C25" s="18">
        <f t="shared" ref="C25:J25" si="7">SUM(C20:C24)</f>
        <v>142738.98559999996</v>
      </c>
      <c r="D25" s="18">
        <f t="shared" si="7"/>
        <v>143412.62511200001</v>
      </c>
      <c r="E25" s="18">
        <f t="shared" si="7"/>
        <v>144034.59160823995</v>
      </c>
      <c r="F25" s="18">
        <f t="shared" si="7"/>
        <v>144602.16885422476</v>
      </c>
      <c r="G25" s="18">
        <f t="shared" si="7"/>
        <v>145110.52740754391</v>
      </c>
      <c r="H25" s="18">
        <f t="shared" si="7"/>
        <v>145558.72058721643</v>
      </c>
      <c r="I25" s="18">
        <f t="shared" si="7"/>
        <v>145941.6803094279</v>
      </c>
      <c r="J25" s="18">
        <f t="shared" si="7"/>
        <v>146256.21278539789</v>
      </c>
      <c r="K25" s="1215">
        <f>SUM(K20:K24)</f>
        <v>146498.99407698057</v>
      </c>
      <c r="N25" s="3559"/>
      <c r="O25" s="3561"/>
      <c r="Q25" s="92">
        <v>5</v>
      </c>
      <c r="R25" s="869">
        <f>-SUM(B32:F32)</f>
        <v>915</v>
      </c>
      <c r="S25" s="869">
        <f>SUM(B33:F33)+R25</f>
        <v>138150.55112871469</v>
      </c>
      <c r="Z25" s="1719" t="s">
        <v>6460</v>
      </c>
      <c r="AA25" s="1721">
        <v>25</v>
      </c>
    </row>
    <row r="26" spans="1:27" ht="13.35" customHeight="1">
      <c r="A26" s="341" t="s">
        <v>1486</v>
      </c>
      <c r="B26" s="342">
        <f>IF('Part II-Sources of Funds'!$P$40="", 0,-'Part II-Sources of Funds'!$P$40)</f>
        <v>-109280.22</v>
      </c>
      <c r="C26" s="342">
        <f>IF('Part II-Sources of Funds'!$P$40="", 0,-'Part II-Sources of Funds'!$P$40)</f>
        <v>-109280.22</v>
      </c>
      <c r="D26" s="342">
        <f>IF('Part II-Sources of Funds'!$P$40="", 0,-'Part II-Sources of Funds'!$P$40)</f>
        <v>-109280.22</v>
      </c>
      <c r="E26" s="342">
        <f>IF('Part II-Sources of Funds'!$P$40="", 0,-'Part II-Sources of Funds'!$P$40)</f>
        <v>-109280.22</v>
      </c>
      <c r="F26" s="342">
        <f>IF('Part II-Sources of Funds'!$P$40="", 0,-'Part II-Sources of Funds'!$P$40)</f>
        <v>-109280.22</v>
      </c>
      <c r="G26" s="342">
        <f>IF('Part II-Sources of Funds'!$P$40="", 0,-'Part II-Sources of Funds'!$P$40)</f>
        <v>-109280.22</v>
      </c>
      <c r="H26" s="342">
        <f>IF('Part II-Sources of Funds'!$P$40="", 0,-'Part II-Sources of Funds'!$P$40)</f>
        <v>-109280.22</v>
      </c>
      <c r="I26" s="342">
        <f>IF('Part II-Sources of Funds'!$P$40="", 0,-'Part II-Sources of Funds'!$P$40)</f>
        <v>-109280.22</v>
      </c>
      <c r="J26" s="342">
        <f>IF('Part II-Sources of Funds'!$P$40="", 0,-'Part II-Sources of Funds'!$P$40)</f>
        <v>-109280.22</v>
      </c>
      <c r="K26" s="342">
        <f>IF('Part II-Sources of Funds'!$P$40="", 0,-'Part II-Sources of Funds'!$P$40)</f>
        <v>-109280.22</v>
      </c>
      <c r="N26" s="3559"/>
      <c r="O26" s="3561"/>
      <c r="Q26" s="92">
        <v>6</v>
      </c>
      <c r="R26" s="869">
        <f>-SUM(B32:G32)</f>
        <v>915</v>
      </c>
      <c r="S26" s="869">
        <f>SUM(B33:G33)+R26</f>
        <v>166938.2685348861</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915</v>
      </c>
      <c r="S27" s="869">
        <f>SUM(B33:H33)+R27</f>
        <v>195962.90142068884</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915</v>
      </c>
      <c r="S28" s="869">
        <f>SUM(B33:I33)+R28</f>
        <v>225152.87799766066</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915</v>
      </c>
      <c r="S29" s="869">
        <f>SUM(B33:J33)+R29</f>
        <v>254433.24253862878</v>
      </c>
      <c r="Z29" s="1719" t="s">
        <v>6460</v>
      </c>
      <c r="AA29" s="1721">
        <v>29</v>
      </c>
    </row>
    <row r="30" spans="1:27" ht="13.35" customHeight="1">
      <c r="A30" s="17" t="s">
        <v>711</v>
      </c>
      <c r="B30" s="138"/>
      <c r="C30" s="138"/>
      <c r="D30" s="138"/>
      <c r="E30" s="138"/>
      <c r="F30" s="138"/>
      <c r="G30" s="138"/>
      <c r="H30" s="138"/>
      <c r="I30" s="138"/>
      <c r="J30" s="138"/>
      <c r="K30" s="138"/>
      <c r="N30" s="3559"/>
      <c r="O30" s="3561"/>
      <c r="Q30" s="92">
        <v>10</v>
      </c>
      <c r="R30" s="869">
        <f>-SUM(B32:K32)</f>
        <v>915</v>
      </c>
      <c r="S30" s="869">
        <f>SUM(B33:K33)+R30</f>
        <v>283725.51952384668</v>
      </c>
      <c r="Z30" s="1719" t="s">
        <v>6460</v>
      </c>
      <c r="AA30" s="1721">
        <v>30</v>
      </c>
    </row>
    <row r="31" spans="1:27" ht="13.35" customHeight="1">
      <c r="A31" s="341" t="s">
        <v>1095</v>
      </c>
      <c r="B31" s="907">
        <f>-$G$6</f>
        <v>-6075</v>
      </c>
      <c r="C31" s="907">
        <f>B31+B31*0.03</f>
        <v>-6257.25</v>
      </c>
      <c r="D31" s="907">
        <f t="shared" ref="D31:K31" si="8">C31+C31*0.03</f>
        <v>-6444.9674999999997</v>
      </c>
      <c r="E31" s="907">
        <f t="shared" si="8"/>
        <v>-6638.3165250000002</v>
      </c>
      <c r="F31" s="907">
        <f t="shared" si="8"/>
        <v>-6837.4660207500001</v>
      </c>
      <c r="G31" s="907">
        <f t="shared" si="8"/>
        <v>-7042.5900013725004</v>
      </c>
      <c r="H31" s="907">
        <f t="shared" si="8"/>
        <v>-7253.8677014136756</v>
      </c>
      <c r="I31" s="907">
        <f t="shared" si="8"/>
        <v>-7471.4837324560858</v>
      </c>
      <c r="J31" s="907">
        <f t="shared" si="8"/>
        <v>-7695.6282444297685</v>
      </c>
      <c r="K31" s="907">
        <f t="shared" si="8"/>
        <v>-7926.4970917626615</v>
      </c>
      <c r="N31" s="3559"/>
      <c r="O31" s="3561"/>
      <c r="Q31" s="92">
        <v>11</v>
      </c>
      <c r="R31" s="869">
        <f>-SUM(B32:K32)-B64</f>
        <v>915</v>
      </c>
      <c r="S31" s="869">
        <f>SUM(B33:K33)+B65+R31</f>
        <v>312947.57302480238</v>
      </c>
      <c r="Z31" s="1719" t="s">
        <v>6460</v>
      </c>
      <c r="AA31" s="1721">
        <v>31</v>
      </c>
    </row>
    <row r="32" spans="1:27" ht="13.35" customHeight="1">
      <c r="A32" s="341" t="s">
        <v>3361</v>
      </c>
      <c r="B32" s="179">
        <v>-915</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915</v>
      </c>
      <c r="S32" s="869">
        <f>SUM(B33:K33) + SUM(B65:C65)+R32</f>
        <v>342012.4611690914</v>
      </c>
      <c r="Z32" s="1719" t="s">
        <v>6460</v>
      </c>
      <c r="AA32" s="1721">
        <v>32</v>
      </c>
    </row>
    <row r="33" spans="1:27" ht="13.35" customHeight="1">
      <c r="A33" s="17" t="s">
        <v>1096</v>
      </c>
      <c r="B33" s="18">
        <f t="shared" ref="B33:K33" si="9">SUM(B25:B32)</f>
        <v>25746.060000000027</v>
      </c>
      <c r="C33" s="18">
        <f t="shared" si="9"/>
        <v>27201.515599999955</v>
      </c>
      <c r="D33" s="18">
        <f t="shared" si="9"/>
        <v>27687.437612000009</v>
      </c>
      <c r="E33" s="18">
        <f t="shared" si="9"/>
        <v>28116.055083239946</v>
      </c>
      <c r="F33" s="18">
        <f t="shared" si="9"/>
        <v>28484.482833474758</v>
      </c>
      <c r="G33" s="18">
        <f t="shared" si="9"/>
        <v>28787.717406171407</v>
      </c>
      <c r="H33" s="18">
        <f t="shared" si="9"/>
        <v>29024.632885802755</v>
      </c>
      <c r="I33" s="18">
        <f t="shared" si="9"/>
        <v>29189.976576971814</v>
      </c>
      <c r="J33" s="18">
        <f t="shared" si="9"/>
        <v>29280.364540968119</v>
      </c>
      <c r="K33" s="19">
        <f t="shared" si="9"/>
        <v>29292.276985217904</v>
      </c>
      <c r="N33" s="3559"/>
      <c r="O33" s="3561"/>
      <c r="Q33" s="92">
        <v>13</v>
      </c>
      <c r="R33" s="869">
        <f>-SUM(B32:K32) - SUM(B64:D64)</f>
        <v>915</v>
      </c>
      <c r="S33" s="869">
        <f>SUM(B33:K33) + SUM(B65:D65)+R33</f>
        <v>370829.28552478016</v>
      </c>
      <c r="Z33" s="1719" t="s">
        <v>6460</v>
      </c>
      <c r="AA33" s="1721">
        <v>33</v>
      </c>
    </row>
    <row r="34" spans="1:27" ht="13.35" customHeight="1">
      <c r="A34" s="17" t="str">
        <f>IF('Part II-Sources of Funds'!$E$40 = "Neither", "", "DCR Mortgage A")</f>
        <v>DCR Mortgage A</v>
      </c>
      <c r="B34" s="20">
        <f t="shared" ref="B34:K34" si="10">IF(B26=0,"",-B25/B26)</f>
        <v>1.2995607073265412</v>
      </c>
      <c r="C34" s="20">
        <f t="shared" si="10"/>
        <v>1.3061740322265087</v>
      </c>
      <c r="D34" s="20">
        <f t="shared" si="10"/>
        <v>1.3123383638136894</v>
      </c>
      <c r="E34" s="20">
        <f t="shared" si="10"/>
        <v>1.3180298466478193</v>
      </c>
      <c r="F34" s="20">
        <f t="shared" si="10"/>
        <v>1.3232236250460034</v>
      </c>
      <c r="G34" s="20">
        <f t="shared" si="10"/>
        <v>1.3278755058101448</v>
      </c>
      <c r="H34" s="20">
        <f t="shared" si="10"/>
        <v>1.3319768260643732</v>
      </c>
      <c r="I34" s="20">
        <f t="shared" si="10"/>
        <v>1.3354812088539709</v>
      </c>
      <c r="J34" s="20">
        <f t="shared" si="10"/>
        <v>1.3383594284985689</v>
      </c>
      <c r="K34" s="21">
        <f t="shared" si="10"/>
        <v>1.3405810683486963</v>
      </c>
      <c r="N34" s="3559"/>
      <c r="O34" s="3561"/>
      <c r="Q34" s="92">
        <v>14</v>
      </c>
      <c r="R34" s="869">
        <f>-SUM(B32:K32) - SUM(B64:E64)</f>
        <v>915</v>
      </c>
      <c r="S34" s="869">
        <f>SUM(B33:K33) + SUM(B65:E65)+R34</f>
        <v>399303.03523755202</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915</v>
      </c>
      <c r="S35" s="869">
        <f>SUM(B33:K33) + SUM(B65:F65)+R35</f>
        <v>427332.42574864748</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915</v>
      </c>
      <c r="S36" s="869">
        <f>SUM(B33:K33) + SUM(B65:G65)+R36</f>
        <v>454813.73191615503</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915</v>
      </c>
      <c r="S37" s="869">
        <f>SUM(B33:K33) + SUM(B65:H65)+R37</f>
        <v>481636.61535658897</v>
      </c>
      <c r="Z37" s="1719" t="s">
        <v>6460</v>
      </c>
      <c r="AA37" s="1721">
        <v>37</v>
      </c>
    </row>
    <row r="38" spans="1:27" ht="13.35" customHeight="1">
      <c r="A38" s="341" t="s">
        <v>3213</v>
      </c>
      <c r="B38" s="20">
        <f t="shared" ref="B38:K38" si="14">IF(AND(B26=0,B27=0,B28=0,B29=0),"",-B25/(B26+B27+B28+B29))</f>
        <v>1.2995607073265412</v>
      </c>
      <c r="C38" s="20">
        <f t="shared" si="14"/>
        <v>1.3061740322265087</v>
      </c>
      <c r="D38" s="20">
        <f t="shared" si="14"/>
        <v>1.3123383638136894</v>
      </c>
      <c r="E38" s="20">
        <f t="shared" si="14"/>
        <v>1.3180298466478193</v>
      </c>
      <c r="F38" s="20">
        <f t="shared" si="14"/>
        <v>1.3232236250460034</v>
      </c>
      <c r="G38" s="20">
        <f t="shared" si="14"/>
        <v>1.3278755058101448</v>
      </c>
      <c r="H38" s="20">
        <f t="shared" si="14"/>
        <v>1.3319768260643732</v>
      </c>
      <c r="I38" s="20">
        <f t="shared" si="14"/>
        <v>1.3354812088539709</v>
      </c>
      <c r="J38" s="20">
        <f t="shared" si="14"/>
        <v>1.3383594284985689</v>
      </c>
      <c r="K38" s="21">
        <f t="shared" si="14"/>
        <v>1.3405810683486963</v>
      </c>
      <c r="N38" s="3559"/>
      <c r="O38" s="3561"/>
      <c r="Q38" s="47">
        <v>18</v>
      </c>
      <c r="R38" s="869">
        <f>-SUM(B32:K32) - SUM(B64:I64)</f>
        <v>915</v>
      </c>
      <c r="S38" s="869">
        <f>SUM(B33:K33) + SUM(B65:I65)+R38</f>
        <v>507686.94581789477</v>
      </c>
      <c r="Z38" s="1719" t="s">
        <v>6460</v>
      </c>
      <c r="AA38" s="1721">
        <v>38</v>
      </c>
    </row>
    <row r="39" spans="1:27" ht="13.35" customHeight="1">
      <c r="A39" s="17" t="s">
        <v>718</v>
      </c>
      <c r="B39" s="220">
        <f t="shared" ref="B39:K39" si="15">IF(OR(B22="Choose mgt fee",B22="Choose One!"),"",(B15+B16+B17+B18+B19) / -(B21+B22+B23))</f>
        <v>1.5756172178988328</v>
      </c>
      <c r="C39" s="220">
        <f t="shared" si="15"/>
        <v>1.5624693597032484</v>
      </c>
      <c r="D39" s="220">
        <f t="shared" si="15"/>
        <v>1.5494134542435272</v>
      </c>
      <c r="E39" s="220">
        <f t="shared" si="15"/>
        <v>1.536450755441507</v>
      </c>
      <c r="F39" s="220">
        <f t="shared" si="15"/>
        <v>1.5235823139076965</v>
      </c>
      <c r="G39" s="220">
        <f t="shared" si="15"/>
        <v>1.5107983562204288</v>
      </c>
      <c r="H39" s="220">
        <f t="shared" si="15"/>
        <v>1.4981109742162459</v>
      </c>
      <c r="I39" s="220">
        <f t="shared" si="15"/>
        <v>1.4855107734555335</v>
      </c>
      <c r="J39" s="220">
        <f t="shared" si="15"/>
        <v>1.4729991674994991</v>
      </c>
      <c r="K39" s="221">
        <f t="shared" si="15"/>
        <v>1.4605773612239834</v>
      </c>
      <c r="N39" s="3559"/>
      <c r="O39" s="3561"/>
      <c r="Q39" s="92">
        <v>19</v>
      </c>
      <c r="R39" s="869">
        <f>-SUM(B32:K32) - SUM(B64:J64)</f>
        <v>915</v>
      </c>
      <c r="S39" s="869">
        <f>SUM(B33:K33) + SUM(B65:J65)+R39</f>
        <v>532843.61638905201</v>
      </c>
      <c r="Z39" s="1719" t="s">
        <v>6460</v>
      </c>
      <c r="AA39" s="1721">
        <v>39</v>
      </c>
    </row>
    <row r="40" spans="1:27" ht="13.35" customHeight="1">
      <c r="A40" s="341" t="s">
        <v>2405</v>
      </c>
      <c r="B40" s="177">
        <f>IF('Part II-Sources of Funds'!$I$40="","",-FV('Part II-Sources of Funds'!$K$40/12,12,B26/12,'Part II-Sources of Funds'!$I$40))</f>
        <v>1046854.2321632132</v>
      </c>
      <c r="C40" s="177">
        <f>IF('Part II-Sources of Funds'!$I$40="","",-FV('Part II-Sources of Funds'!$K$40/12,12,C26/12,B40))</f>
        <v>1023052.8554660277</v>
      </c>
      <c r="D40" s="177">
        <f>IF('Part II-Sources of Funds'!$I$40="","",-FV('Part II-Sources of Funds'!$K$40/12,12,D26/12,C40))</f>
        <v>997211.88789756596</v>
      </c>
      <c r="E40" s="177">
        <f>IF('Part II-Sources of Funds'!$I$40="","",-FV('Part II-Sources of Funds'!$K$40/12,12,E26/12,D40))</f>
        <v>969156.55255415896</v>
      </c>
      <c r="F40" s="177">
        <f>IF('Part II-Sources of Funds'!$I$40="","",-FV('Part II-Sources of Funds'!$K$40/12,12,F26/12,E40))</f>
        <v>938697.09552548081</v>
      </c>
      <c r="G40" s="177">
        <f>IF('Part II-Sources of Funds'!$I$40="","",-FV('Part II-Sources of Funds'!$K$40/12,12,G26/12,F40))</f>
        <v>905627.50248281867</v>
      </c>
      <c r="H40" s="177">
        <f>IF('Part II-Sources of Funds'!$I$40="","",-FV('Part II-Sources of Funds'!$K$40/12,12,H26/12,G40))</f>
        <v>869724.10528904572</v>
      </c>
      <c r="I40" s="177">
        <f>IF('Part II-Sources of Funds'!$I$40="","",-FV('Part II-Sources of Funds'!$K$40/12,12,I26/12,H40))</f>
        <v>830744.06920602371</v>
      </c>
      <c r="J40" s="177">
        <f>IF('Part II-Sources of Funds'!$I$40="","",-FV('Part II-Sources of Funds'!$K$40/12,12,J26/12,I40))</f>
        <v>788423.75046757224</v>
      </c>
      <c r="K40" s="177">
        <f>IF('Part II-Sources of Funds'!$I$40="","",-FV('Part II-Sources of Funds'!$K$40/12,12,K26/12,J40))</f>
        <v>742476.91310935305</v>
      </c>
      <c r="N40" s="3559"/>
      <c r="O40" s="3561"/>
      <c r="Q40" s="92">
        <v>20</v>
      </c>
      <c r="R40" s="869">
        <f>-SUM(B32:K32) - SUM(B64:K64)</f>
        <v>915</v>
      </c>
      <c r="S40" s="869">
        <f>SUM(B33:K33) + SUM(B65:K65)+R40</f>
        <v>556981.35234527639</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6460</v>
      </c>
      <c r="AA43" s="1721">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499543.91331385146</v>
      </c>
      <c r="C47" s="15">
        <f t="shared" si="17"/>
        <v>509534.79158012843</v>
      </c>
      <c r="D47" s="15">
        <f t="shared" si="17"/>
        <v>519725.48741173104</v>
      </c>
      <c r="E47" s="15">
        <f t="shared" si="17"/>
        <v>530119.99715996569</v>
      </c>
      <c r="F47" s="15">
        <f t="shared" si="17"/>
        <v>540722.39710316504</v>
      </c>
      <c r="G47" s="15">
        <f t="shared" si="17"/>
        <v>551536.84504522814</v>
      </c>
      <c r="H47" s="15">
        <f t="shared" si="17"/>
        <v>562567.58194613282</v>
      </c>
      <c r="I47" s="15">
        <f t="shared" si="17"/>
        <v>573818.93358505552</v>
      </c>
      <c r="J47" s="15">
        <f t="shared" si="17"/>
        <v>585295.31225675659</v>
      </c>
      <c r="K47" s="16">
        <f t="shared" si="17"/>
        <v>597001.21850189171</v>
      </c>
      <c r="N47" s="3562"/>
      <c r="O47" s="3564"/>
      <c r="Z47" s="1719" t="s">
        <v>6461</v>
      </c>
      <c r="AA47" s="1721">
        <v>47</v>
      </c>
    </row>
    <row r="48" spans="1:27" ht="13.35" customHeight="1">
      <c r="A48" s="17" t="s">
        <v>952</v>
      </c>
      <c r="B48" s="18">
        <f t="shared" ref="B48:K48" si="18">$B$16*(1+$B$6)^(B46-1)</f>
        <v>9990.87826627703</v>
      </c>
      <c r="C48" s="18">
        <f t="shared" si="18"/>
        <v>10190.695831602568</v>
      </c>
      <c r="D48" s="18">
        <f t="shared" si="18"/>
        <v>10394.509748234621</v>
      </c>
      <c r="E48" s="18">
        <f t="shared" si="18"/>
        <v>10602.399943199312</v>
      </c>
      <c r="F48" s="18">
        <f t="shared" si="18"/>
        <v>10814.4479420633</v>
      </c>
      <c r="G48" s="18">
        <f t="shared" si="18"/>
        <v>11030.736900904563</v>
      </c>
      <c r="H48" s="18">
        <f t="shared" si="18"/>
        <v>11251.351638922657</v>
      </c>
      <c r="I48" s="18">
        <f t="shared" si="18"/>
        <v>11476.37867170111</v>
      </c>
      <c r="J48" s="18">
        <f t="shared" si="18"/>
        <v>11705.906245135131</v>
      </c>
      <c r="K48" s="19">
        <f t="shared" si="18"/>
        <v>11940.024370037834</v>
      </c>
      <c r="N48" s="3559"/>
      <c r="O48" s="3561"/>
      <c r="Z48" s="1719" t="s">
        <v>6461</v>
      </c>
      <c r="AA48" s="1721">
        <v>48</v>
      </c>
    </row>
    <row r="49" spans="1:27" ht="13.35" customHeight="1">
      <c r="A49" s="17" t="s">
        <v>2216</v>
      </c>
      <c r="B49" s="18">
        <f t="shared" ref="B49:K49" si="19">-(B47+B48)*$B$9</f>
        <v>-35667.435410608996</v>
      </c>
      <c r="C49" s="18">
        <f t="shared" si="19"/>
        <v>-36380.784118821175</v>
      </c>
      <c r="D49" s="18">
        <f t="shared" si="19"/>
        <v>-37108.3998011976</v>
      </c>
      <c r="E49" s="18">
        <f t="shared" si="19"/>
        <v>-37850.567797221556</v>
      </c>
      <c r="F49" s="18">
        <f t="shared" si="19"/>
        <v>-38607.579153165992</v>
      </c>
      <c r="G49" s="18">
        <f t="shared" si="19"/>
        <v>-39379.730736229292</v>
      </c>
      <c r="H49" s="18">
        <f t="shared" si="19"/>
        <v>-40167.325350953892</v>
      </c>
      <c r="I49" s="18">
        <f t="shared" si="19"/>
        <v>-40970.671857972964</v>
      </c>
      <c r="J49" s="18">
        <f t="shared" si="19"/>
        <v>-41790.085295132427</v>
      </c>
      <c r="K49" s="19">
        <f t="shared" si="19"/>
        <v>-42625.887001035073</v>
      </c>
      <c r="N49" s="3559"/>
      <c r="O49" s="3561"/>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6461</v>
      </c>
      <c r="AA51" s="1721">
        <v>51</v>
      </c>
    </row>
    <row r="52" spans="1:27" ht="13.35" customHeight="1">
      <c r="A52" s="341" t="s">
        <v>3837</v>
      </c>
      <c r="B52" s="18">
        <f t="shared" ref="B52:K52" si="20">SUM(B47:B51)</f>
        <v>473867.35616951948</v>
      </c>
      <c r="C52" s="18">
        <f t="shared" si="20"/>
        <v>483344.70329290978</v>
      </c>
      <c r="D52" s="18">
        <f t="shared" si="20"/>
        <v>493011.59735876811</v>
      </c>
      <c r="E52" s="18">
        <f t="shared" si="20"/>
        <v>502871.82930594351</v>
      </c>
      <c r="F52" s="18">
        <f t="shared" si="20"/>
        <v>512929.26589206239</v>
      </c>
      <c r="G52" s="18">
        <f t="shared" si="20"/>
        <v>523187.85120990343</v>
      </c>
      <c r="H52" s="18">
        <f t="shared" si="20"/>
        <v>533651.60823410167</v>
      </c>
      <c r="I52" s="18">
        <f t="shared" si="20"/>
        <v>544324.64039878361</v>
      </c>
      <c r="J52" s="18">
        <f t="shared" si="20"/>
        <v>555211.13320675923</v>
      </c>
      <c r="K52" s="19">
        <f t="shared" si="20"/>
        <v>566315.35587089451</v>
      </c>
      <c r="N52" s="3559"/>
      <c r="O52" s="3561"/>
      <c r="Z52" s="1719" t="s">
        <v>6461</v>
      </c>
      <c r="AA52" s="1721">
        <v>52</v>
      </c>
    </row>
    <row r="53" spans="1:27" ht="13.35" customHeight="1">
      <c r="A53" s="17" t="s">
        <v>572</v>
      </c>
      <c r="B53" s="18">
        <f t="shared" ref="B53:K53" si="21">$B$21*(1+$B$7)^(B46-1)</f>
        <v>-266409.91954290261</v>
      </c>
      <c r="C53" s="18">
        <f t="shared" si="21"/>
        <v>-274402.21712918975</v>
      </c>
      <c r="D53" s="18">
        <f t="shared" si="21"/>
        <v>-282634.28364306537</v>
      </c>
      <c r="E53" s="18">
        <f t="shared" si="21"/>
        <v>-291113.31215235731</v>
      </c>
      <c r="F53" s="18">
        <f t="shared" si="21"/>
        <v>-299846.7115169281</v>
      </c>
      <c r="G53" s="18">
        <f t="shared" si="21"/>
        <v>-308842.11286243593</v>
      </c>
      <c r="H53" s="18">
        <f t="shared" si="21"/>
        <v>-318107.37624830898</v>
      </c>
      <c r="I53" s="18">
        <f t="shared" si="21"/>
        <v>-327650.59753575822</v>
      </c>
      <c r="J53" s="18">
        <f t="shared" si="21"/>
        <v>-337480.11546183098</v>
      </c>
      <c r="K53" s="19">
        <f t="shared" si="21"/>
        <v>-347604.5189256859</v>
      </c>
      <c r="N53" s="3559"/>
      <c r="O53" s="3561"/>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-42648</v>
      </c>
      <c r="C54" s="18">
        <f>IF(AND('Part VI-Pro Forma'!$G$9="Yes",'Part VI-Pro Forma'!$G$10="Yes"),"Choose One!",IF('Part VI-Pro Forma'!$G$9="Yes",ROUND((-$K$9*(1+'Part VI-Pro Forma'!$B$7)^('Part VI-Pro Forma'!C46-1)),),IF('Part VI-Pro Forma'!$G$10="Yes",ROUND((-(SUM(C47:C50)*'Part VI-Pro Forma'!$K$10)),),"Choose mgt fee")))</f>
        <v>-43501</v>
      </c>
      <c r="D54" s="18">
        <f>IF(AND('Part VI-Pro Forma'!$G$9="Yes",'Part VI-Pro Forma'!$G$10="Yes"),"Choose One!",IF('Part VI-Pro Forma'!$G$9="Yes",ROUND((-$K$9*(1+'Part VI-Pro Forma'!$B$7)^('Part VI-Pro Forma'!D46-1)),),IF('Part VI-Pro Forma'!$G$10="Yes",ROUND((-(SUM(D47:D50)*'Part VI-Pro Forma'!$K$10)),),"Choose mgt fee")))</f>
        <v>-44371</v>
      </c>
      <c r="E54" s="18">
        <f>IF(AND('Part VI-Pro Forma'!$G$9="Yes",'Part VI-Pro Forma'!$G$10="Yes"),"Choose One!",IF('Part VI-Pro Forma'!$G$9="Yes",ROUND((-$K$9*(1+'Part VI-Pro Forma'!$B$7)^('Part VI-Pro Forma'!E46-1)),),IF('Part VI-Pro Forma'!$G$10="Yes",ROUND((-(SUM(E47:E50)*'Part VI-Pro Forma'!$K$10)),),"Choose mgt fee")))</f>
        <v>-45258</v>
      </c>
      <c r="F54" s="18">
        <f>IF(AND('Part VI-Pro Forma'!$G$9="Yes",'Part VI-Pro Forma'!$G$10="Yes"),"Choose One!",IF('Part VI-Pro Forma'!$G$9="Yes",ROUND((-$K$9*(1+'Part VI-Pro Forma'!$B$7)^('Part VI-Pro Forma'!F46-1)),),IF('Part VI-Pro Forma'!$G$10="Yes",ROUND((-(SUM(F47:F50)*'Part VI-Pro Forma'!$K$10)),),"Choose mgt fee")))</f>
        <v>-46164</v>
      </c>
      <c r="G54" s="18">
        <f>IF(AND('Part VI-Pro Forma'!$G$9="Yes",'Part VI-Pro Forma'!$G$10="Yes"),"Choose One!",IF('Part VI-Pro Forma'!$G$9="Yes",ROUND((-$K$9*(1+'Part VI-Pro Forma'!$B$7)^('Part VI-Pro Forma'!G46-1)),),IF('Part VI-Pro Forma'!$G$10="Yes",ROUND((-(SUM(G47:G50)*'Part VI-Pro Forma'!$K$10)),),"Choose mgt fee")))</f>
        <v>-47087</v>
      </c>
      <c r="H54" s="18">
        <f>IF(AND('Part VI-Pro Forma'!$G$9="Yes",'Part VI-Pro Forma'!$G$10="Yes"),"Choose One!",IF('Part VI-Pro Forma'!$G$9="Yes",ROUND((-$K$9*(1+'Part VI-Pro Forma'!$B$7)^('Part VI-Pro Forma'!H46-1)),),IF('Part VI-Pro Forma'!$G$10="Yes",ROUND((-(SUM(H47:H50)*'Part VI-Pro Forma'!$K$10)),),"Choose mgt fee")))</f>
        <v>-48029</v>
      </c>
      <c r="I54" s="18">
        <f>IF(AND('Part VI-Pro Forma'!$G$9="Yes",'Part VI-Pro Forma'!$G$10="Yes"),"Choose One!",IF('Part VI-Pro Forma'!$G$9="Yes",ROUND((-$K$9*(1+'Part VI-Pro Forma'!$B$7)^('Part VI-Pro Forma'!I46-1)),),IF('Part VI-Pro Forma'!$G$10="Yes",ROUND((-(SUM(I47:I50)*'Part VI-Pro Forma'!$K$10)),),"Choose mgt fee")))</f>
        <v>-48989</v>
      </c>
      <c r="J54" s="18">
        <f>IF(AND('Part VI-Pro Forma'!$G$9="Yes",'Part VI-Pro Forma'!$G$10="Yes"),"Choose One!",IF('Part VI-Pro Forma'!$G$9="Yes",ROUND((-$K$9*(1+'Part VI-Pro Forma'!$B$7)^('Part VI-Pro Forma'!J46-1)),),IF('Part VI-Pro Forma'!$G$10="Yes",ROUND((-(SUM(J47:J50)*'Part VI-Pro Forma'!$K$10)),),"Choose mgt fee")))</f>
        <v>-49969</v>
      </c>
      <c r="K54" s="19">
        <f>IF(AND('Part VI-Pro Forma'!$G$9="Yes",'Part VI-Pro Forma'!$G$10="Yes"),"Choose One!",IF('Part VI-Pro Forma'!$G$9="Yes",ROUND((-$K$9*(1+'Part VI-Pro Forma'!$B$7)^('Part VI-Pro Forma'!K46-1)),),IF('Part VI-Pro Forma'!$G$10="Yes",ROUND((-(SUM(K47:K50)*'Part VI-Pro Forma'!$K$10)),),"Choose mgt fee")))</f>
        <v>-50968</v>
      </c>
      <c r="N54" s="3559"/>
      <c r="O54" s="3561"/>
      <c r="Z54" s="1719" t="s">
        <v>6461</v>
      </c>
      <c r="AA54" s="1721">
        <v>54</v>
      </c>
    </row>
    <row r="55" spans="1:27" ht="13.35" customHeight="1">
      <c r="A55" s="17" t="s">
        <v>1128</v>
      </c>
      <c r="B55" s="18">
        <f t="shared" ref="B55:K55" si="22">$B$23*(1+$B$8)^(B46-1)</f>
        <v>-18142.871121145643</v>
      </c>
      <c r="C55" s="18">
        <f t="shared" si="22"/>
        <v>-18687.157254780013</v>
      </c>
      <c r="D55" s="18">
        <f t="shared" si="22"/>
        <v>-19247.771972423412</v>
      </c>
      <c r="E55" s="18">
        <f t="shared" si="22"/>
        <v>-19825.205131596114</v>
      </c>
      <c r="F55" s="18">
        <f t="shared" si="22"/>
        <v>-20419.961285543999</v>
      </c>
      <c r="G55" s="18">
        <f t="shared" si="22"/>
        <v>-21032.560124110321</v>
      </c>
      <c r="H55" s="18">
        <f t="shared" si="22"/>
        <v>-21663.536927833626</v>
      </c>
      <c r="I55" s="18">
        <f t="shared" si="22"/>
        <v>-22313.443035668635</v>
      </c>
      <c r="J55" s="18">
        <f t="shared" si="22"/>
        <v>-22982.846326738694</v>
      </c>
      <c r="K55" s="19">
        <f t="shared" si="22"/>
        <v>-23672.331716540855</v>
      </c>
      <c r="N55" s="3559"/>
      <c r="O55" s="3561"/>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6461</v>
      </c>
      <c r="AA56" s="1721">
        <v>56</v>
      </c>
    </row>
    <row r="57" spans="1:27" ht="13.35" customHeight="1">
      <c r="A57" s="17" t="s">
        <v>1129</v>
      </c>
      <c r="B57" s="18">
        <f t="shared" ref="B57:K57" si="23">SUM(B52:B56)</f>
        <v>146666.56550547123</v>
      </c>
      <c r="C57" s="18">
        <f t="shared" si="23"/>
        <v>146754.32890894002</v>
      </c>
      <c r="D57" s="18">
        <f t="shared" si="23"/>
        <v>146758.54174327932</v>
      </c>
      <c r="E57" s="18">
        <f t="shared" si="23"/>
        <v>146675.31202199007</v>
      </c>
      <c r="F57" s="18">
        <f t="shared" si="23"/>
        <v>146498.59308959029</v>
      </c>
      <c r="G57" s="18">
        <f t="shared" si="23"/>
        <v>146226.17822335719</v>
      </c>
      <c r="H57" s="18">
        <f t="shared" si="23"/>
        <v>145851.69505795906</v>
      </c>
      <c r="I57" s="18">
        <f t="shared" si="23"/>
        <v>145371.59982735675</v>
      </c>
      <c r="J57" s="18">
        <f t="shared" si="23"/>
        <v>144779.17141818957</v>
      </c>
      <c r="K57" s="1215">
        <f t="shared" si="23"/>
        <v>144070.50522866775</v>
      </c>
      <c r="N57" s="3559"/>
      <c r="O57" s="3561"/>
      <c r="Z57" s="1719" t="s">
        <v>6461</v>
      </c>
      <c r="AA57" s="1721">
        <v>57</v>
      </c>
    </row>
    <row r="58" spans="1:27" ht="13.35" customHeight="1">
      <c r="A58" s="17" t="str">
        <f>$A26</f>
        <v>Mortgage A</v>
      </c>
      <c r="B58" s="342">
        <f>IF('Part II-Sources of Funds'!$P$40="", 0,-'Part II-Sources of Funds'!$P$40)</f>
        <v>-109280.22</v>
      </c>
      <c r="C58" s="342">
        <f>IF('Part II-Sources of Funds'!$P$40="", 0,-'Part II-Sources of Funds'!$P$40)</f>
        <v>-109280.22</v>
      </c>
      <c r="D58" s="342">
        <f>IF('Part II-Sources of Funds'!$P$40="", 0,-'Part II-Sources of Funds'!$P$40)</f>
        <v>-109280.22</v>
      </c>
      <c r="E58" s="342">
        <f>IF('Part II-Sources of Funds'!$P$40="", 0,-'Part II-Sources of Funds'!$P$40)</f>
        <v>-109280.22</v>
      </c>
      <c r="F58" s="342">
        <f>IF('Part II-Sources of Funds'!$P$40="", 0,-'Part II-Sources of Funds'!$P$40)</f>
        <v>-109280.22</v>
      </c>
      <c r="G58" s="342">
        <f>IF('Part II-Sources of Funds'!$P$40="", 0,-'Part II-Sources of Funds'!$P$40)</f>
        <v>-109280.22</v>
      </c>
      <c r="H58" s="342">
        <f>IF('Part II-Sources of Funds'!$P$40="", 0,-'Part II-Sources of Funds'!$P$40)</f>
        <v>-109280.22</v>
      </c>
      <c r="I58" s="342">
        <f>IF('Part II-Sources of Funds'!$P$40="", 0,-'Part II-Sources of Funds'!$P$40)</f>
        <v>-109280.22</v>
      </c>
      <c r="J58" s="342">
        <f>IF('Part II-Sources of Funds'!$P$40="", 0,-'Part II-Sources of Funds'!$P$40)</f>
        <v>-109280.22</v>
      </c>
      <c r="K58" s="342">
        <f>IF('Part II-Sources of Funds'!$P$40="", 0,-'Part II-Sources of Funds'!$P$40)</f>
        <v>-109280.22</v>
      </c>
      <c r="N58" s="3559"/>
      <c r="O58" s="3561"/>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6461</v>
      </c>
      <c r="AA61" s="1721">
        <v>61</v>
      </c>
    </row>
    <row r="62" spans="1:27" ht="13.35" customHeight="1">
      <c r="A62" s="17" t="s">
        <v>711</v>
      </c>
      <c r="B62" s="138"/>
      <c r="C62" s="138"/>
      <c r="D62" s="138"/>
      <c r="E62" s="138"/>
      <c r="F62" s="138"/>
      <c r="G62" s="138"/>
      <c r="H62" s="138"/>
      <c r="I62" s="138"/>
      <c r="J62" s="138"/>
      <c r="K62" s="138"/>
      <c r="N62" s="3559"/>
      <c r="O62" s="3561"/>
      <c r="Q62" s="92"/>
      <c r="R62" s="869"/>
      <c r="Z62" s="1719" t="s">
        <v>6461</v>
      </c>
      <c r="AA62" s="1721">
        <v>62</v>
      </c>
    </row>
    <row r="63" spans="1:27" ht="13.35" customHeight="1">
      <c r="A63" s="341" t="s">
        <v>1095</v>
      </c>
      <c r="B63" s="178">
        <f>K31+K31*0.03</f>
        <v>-8164.2920045155415</v>
      </c>
      <c r="C63" s="178">
        <f>B63+B63*0.03</f>
        <v>-8409.2207646510069</v>
      </c>
      <c r="D63" s="178">
        <f t="shared" ref="D63:K63" si="24">C63+C63*0.03</f>
        <v>-8661.497387590538</v>
      </c>
      <c r="E63" s="178">
        <f t="shared" si="24"/>
        <v>-8921.3423092182547</v>
      </c>
      <c r="F63" s="178">
        <f t="shared" si="24"/>
        <v>-9188.9825784948025</v>
      </c>
      <c r="G63" s="178">
        <f t="shared" si="24"/>
        <v>-9464.6520558496468</v>
      </c>
      <c r="H63" s="178">
        <f t="shared" si="24"/>
        <v>-9748.5916175251368</v>
      </c>
      <c r="I63" s="178">
        <f t="shared" si="24"/>
        <v>-10041.049366050891</v>
      </c>
      <c r="J63" s="178">
        <f t="shared" si="24"/>
        <v>-10342.280847032418</v>
      </c>
      <c r="K63" s="178">
        <f t="shared" si="24"/>
        <v>-10652.54927244339</v>
      </c>
      <c r="N63" s="3559"/>
      <c r="O63" s="3561"/>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6461</v>
      </c>
      <c r="AA64" s="1721">
        <v>64</v>
      </c>
    </row>
    <row r="65" spans="1:27" ht="13.35" customHeight="1">
      <c r="A65" s="17" t="s">
        <v>1096</v>
      </c>
      <c r="B65" s="18">
        <f t="shared" ref="B65:K65" si="25">SUM(B57:B64)</f>
        <v>29222.053500955684</v>
      </c>
      <c r="C65" s="18">
        <f t="shared" si="25"/>
        <v>29064.888144289012</v>
      </c>
      <c r="D65" s="18">
        <f t="shared" si="25"/>
        <v>28816.824355688779</v>
      </c>
      <c r="E65" s="18">
        <f t="shared" si="25"/>
        <v>28473.749712771816</v>
      </c>
      <c r="F65" s="18">
        <f t="shared" si="25"/>
        <v>28029.39051109548</v>
      </c>
      <c r="G65" s="18">
        <f t="shared" si="25"/>
        <v>27481.306167507537</v>
      </c>
      <c r="H65" s="18">
        <f t="shared" si="25"/>
        <v>26822.883440433925</v>
      </c>
      <c r="I65" s="18">
        <f t="shared" si="25"/>
        <v>26050.330461305861</v>
      </c>
      <c r="J65" s="18">
        <f t="shared" si="25"/>
        <v>25156.670571157149</v>
      </c>
      <c r="K65" s="497">
        <f t="shared" si="25"/>
        <v>24137.735956224362</v>
      </c>
      <c r="N65" s="3559"/>
      <c r="O65" s="3561"/>
      <c r="Z65" s="1719" t="s">
        <v>6461</v>
      </c>
      <c r="AA65" s="1721">
        <v>65</v>
      </c>
    </row>
    <row r="66" spans="1:27" ht="13.35" customHeight="1">
      <c r="A66" s="17" t="str">
        <f>$A34</f>
        <v>DCR Mortgage A</v>
      </c>
      <c r="B66" s="20">
        <f t="shared" ref="B66:K66" si="26">IF(B58=0,"",-B57/B58)</f>
        <v>1.3421144787727479</v>
      </c>
      <c r="C66" s="20">
        <f t="shared" si="26"/>
        <v>1.3429175829710081</v>
      </c>
      <c r="D66" s="20">
        <f t="shared" si="26"/>
        <v>1.3429561337200759</v>
      </c>
      <c r="E66" s="20">
        <f t="shared" si="26"/>
        <v>1.3421945162810807</v>
      </c>
      <c r="F66" s="20">
        <f t="shared" si="26"/>
        <v>1.3405773989985588</v>
      </c>
      <c r="G66" s="20">
        <f t="shared" si="26"/>
        <v>1.3380845886232402</v>
      </c>
      <c r="H66" s="20">
        <f t="shared" si="26"/>
        <v>1.3346577729982523</v>
      </c>
      <c r="I66" s="20">
        <f t="shared" si="26"/>
        <v>1.3302645238759288</v>
      </c>
      <c r="J66" s="20">
        <f t="shared" si="26"/>
        <v>1.3248433377805202</v>
      </c>
      <c r="K66" s="21">
        <f t="shared" si="26"/>
        <v>1.3183584845333194</v>
      </c>
      <c r="N66" s="3559"/>
      <c r="O66" s="3561"/>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6461</v>
      </c>
      <c r="AA69" s="1721">
        <v>69</v>
      </c>
    </row>
    <row r="70" spans="1:27" ht="13.35" customHeight="1">
      <c r="A70" s="341" t="s">
        <v>3213</v>
      </c>
      <c r="B70" s="20">
        <f t="shared" ref="B70:K70" si="30">IF(AND(B58=0,B59=0,B60=0,B61=0),"",-B57/(B58+B59+B60+B61))</f>
        <v>1.3421144787727479</v>
      </c>
      <c r="C70" s="20">
        <f t="shared" si="30"/>
        <v>1.3429175829710081</v>
      </c>
      <c r="D70" s="20">
        <f t="shared" si="30"/>
        <v>1.3429561337200759</v>
      </c>
      <c r="E70" s="20">
        <f t="shared" si="30"/>
        <v>1.3421945162810807</v>
      </c>
      <c r="F70" s="20">
        <f t="shared" si="30"/>
        <v>1.3405773989985588</v>
      </c>
      <c r="G70" s="20">
        <f t="shared" si="30"/>
        <v>1.3380845886232402</v>
      </c>
      <c r="H70" s="20">
        <f t="shared" si="30"/>
        <v>1.3346577729982523</v>
      </c>
      <c r="I70" s="20">
        <f t="shared" si="30"/>
        <v>1.3302645238759288</v>
      </c>
      <c r="J70" s="20">
        <f t="shared" si="30"/>
        <v>1.3248433377805202</v>
      </c>
      <c r="K70" s="21">
        <f t="shared" si="30"/>
        <v>1.3183584845333194</v>
      </c>
      <c r="N70" s="3559"/>
      <c r="O70" s="3561"/>
      <c r="Z70" s="1719" t="s">
        <v>6461</v>
      </c>
      <c r="AA70" s="1721">
        <v>70</v>
      </c>
    </row>
    <row r="71" spans="1:27" ht="13.35" customHeight="1">
      <c r="A71" s="17" t="s">
        <v>718</v>
      </c>
      <c r="B71" s="220">
        <f t="shared" ref="B71:K71" si="31">IF(OR(B54="Choose mgt fee",B54="Choose One!"),"",(B47+B48+B49+B50+B51) / -(B53+B54+B55))</f>
        <v>1.4482463664217129</v>
      </c>
      <c r="C71" s="220">
        <f t="shared" si="31"/>
        <v>1.4360027501604313</v>
      </c>
      <c r="D71" s="220">
        <f t="shared" si="31"/>
        <v>1.4238476436905541</v>
      </c>
      <c r="E71" s="220">
        <f t="shared" si="31"/>
        <v>1.4117819936601546</v>
      </c>
      <c r="F71" s="220">
        <f t="shared" si="31"/>
        <v>1.3997989359601504</v>
      </c>
      <c r="G71" s="220">
        <f t="shared" si="31"/>
        <v>1.38790728262864</v>
      </c>
      <c r="H71" s="220">
        <f t="shared" si="31"/>
        <v>1.3761003808985171</v>
      </c>
      <c r="I71" s="220">
        <f t="shared" si="31"/>
        <v>1.3643827344169095</v>
      </c>
      <c r="J71" s="220">
        <f t="shared" si="31"/>
        <v>1.3527482869201382</v>
      </c>
      <c r="K71" s="221">
        <f t="shared" si="31"/>
        <v>1.3412013314301858</v>
      </c>
      <c r="N71" s="3559"/>
      <c r="O71" s="3561"/>
      <c r="Z71" s="1719" t="s">
        <v>6461</v>
      </c>
      <c r="AA71" s="1721">
        <v>71</v>
      </c>
    </row>
    <row r="72" spans="1:27" ht="13.35" customHeight="1">
      <c r="A72" s="341" t="s">
        <v>2405</v>
      </c>
      <c r="B72" s="177">
        <f>IF('Part II-Sources of Funds'!$I$40="","",-FV('Part II-Sources of Funds'!$K$40/12,12,B58/12,K40))</f>
        <v>692592.79299509386</v>
      </c>
      <c r="C72" s="177">
        <f>IF('Part II-Sources of Funds'!$I$40="","",-FV('Part II-Sources of Funds'!$K$40/12,12,C58/12,B72))</f>
        <v>638433.9959450789</v>
      </c>
      <c r="D72" s="177">
        <f>IF('Part II-Sources of Funds'!$I$40="","",-FV('Part II-Sources of Funds'!$K$40/12,12,D58/12,C72))</f>
        <v>579634.21575077472</v>
      </c>
      <c r="E72" s="177">
        <f>IF('Part II-Sources of Funds'!$I$40="","",-FV('Part II-Sources of Funds'!$K$40/12,12,E58/12,D72))</f>
        <v>515795.75664124894</v>
      </c>
      <c r="F72" s="177">
        <f>IF('Part II-Sources of Funds'!$I$40="","",-FV('Part II-Sources of Funds'!$K$40/12,12,F58/12,E72))</f>
        <v>446486.84344443784</v>
      </c>
      <c r="G72" s="177">
        <f>IF('Part II-Sources of Funds'!$I$40="","",-FV('Part II-Sources of Funds'!$K$40/12,12,G58/12,F72))</f>
        <v>371238.70125038084</v>
      </c>
      <c r="H72" s="177">
        <f>IF('Part II-Sources of Funds'!$I$40="","",-FV('Part II-Sources of Funds'!$K$40/12,12,H58/12,G72))</f>
        <v>289542.38482455141</v>
      </c>
      <c r="I72" s="177">
        <f>IF('Part II-Sources of Funds'!$I$40="","",-FV('Part II-Sources of Funds'!$K$40/12,12,I58/12,H72))</f>
        <v>200845.3363268362</v>
      </c>
      <c r="J72" s="177">
        <f>IF('Part II-Sources of Funds'!$I$40="","",-FV('Part II-Sources of Funds'!$K$40/12,12,J58/12,I72))</f>
        <v>104547.64805409136</v>
      </c>
      <c r="K72" s="177">
        <f>IF('Part II-Sources of Funds'!$I$40="","",-FV('Part II-Sources of Funds'!$K$40/12,12,K58/12,J72))*0</f>
        <v>0</v>
      </c>
      <c r="N72" s="3559"/>
      <c r="O72" s="3561"/>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608941.24287192954</v>
      </c>
      <c r="C79" s="15">
        <f t="shared" si="33"/>
        <v>621120.06772936811</v>
      </c>
      <c r="D79" s="15">
        <f t="shared" si="33"/>
        <v>633542.46908395551</v>
      </c>
      <c r="E79" s="15">
        <f t="shared" si="33"/>
        <v>646213.31846563448</v>
      </c>
      <c r="F79" s="15">
        <f t="shared" si="33"/>
        <v>659137.58483494725</v>
      </c>
      <c r="G79" s="15">
        <f t="shared" si="33"/>
        <v>672320.3365316462</v>
      </c>
      <c r="H79" s="15">
        <f t="shared" si="33"/>
        <v>685766.7432622792</v>
      </c>
      <c r="I79" s="15">
        <f t="shared" si="33"/>
        <v>699482.07812752458</v>
      </c>
      <c r="J79" s="15">
        <f t="shared" si="33"/>
        <v>713471.71969007526</v>
      </c>
      <c r="K79" s="16">
        <f t="shared" si="33"/>
        <v>727741.15408387664</v>
      </c>
      <c r="N79" s="3562"/>
      <c r="O79" s="3564"/>
      <c r="Z79" s="1719" t="s">
        <v>6462</v>
      </c>
      <c r="AA79" s="1721">
        <v>79</v>
      </c>
    </row>
    <row r="80" spans="1:27" ht="13.35" customHeight="1">
      <c r="A80" s="17" t="s">
        <v>952</v>
      </c>
      <c r="B80" s="18">
        <f t="shared" ref="B80:K80" si="34">$B$16*(1+$B$6)^(B78-1)</f>
        <v>12178.824857438591</v>
      </c>
      <c r="C80" s="18">
        <f t="shared" si="34"/>
        <v>12422.401354587362</v>
      </c>
      <c r="D80" s="18">
        <f t="shared" si="34"/>
        <v>12670.849381679111</v>
      </c>
      <c r="E80" s="18">
        <f t="shared" si="34"/>
        <v>12924.266369312691</v>
      </c>
      <c r="F80" s="18">
        <f t="shared" si="34"/>
        <v>13182.751696698944</v>
      </c>
      <c r="G80" s="18">
        <f t="shared" si="34"/>
        <v>13446.406730632923</v>
      </c>
      <c r="H80" s="18">
        <f t="shared" si="34"/>
        <v>13715.334865245582</v>
      </c>
      <c r="I80" s="18">
        <f t="shared" si="34"/>
        <v>13989.641562550492</v>
      </c>
      <c r="J80" s="18">
        <f t="shared" si="34"/>
        <v>14269.434393801504</v>
      </c>
      <c r="K80" s="19">
        <f t="shared" si="34"/>
        <v>14554.823081677534</v>
      </c>
      <c r="N80" s="3559"/>
      <c r="O80" s="3561"/>
      <c r="Z80" s="1719" t="s">
        <v>6462</v>
      </c>
      <c r="AA80" s="1721">
        <v>80</v>
      </c>
    </row>
    <row r="81" spans="1:27" ht="13.35" customHeight="1">
      <c r="A81" s="17" t="s">
        <v>2216</v>
      </c>
      <c r="B81" s="18">
        <f t="shared" ref="B81:K81" si="35">-(B79+B80)*$B$9</f>
        <v>-43478.404741055769</v>
      </c>
      <c r="C81" s="18">
        <f t="shared" si="35"/>
        <v>-44347.972835876892</v>
      </c>
      <c r="D81" s="18">
        <f t="shared" si="35"/>
        <v>-45234.932292594429</v>
      </c>
      <c r="E81" s="18">
        <f t="shared" si="35"/>
        <v>-46139.630938446302</v>
      </c>
      <c r="F81" s="18">
        <f t="shared" si="35"/>
        <v>-47062.423557215239</v>
      </c>
      <c r="G81" s="18">
        <f t="shared" si="35"/>
        <v>-48003.672028359542</v>
      </c>
      <c r="H81" s="18">
        <f t="shared" si="35"/>
        <v>-48963.74546892674</v>
      </c>
      <c r="I81" s="18">
        <f t="shared" si="35"/>
        <v>-49943.020378305257</v>
      </c>
      <c r="J81" s="18">
        <f t="shared" si="35"/>
        <v>-50941.880785871377</v>
      </c>
      <c r="K81" s="19">
        <f t="shared" si="35"/>
        <v>-51960.718401588798</v>
      </c>
      <c r="N81" s="3559"/>
      <c r="O81" s="3561"/>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6462</v>
      </c>
      <c r="AA83" s="1721">
        <v>83</v>
      </c>
    </row>
    <row r="84" spans="1:27" ht="13.35" customHeight="1">
      <c r="A84" s="341" t="s">
        <v>3837</v>
      </c>
      <c r="B84" s="18">
        <f t="shared" ref="B84:K84" si="36">SUM(B79:B83)</f>
        <v>577641.66298831231</v>
      </c>
      <c r="C84" s="18">
        <f t="shared" si="36"/>
        <v>589194.49624807865</v>
      </c>
      <c r="D84" s="18">
        <f t="shared" si="36"/>
        <v>600978.38617304014</v>
      </c>
      <c r="E84" s="18">
        <f t="shared" si="36"/>
        <v>612997.95389650087</v>
      </c>
      <c r="F84" s="18">
        <f t="shared" si="36"/>
        <v>625257.91297443095</v>
      </c>
      <c r="G84" s="18">
        <f t="shared" si="36"/>
        <v>637763.07123391959</v>
      </c>
      <c r="H84" s="18">
        <f t="shared" si="36"/>
        <v>650518.33265859808</v>
      </c>
      <c r="I84" s="18">
        <f t="shared" si="36"/>
        <v>663528.6993117698</v>
      </c>
      <c r="J84" s="18">
        <f t="shared" si="36"/>
        <v>676799.27329800534</v>
      </c>
      <c r="K84" s="19">
        <f t="shared" si="36"/>
        <v>690335.25876396534</v>
      </c>
      <c r="N84" s="3559"/>
      <c r="O84" s="3561"/>
      <c r="Z84" s="1719" t="s">
        <v>6462</v>
      </c>
      <c r="AA84" s="1721">
        <v>84</v>
      </c>
    </row>
    <row r="85" spans="1:27" ht="13.35" customHeight="1">
      <c r="A85" s="17" t="s">
        <v>572</v>
      </c>
      <c r="B85" s="18">
        <f t="shared" ref="B85:K85" si="37">$B$21*(1+$B$7)^(B78-1)</f>
        <v>-358032.65449345647</v>
      </c>
      <c r="C85" s="18">
        <f t="shared" si="37"/>
        <v>-368773.63412826014</v>
      </c>
      <c r="D85" s="18">
        <f t="shared" si="37"/>
        <v>-379836.84315210796</v>
      </c>
      <c r="E85" s="18">
        <f t="shared" si="37"/>
        <v>-391231.94844667119</v>
      </c>
      <c r="F85" s="18">
        <f t="shared" si="37"/>
        <v>-402968.90690007131</v>
      </c>
      <c r="G85" s="18">
        <f t="shared" si="37"/>
        <v>-415057.97410707345</v>
      </c>
      <c r="H85" s="18">
        <f t="shared" si="37"/>
        <v>-427509.71333028568</v>
      </c>
      <c r="I85" s="18">
        <f t="shared" si="37"/>
        <v>-440335.00473019422</v>
      </c>
      <c r="J85" s="18">
        <f t="shared" si="37"/>
        <v>-453545.05487210001</v>
      </c>
      <c r="K85" s="19">
        <f t="shared" si="37"/>
        <v>-467151.40651826299</v>
      </c>
      <c r="N85" s="3559"/>
      <c r="O85" s="3561"/>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-51988</v>
      </c>
      <c r="C86" s="18">
        <f>IF(AND('Part VI-Pro Forma'!$G$9="Yes",'Part VI-Pro Forma'!$G$10="Yes"),"Choose One!",IF('Part VI-Pro Forma'!$G$9="Yes",ROUND((-$K$9*(1+'Part VI-Pro Forma'!$B$7)^('Part VI-Pro Forma'!C78-1)),),IF('Part VI-Pro Forma'!$G$10="Yes",ROUND((-(SUM(C79:C82)*'Part VI-Pro Forma'!$K$10)),),"Choose mgt fee")))</f>
        <v>-53028</v>
      </c>
      <c r="D86" s="18">
        <f>IF(AND('Part VI-Pro Forma'!$G$9="Yes",'Part VI-Pro Forma'!$G$10="Yes"),"Choose One!",IF('Part VI-Pro Forma'!$G$9="Yes",ROUND((-$K$9*(1+'Part VI-Pro Forma'!$B$7)^('Part VI-Pro Forma'!D78-1)),),IF('Part VI-Pro Forma'!$G$10="Yes",ROUND((-(SUM(D79:D82)*'Part VI-Pro Forma'!$K$10)),),"Choose mgt fee")))</f>
        <v>-54088</v>
      </c>
      <c r="E86" s="18">
        <f>IF(AND('Part VI-Pro Forma'!$G$9="Yes",'Part VI-Pro Forma'!$G$10="Yes"),"Choose One!",IF('Part VI-Pro Forma'!$G$9="Yes",ROUND((-$K$9*(1+'Part VI-Pro Forma'!$B$7)^('Part VI-Pro Forma'!E78-1)),),IF('Part VI-Pro Forma'!$G$10="Yes",ROUND((-(SUM(E79:E82)*'Part VI-Pro Forma'!$K$10)),),"Choose mgt fee")))</f>
        <v>-55170</v>
      </c>
      <c r="F86" s="18">
        <f>IF(AND('Part VI-Pro Forma'!$G$9="Yes",'Part VI-Pro Forma'!$G$10="Yes"),"Choose One!",IF('Part VI-Pro Forma'!$G$9="Yes",ROUND((-$K$9*(1+'Part VI-Pro Forma'!$B$7)^('Part VI-Pro Forma'!F78-1)),),IF('Part VI-Pro Forma'!$G$10="Yes",ROUND((-(SUM(F79:F82)*'Part VI-Pro Forma'!$K$10)),),"Choose mgt fee")))</f>
        <v>-56273</v>
      </c>
      <c r="G86" s="18">
        <f>IF(AND('Part VI-Pro Forma'!$G$9="Yes",'Part VI-Pro Forma'!$G$10="Yes"),"Choose One!",IF('Part VI-Pro Forma'!$G$9="Yes",ROUND((-$K$9*(1+'Part VI-Pro Forma'!$B$7)^('Part VI-Pro Forma'!G78-1)),),IF('Part VI-Pro Forma'!$G$10="Yes",ROUND((-(SUM(G79:G82)*'Part VI-Pro Forma'!$K$10)),),"Choose mgt fee")))</f>
        <v>-57399</v>
      </c>
      <c r="H86" s="18">
        <f>IF(AND('Part VI-Pro Forma'!$G$9="Yes",'Part VI-Pro Forma'!$G$10="Yes"),"Choose One!",IF('Part VI-Pro Forma'!$G$9="Yes",ROUND((-$K$9*(1+'Part VI-Pro Forma'!$B$7)^('Part VI-Pro Forma'!H78-1)),),IF('Part VI-Pro Forma'!$G$10="Yes",ROUND((-(SUM(H79:H82)*'Part VI-Pro Forma'!$K$10)),),"Choose mgt fee")))</f>
        <v>-58547</v>
      </c>
      <c r="I86" s="18">
        <f>IF(AND('Part VI-Pro Forma'!$G$9="Yes",'Part VI-Pro Forma'!$G$10="Yes"),"Choose One!",IF('Part VI-Pro Forma'!$G$9="Yes",ROUND((-$K$9*(1+'Part VI-Pro Forma'!$B$7)^('Part VI-Pro Forma'!I78-1)),),IF('Part VI-Pro Forma'!$G$10="Yes",ROUND((-(SUM(I79:I82)*'Part VI-Pro Forma'!$K$10)),),"Choose mgt fee")))</f>
        <v>-59718</v>
      </c>
      <c r="J86" s="18">
        <f>IF(AND('Part VI-Pro Forma'!$G$9="Yes",'Part VI-Pro Forma'!$G$10="Yes"),"Choose One!",IF('Part VI-Pro Forma'!$G$9="Yes",ROUND((-$K$9*(1+'Part VI-Pro Forma'!$B$7)^('Part VI-Pro Forma'!J78-1)),),IF('Part VI-Pro Forma'!$G$10="Yes",ROUND((-(SUM(J79:J82)*'Part VI-Pro Forma'!$K$10)),),"Choose mgt fee")))</f>
        <v>-60912</v>
      </c>
      <c r="K86" s="19">
        <f>IF(AND('Part VI-Pro Forma'!$G$9="Yes",'Part VI-Pro Forma'!$G$10="Yes"),"Choose One!",IF('Part VI-Pro Forma'!$G$9="Yes",ROUND((-$K$9*(1+'Part VI-Pro Forma'!$B$7)^('Part VI-Pro Forma'!K78-1)),),IF('Part VI-Pro Forma'!$G$10="Yes",ROUND((-(SUM(K79:K82)*'Part VI-Pro Forma'!$K$10)),),"Choose mgt fee")))</f>
        <v>-62130</v>
      </c>
      <c r="N86" s="3559"/>
      <c r="O86" s="3561"/>
      <c r="Z86" s="1719" t="s">
        <v>6462</v>
      </c>
      <c r="AA86" s="1721">
        <v>86</v>
      </c>
    </row>
    <row r="87" spans="1:27" ht="13.35" customHeight="1">
      <c r="A87" s="17" t="s">
        <v>1128</v>
      </c>
      <c r="B87" s="18">
        <f t="shared" ref="B87:K87" si="38">$B$23*(1+$B$8)^(B78-1)</f>
        <v>-24382.501668037079</v>
      </c>
      <c r="C87" s="18">
        <f t="shared" si="38"/>
        <v>-25113.976718078189</v>
      </c>
      <c r="D87" s="18">
        <f t="shared" si="38"/>
        <v>-25867.396019620537</v>
      </c>
      <c r="E87" s="18">
        <f t="shared" si="38"/>
        <v>-26643.417900209155</v>
      </c>
      <c r="F87" s="18">
        <f t="shared" si="38"/>
        <v>-27442.720437215423</v>
      </c>
      <c r="G87" s="18">
        <f t="shared" si="38"/>
        <v>-28266.002050331888</v>
      </c>
      <c r="H87" s="18">
        <f t="shared" si="38"/>
        <v>-29113.982111841848</v>
      </c>
      <c r="I87" s="18">
        <f t="shared" si="38"/>
        <v>-29987.401575197098</v>
      </c>
      <c r="J87" s="18">
        <f t="shared" si="38"/>
        <v>-30887.023622453013</v>
      </c>
      <c r="K87" s="19">
        <f t="shared" si="38"/>
        <v>-31813.634331126599</v>
      </c>
      <c r="N87" s="3559"/>
      <c r="O87" s="3561"/>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6462</v>
      </c>
      <c r="AA88" s="1721">
        <v>88</v>
      </c>
    </row>
    <row r="89" spans="1:27" ht="13.35" customHeight="1">
      <c r="A89" s="17" t="s">
        <v>1129</v>
      </c>
      <c r="B89" s="18">
        <f t="shared" ref="B89:K89" si="39">SUM(B84:B88)</f>
        <v>143238.50682681875</v>
      </c>
      <c r="C89" s="18">
        <f t="shared" si="39"/>
        <v>142278.88540174032</v>
      </c>
      <c r="D89" s="18">
        <f t="shared" si="39"/>
        <v>141186.14700131165</v>
      </c>
      <c r="E89" s="18">
        <f t="shared" si="39"/>
        <v>139952.58754962054</v>
      </c>
      <c r="F89" s="18">
        <f t="shared" si="39"/>
        <v>138573.28563714423</v>
      </c>
      <c r="G89" s="18">
        <f t="shared" si="39"/>
        <v>137040.09507651426</v>
      </c>
      <c r="H89" s="18">
        <f t="shared" si="39"/>
        <v>135347.63721647055</v>
      </c>
      <c r="I89" s="18">
        <f t="shared" si="39"/>
        <v>133488.29300637849</v>
      </c>
      <c r="J89" s="18">
        <f t="shared" si="39"/>
        <v>131455.19480345232</v>
      </c>
      <c r="K89" s="1215">
        <f t="shared" si="39"/>
        <v>129240.21791457575</v>
      </c>
      <c r="N89" s="3559"/>
      <c r="O89" s="3561"/>
      <c r="Z89" s="1719" t="s">
        <v>6462</v>
      </c>
      <c r="AA89" s="1721">
        <v>89</v>
      </c>
    </row>
    <row r="90" spans="1:27" ht="13.35" customHeight="1">
      <c r="A90" s="17" t="str">
        <f>$A58</f>
        <v>Mortgage A</v>
      </c>
      <c r="B90" s="342"/>
      <c r="C90" s="342"/>
      <c r="D90" s="342"/>
      <c r="E90" s="342"/>
      <c r="F90" s="342"/>
      <c r="G90" s="342"/>
      <c r="H90" s="342"/>
      <c r="I90" s="342"/>
      <c r="J90" s="342"/>
      <c r="K90" s="342"/>
      <c r="N90" s="3559"/>
      <c r="O90" s="3561"/>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6462</v>
      </c>
      <c r="AA93" s="1721">
        <v>93</v>
      </c>
    </row>
    <row r="94" spans="1:27" ht="13.35" customHeight="1">
      <c r="A94" s="17" t="s">
        <v>711</v>
      </c>
      <c r="B94" s="138"/>
      <c r="C94" s="138"/>
      <c r="D94" s="138"/>
      <c r="E94" s="138"/>
      <c r="F94" s="138"/>
      <c r="G94" s="138"/>
      <c r="H94" s="138"/>
      <c r="I94" s="138"/>
      <c r="J94" s="138"/>
      <c r="K94" s="138"/>
      <c r="N94" s="3559"/>
      <c r="O94" s="3561"/>
      <c r="Z94" s="1719" t="s">
        <v>6462</v>
      </c>
      <c r="AA94" s="1721">
        <v>94</v>
      </c>
    </row>
    <row r="95" spans="1:27" ht="13.35" customHeight="1">
      <c r="A95" s="341" t="s">
        <v>1095</v>
      </c>
      <c r="B95" s="179"/>
      <c r="C95" s="179"/>
      <c r="D95" s="179"/>
      <c r="E95" s="179"/>
      <c r="F95" s="179"/>
      <c r="G95" s="179"/>
      <c r="H95" s="179"/>
      <c r="I95" s="179"/>
      <c r="J95" s="179"/>
      <c r="K95" s="179"/>
      <c r="N95" s="3559"/>
      <c r="O95" s="3561"/>
      <c r="Z95" s="1719" t="s">
        <v>6462</v>
      </c>
      <c r="AA95" s="1721">
        <v>95</v>
      </c>
    </row>
    <row r="96" spans="1:27" ht="13.35" customHeight="1">
      <c r="A96" s="17" t="s">
        <v>1096</v>
      </c>
      <c r="B96" s="18">
        <f t="shared" ref="B96:K96" si="40">SUM(B89:B95)</f>
        <v>143238.50682681875</v>
      </c>
      <c r="C96" s="18">
        <f t="shared" si="40"/>
        <v>142278.88540174032</v>
      </c>
      <c r="D96" s="18">
        <f t="shared" si="40"/>
        <v>141186.14700131165</v>
      </c>
      <c r="E96" s="18">
        <f t="shared" si="40"/>
        <v>139952.58754962054</v>
      </c>
      <c r="F96" s="18">
        <f t="shared" si="40"/>
        <v>138573.28563714423</v>
      </c>
      <c r="G96" s="18">
        <f t="shared" si="40"/>
        <v>137040.09507651426</v>
      </c>
      <c r="H96" s="18">
        <f t="shared" si="40"/>
        <v>135347.63721647055</v>
      </c>
      <c r="I96" s="18">
        <f t="shared" si="40"/>
        <v>133488.29300637849</v>
      </c>
      <c r="J96" s="18">
        <f t="shared" si="40"/>
        <v>131455.19480345232</v>
      </c>
      <c r="K96" s="19">
        <f t="shared" si="40"/>
        <v>129240.21791457575</v>
      </c>
      <c r="N96" s="3559"/>
      <c r="O96" s="3561"/>
      <c r="Z96" s="1719" t="s">
        <v>6462</v>
      </c>
      <c r="AA96" s="1721">
        <v>96</v>
      </c>
    </row>
    <row r="97" spans="1:27" ht="13.35" customHeight="1">
      <c r="A97" s="17" t="str">
        <f>$A66</f>
        <v>DCR Mortgage A</v>
      </c>
      <c r="B97" s="20" t="str">
        <f t="shared" ref="B97:K97" si="41">IF(B90=0,"",-B89/B90)</f>
        <v/>
      </c>
      <c r="C97" s="20" t="str">
        <f t="shared" si="41"/>
        <v/>
      </c>
      <c r="D97" s="20" t="str">
        <f t="shared" si="41"/>
        <v/>
      </c>
      <c r="E97" s="20" t="str">
        <f t="shared" si="41"/>
        <v/>
      </c>
      <c r="F97" s="20" t="str">
        <f t="shared" si="41"/>
        <v/>
      </c>
      <c r="G97" s="20" t="str">
        <f t="shared" si="41"/>
        <v/>
      </c>
      <c r="H97" s="20" t="str">
        <f t="shared" si="41"/>
        <v/>
      </c>
      <c r="I97" s="20" t="str">
        <f t="shared" si="41"/>
        <v/>
      </c>
      <c r="J97" s="20" t="str">
        <f t="shared" si="41"/>
        <v/>
      </c>
      <c r="K97" s="21" t="str">
        <f t="shared" si="41"/>
        <v/>
      </c>
      <c r="N97" s="3559"/>
      <c r="O97" s="3561"/>
      <c r="Z97" s="1719" t="s">
        <v>6462</v>
      </c>
      <c r="AA97" s="1721">
        <v>97</v>
      </c>
    </row>
    <row r="98" spans="1:27" ht="13.35" customHeight="1">
      <c r="A98" s="17" t="str">
        <f>$A67</f>
        <v>DCR Mortgage B</v>
      </c>
      <c r="B98" s="20" t="str">
        <f t="shared" ref="B98:K98" si="42">IF(B91=0,"",-(B89+B90)/B91)</f>
        <v/>
      </c>
      <c r="C98" s="20" t="str">
        <f t="shared" si="42"/>
        <v/>
      </c>
      <c r="D98" s="20" t="str">
        <f t="shared" si="42"/>
        <v/>
      </c>
      <c r="E98" s="20" t="str">
        <f t="shared" si="42"/>
        <v/>
      </c>
      <c r="F98" s="20" t="str">
        <f t="shared" si="42"/>
        <v/>
      </c>
      <c r="G98" s="20" t="str">
        <f t="shared" si="42"/>
        <v/>
      </c>
      <c r="H98" s="20" t="str">
        <f t="shared" si="42"/>
        <v/>
      </c>
      <c r="I98" s="20" t="str">
        <f t="shared" si="42"/>
        <v/>
      </c>
      <c r="J98" s="20" t="str">
        <f t="shared" si="42"/>
        <v/>
      </c>
      <c r="K98" s="21" t="str">
        <f t="shared" si="42"/>
        <v/>
      </c>
      <c r="N98" s="3559"/>
      <c r="O98" s="3561"/>
      <c r="Z98" s="1719" t="s">
        <v>6462</v>
      </c>
      <c r="AA98" s="1721">
        <v>98</v>
      </c>
    </row>
    <row r="99" spans="1:27" ht="13.35" customHeight="1">
      <c r="A99" s="17" t="str">
        <f>$A68</f>
        <v>DCR Mortgage C</v>
      </c>
      <c r="B99" s="20" t="str">
        <f t="shared" ref="B99:K99" si="43">IF(B92=0,"",-(B89+B90+B91)/B92)</f>
        <v/>
      </c>
      <c r="C99" s="20" t="str">
        <f t="shared" si="43"/>
        <v/>
      </c>
      <c r="D99" s="20" t="str">
        <f t="shared" si="43"/>
        <v/>
      </c>
      <c r="E99" s="20" t="str">
        <f t="shared" si="43"/>
        <v/>
      </c>
      <c r="F99" s="20" t="str">
        <f t="shared" si="43"/>
        <v/>
      </c>
      <c r="G99" s="20" t="str">
        <f t="shared" si="43"/>
        <v/>
      </c>
      <c r="H99" s="20" t="str">
        <f t="shared" si="43"/>
        <v/>
      </c>
      <c r="I99" s="20" t="str">
        <f t="shared" si="43"/>
        <v/>
      </c>
      <c r="J99" s="20" t="str">
        <f t="shared" si="43"/>
        <v/>
      </c>
      <c r="K99" s="21" t="str">
        <f t="shared" si="43"/>
        <v/>
      </c>
      <c r="N99" s="3559"/>
      <c r="O99" s="3561"/>
      <c r="Z99" s="1719" t="s">
        <v>6462</v>
      </c>
      <c r="AA99" s="1721">
        <v>99</v>
      </c>
    </row>
    <row r="100" spans="1:27" ht="13.35" customHeight="1">
      <c r="A100" s="17" t="str">
        <f>$A69</f>
        <v>DCR Other Source</v>
      </c>
      <c r="B100" s="20" t="str">
        <f t="shared" ref="B100:K100" si="44">IF(B93=0,"",-(B89+B90+B91+B92)/B93)</f>
        <v/>
      </c>
      <c r="C100" s="20" t="str">
        <f t="shared" si="44"/>
        <v/>
      </c>
      <c r="D100" s="20" t="str">
        <f t="shared" si="44"/>
        <v/>
      </c>
      <c r="E100" s="20" t="str">
        <f t="shared" si="44"/>
        <v/>
      </c>
      <c r="F100" s="20" t="str">
        <f t="shared" si="44"/>
        <v/>
      </c>
      <c r="G100" s="20" t="str">
        <f t="shared" si="44"/>
        <v/>
      </c>
      <c r="H100" s="20" t="str">
        <f t="shared" si="44"/>
        <v/>
      </c>
      <c r="I100" s="20" t="str">
        <f t="shared" si="44"/>
        <v/>
      </c>
      <c r="J100" s="20" t="str">
        <f t="shared" si="44"/>
        <v/>
      </c>
      <c r="K100" s="21" t="str">
        <f t="shared" si="44"/>
        <v/>
      </c>
      <c r="N100" s="3559"/>
      <c r="O100" s="3561"/>
      <c r="Z100" s="1719" t="s">
        <v>6462</v>
      </c>
      <c r="AA100" s="1721">
        <v>100</v>
      </c>
    </row>
    <row r="101" spans="1:27" ht="13.35" customHeight="1">
      <c r="A101" s="341" t="s">
        <v>3213</v>
      </c>
      <c r="B101" s="20" t="str">
        <f t="shared" ref="B101:K101" si="45">IF(AND(B90=0,B91=0,B92=0,B93=0),"",-B89/(B90+B91+B92+B93))</f>
        <v/>
      </c>
      <c r="C101" s="20" t="str">
        <f t="shared" si="45"/>
        <v/>
      </c>
      <c r="D101" s="20" t="str">
        <f t="shared" si="45"/>
        <v/>
      </c>
      <c r="E101" s="20" t="str">
        <f t="shared" si="45"/>
        <v/>
      </c>
      <c r="F101" s="20" t="str">
        <f t="shared" si="45"/>
        <v/>
      </c>
      <c r="G101" s="20" t="str">
        <f t="shared" si="45"/>
        <v/>
      </c>
      <c r="H101" s="20" t="str">
        <f t="shared" si="45"/>
        <v/>
      </c>
      <c r="I101" s="20" t="str">
        <f t="shared" si="45"/>
        <v/>
      </c>
      <c r="J101" s="20" t="str">
        <f t="shared" si="45"/>
        <v/>
      </c>
      <c r="K101" s="21" t="str">
        <f t="shared" si="45"/>
        <v/>
      </c>
      <c r="N101" s="3559"/>
      <c r="O101" s="3561"/>
      <c r="Z101" s="1719" t="s">
        <v>6462</v>
      </c>
      <c r="AA101" s="1721">
        <v>101</v>
      </c>
    </row>
    <row r="102" spans="1:27" ht="13.35" customHeight="1">
      <c r="A102" s="17" t="s">
        <v>718</v>
      </c>
      <c r="B102" s="220">
        <f>IF(OR(B86="Choose mgt fee",B86="Choose One!"),"",(B79+B80+B81+B82+B83) / -(B85+B86+B87))</f>
        <v>1.3297363400683222</v>
      </c>
      <c r="C102" s="220">
        <f t="shared" ref="C102:K102" si="46">IF(OR(C86="Choose mgt fee",C86="Choose One!"),"",(C79+C80+C81+C82+C83) / -(C85+C86+C87))</f>
        <v>1.3183573854856003</v>
      </c>
      <c r="D102" s="220">
        <f t="shared" si="46"/>
        <v>1.3070650936945889</v>
      </c>
      <c r="E102" s="220">
        <f t="shared" si="46"/>
        <v>1.2958544729661181</v>
      </c>
      <c r="F102" s="220">
        <f t="shared" si="46"/>
        <v>1.2847291199545303</v>
      </c>
      <c r="G102" s="220">
        <f t="shared" si="46"/>
        <v>1.2736844554810978</v>
      </c>
      <c r="H102" s="220">
        <f t="shared" si="46"/>
        <v>1.2627238668929199</v>
      </c>
      <c r="I102" s="220">
        <f t="shared" si="46"/>
        <v>1.2518455035095324</v>
      </c>
      <c r="J102" s="220">
        <f t="shared" si="46"/>
        <v>1.2410500085860294</v>
      </c>
      <c r="K102" s="221">
        <f t="shared" si="46"/>
        <v>1.2303356980645044</v>
      </c>
      <c r="N102" s="3559"/>
      <c r="O102" s="3561"/>
      <c r="Z102" s="1719" t="s">
        <v>6462</v>
      </c>
      <c r="AA102" s="1721">
        <v>102</v>
      </c>
    </row>
    <row r="103" spans="1:27" ht="13.35" customHeight="1">
      <c r="A103" s="341" t="s">
        <v>2405</v>
      </c>
      <c r="B103" s="177"/>
      <c r="C103" s="177"/>
      <c r="D103" s="177"/>
      <c r="E103" s="177"/>
      <c r="F103" s="177"/>
      <c r="G103" s="177"/>
      <c r="H103" s="177"/>
      <c r="I103" s="177"/>
      <c r="J103" s="177"/>
      <c r="K103" s="177"/>
      <c r="N103" s="3559"/>
      <c r="O103" s="3561"/>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35" customHeight="1">
      <c r="A109" s="14" t="s">
        <v>2215</v>
      </c>
      <c r="B109" s="15">
        <f>$B$15*(1+$B$6)^(B108-1)</f>
        <v>742295.9771655543</v>
      </c>
      <c r="C109" s="15">
        <f>$B$15*(1+$B$6)^(C108-1)</f>
        <v>757141.89670886518</v>
      </c>
      <c r="D109" s="15">
        <f>$B$15*(1+$B$6)^(D108-1)</f>
        <v>772284.73464304267</v>
      </c>
      <c r="E109" s="15">
        <f>$B$15*(1+$B$6)^(E108-1)</f>
        <v>787730.42933590349</v>
      </c>
      <c r="F109" s="497">
        <f>$B$15*(1+$B$6)^(F108-1)</f>
        <v>803485.03792262147</v>
      </c>
      <c r="G109" s="13"/>
      <c r="H109" s="13"/>
      <c r="I109" s="13"/>
      <c r="J109" s="13"/>
      <c r="K109" s="13"/>
      <c r="N109" s="3562"/>
      <c r="O109" s="3564"/>
      <c r="Z109" s="1719" t="s">
        <v>6463</v>
      </c>
      <c r="AA109" s="1721">
        <v>109</v>
      </c>
    </row>
    <row r="110" spans="1:27" ht="13.35" customHeight="1">
      <c r="A110" s="17" t="s">
        <v>952</v>
      </c>
      <c r="B110" s="18">
        <f>$B$16*(1+$B$6)^(B108-1)</f>
        <v>14845.919543311085</v>
      </c>
      <c r="C110" s="18">
        <f>$B$16*(1+$B$6)^(C108-1)</f>
        <v>15142.837934177303</v>
      </c>
      <c r="D110" s="18">
        <f>$B$16*(1+$B$6)^(D108-1)</f>
        <v>15445.694692860852</v>
      </c>
      <c r="E110" s="18">
        <f>$B$16*(1+$B$6)^(E108-1)</f>
        <v>15754.60858671807</v>
      </c>
      <c r="F110" s="19">
        <f>$B$16*(1+$B$6)^(F108-1)</f>
        <v>16069.700758452431</v>
      </c>
      <c r="G110" s="13"/>
      <c r="H110" s="13"/>
      <c r="I110" s="13"/>
      <c r="J110" s="13"/>
      <c r="K110" s="13"/>
      <c r="N110" s="3559"/>
      <c r="O110" s="3561"/>
      <c r="Z110" s="1719" t="s">
        <v>6463</v>
      </c>
      <c r="AA110" s="1721">
        <v>110</v>
      </c>
    </row>
    <row r="111" spans="1:27" ht="13.35" customHeight="1">
      <c r="A111" s="17" t="s">
        <v>2216</v>
      </c>
      <c r="B111" s="18">
        <f>-(B109+B110)*$B$9</f>
        <v>-52999.932769620587</v>
      </c>
      <c r="C111" s="18">
        <f>-(C109+C110)*$B$9</f>
        <v>-54059.931425012976</v>
      </c>
      <c r="D111" s="18">
        <f>-(D109+D110)*$B$9</f>
        <v>-55141.130053513247</v>
      </c>
      <c r="E111" s="18">
        <f>-(E109+E110)*$B$9</f>
        <v>-56243.952654583518</v>
      </c>
      <c r="F111" s="19">
        <f>-(F109+F110)*$B$9</f>
        <v>-57368.831707675177</v>
      </c>
      <c r="G111" s="13"/>
      <c r="H111" s="13"/>
      <c r="I111" s="13"/>
      <c r="J111" s="13"/>
      <c r="K111" s="13"/>
      <c r="N111" s="3559"/>
      <c r="O111" s="3561"/>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6463</v>
      </c>
      <c r="AA113" s="1721">
        <v>113</v>
      </c>
    </row>
    <row r="114" spans="1:27" ht="13.35" customHeight="1">
      <c r="A114" s="341" t="s">
        <v>3837</v>
      </c>
      <c r="B114" s="18">
        <f>SUM(B109:B113)</f>
        <v>704141.96393924486</v>
      </c>
      <c r="C114" s="18">
        <f>SUM(C109:C113)</f>
        <v>718224.80321802944</v>
      </c>
      <c r="D114" s="18">
        <f>SUM(D109:D113)</f>
        <v>732589.29928239028</v>
      </c>
      <c r="E114" s="18">
        <f>SUM(E109:E113)</f>
        <v>747241.08526803809</v>
      </c>
      <c r="F114" s="19">
        <f>SUM(F109:F113)</f>
        <v>762185.90697339876</v>
      </c>
      <c r="G114" s="13"/>
      <c r="H114" s="13"/>
      <c r="I114" s="13"/>
      <c r="J114" s="13"/>
      <c r="K114" s="13"/>
      <c r="N114" s="3559"/>
      <c r="O114" s="3561"/>
      <c r="Z114" s="1719" t="s">
        <v>6463</v>
      </c>
      <c r="AA114" s="1721">
        <v>114</v>
      </c>
    </row>
    <row r="115" spans="1:27" ht="13.35" customHeight="1">
      <c r="A115" s="17" t="s">
        <v>572</v>
      </c>
      <c r="B115" s="18">
        <f>$B$21*(1+$B$7)^(B108-1)</f>
        <v>-481165.94871381088</v>
      </c>
      <c r="C115" s="18">
        <f>$B$21*(1+$B$7)^(C108-1)</f>
        <v>-495600.92717522528</v>
      </c>
      <c r="D115" s="18">
        <f>$B$21*(1+$B$7)^(D108-1)</f>
        <v>-510468.95499048196</v>
      </c>
      <c r="E115" s="18">
        <f>$B$21*(1+$B$7)^(E108-1)</f>
        <v>-525783.02364019642</v>
      </c>
      <c r="F115" s="19">
        <f>$B$21*(1+$B$7)^(F108-1)</f>
        <v>-541556.51434940228</v>
      </c>
      <c r="G115" s="13"/>
      <c r="H115" s="13"/>
      <c r="I115" s="13"/>
      <c r="J115" s="13"/>
      <c r="K115" s="13"/>
      <c r="N115" s="3559"/>
      <c r="O115" s="3561"/>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-63373</v>
      </c>
      <c r="C116" s="18">
        <f>IF(AND('Part VI-Pro Forma'!$G$9="Yes",'Part VI-Pro Forma'!$G$10="Yes"),"Choose One!",IF('Part VI-Pro Forma'!$G$9="Yes",ROUND((-$K$9*(1+'Part VI-Pro Forma'!$B$7)^('Part VI-Pro Forma'!C108-1)),),IF('Part VI-Pro Forma'!$G$10="Yes",ROUND((-(SUM(C109:C112)*'Part VI-Pro Forma'!$K$10)),),"Choose mgt fee")))</f>
        <v>-64640</v>
      </c>
      <c r="D116" s="18">
        <f>IF(AND('Part VI-Pro Forma'!$G$9="Yes",'Part VI-Pro Forma'!$G$10="Yes"),"Choose One!",IF('Part VI-Pro Forma'!$G$9="Yes",ROUND((-$K$9*(1+'Part VI-Pro Forma'!$B$7)^('Part VI-Pro Forma'!D108-1)),),IF('Part VI-Pro Forma'!$G$10="Yes",ROUND((-(SUM(D109:D112)*'Part VI-Pro Forma'!$K$10)),),"Choose mgt fee")))</f>
        <v>-65933</v>
      </c>
      <c r="E116" s="18">
        <f>IF(AND('Part VI-Pro Forma'!$G$9="Yes",'Part VI-Pro Forma'!$G$10="Yes"),"Choose One!",IF('Part VI-Pro Forma'!$G$9="Yes",ROUND((-$K$9*(1+'Part VI-Pro Forma'!$B$7)^('Part VI-Pro Forma'!E108-1)),),IF('Part VI-Pro Forma'!$G$10="Yes",ROUND((-(SUM(E109:E112)*'Part VI-Pro Forma'!$K$10)),),"Choose mgt fee")))</f>
        <v>-67252</v>
      </c>
      <c r="F116" s="19">
        <f>IF(AND('Part VI-Pro Forma'!$G$9="Yes",'Part VI-Pro Forma'!$G$10="Yes"),"Choose One!",IF('Part VI-Pro Forma'!$G$9="Yes",ROUND((-$K$9*(1+'Part VI-Pro Forma'!$B$7)^('Part VI-Pro Forma'!F108-1)),),IF('Part VI-Pro Forma'!$G$10="Yes",ROUND((-(SUM(F109:F112)*'Part VI-Pro Forma'!$K$10)),),"Choose mgt fee")))</f>
        <v>-68597</v>
      </c>
      <c r="G116" s="13"/>
      <c r="H116" s="13"/>
      <c r="I116" s="13"/>
      <c r="J116" s="13"/>
      <c r="K116" s="13"/>
      <c r="N116" s="3559"/>
      <c r="O116" s="3561"/>
      <c r="Z116" s="1719" t="s">
        <v>6463</v>
      </c>
      <c r="AA116" s="1721">
        <v>116</v>
      </c>
    </row>
    <row r="117" spans="1:27" ht="13.35" customHeight="1">
      <c r="A117" s="17" t="s">
        <v>1128</v>
      </c>
      <c r="B117" s="18">
        <f>$B$23*(1+$B$8)^(B108-1)</f>
        <v>-32768.043361060401</v>
      </c>
      <c r="C117" s="18">
        <f>$B$23*(1+$B$8)^(C108-1)</f>
        <v>-33751.084661892215</v>
      </c>
      <c r="D117" s="18">
        <f>$B$23*(1+$B$8)^(D108-1)</f>
        <v>-34763.617201748973</v>
      </c>
      <c r="E117" s="18">
        <f>$B$23*(1+$B$8)^(E108-1)</f>
        <v>-35806.525717801444</v>
      </c>
      <c r="F117" s="19">
        <f>$B$23*(1+$B$8)^(F108-1)</f>
        <v>-36880.721489335483</v>
      </c>
      <c r="G117" s="13"/>
      <c r="H117" s="13"/>
      <c r="I117" s="13"/>
      <c r="J117" s="13"/>
      <c r="K117" s="13"/>
      <c r="N117" s="3559"/>
      <c r="O117" s="3561"/>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6463</v>
      </c>
      <c r="AA118" s="1721">
        <v>118</v>
      </c>
    </row>
    <row r="119" spans="1:27" ht="13.35" customHeight="1">
      <c r="A119" s="17" t="s">
        <v>1129</v>
      </c>
      <c r="B119" s="18">
        <f>SUM(B114:B118)</f>
        <v>126834.97186437357</v>
      </c>
      <c r="C119" s="18">
        <f>SUM(C114:C118)</f>
        <v>124232.79138091195</v>
      </c>
      <c r="D119" s="18">
        <f>SUM(D114:D118)</f>
        <v>121423.72709015934</v>
      </c>
      <c r="E119" s="18">
        <f>SUM(E114:E118)</f>
        <v>118399.53591004023</v>
      </c>
      <c r="F119" s="1215">
        <f>SUM(F114:F118)</f>
        <v>115151.671134661</v>
      </c>
      <c r="G119" s="13"/>
      <c r="H119" s="13"/>
      <c r="I119" s="13"/>
      <c r="J119" s="13"/>
      <c r="K119" s="13"/>
      <c r="N119" s="3559"/>
      <c r="O119" s="3561"/>
      <c r="Z119" s="1719" t="s">
        <v>6463</v>
      </c>
      <c r="AA119" s="1721">
        <v>119</v>
      </c>
    </row>
    <row r="120" spans="1:27" ht="13.35" customHeight="1">
      <c r="A120" s="17" t="str">
        <f>$A90</f>
        <v>Mortgage A</v>
      </c>
      <c r="B120" s="342"/>
      <c r="C120" s="342"/>
      <c r="D120" s="342"/>
      <c r="E120" s="342"/>
      <c r="F120" s="342"/>
      <c r="G120" s="13"/>
      <c r="H120" s="13"/>
      <c r="I120" s="13"/>
      <c r="J120" s="13"/>
      <c r="K120" s="13"/>
      <c r="N120" s="3559"/>
      <c r="O120" s="3561"/>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6463</v>
      </c>
      <c r="AA123" s="1721">
        <v>123</v>
      </c>
    </row>
    <row r="124" spans="1:27" ht="13.35" customHeight="1">
      <c r="A124" s="17" t="s">
        <v>711</v>
      </c>
      <c r="B124" s="138"/>
      <c r="C124" s="138"/>
      <c r="D124" s="138"/>
      <c r="E124" s="138"/>
      <c r="F124" s="138"/>
      <c r="G124" s="13"/>
      <c r="H124" s="13"/>
      <c r="I124" s="13"/>
      <c r="J124" s="13"/>
      <c r="K124" s="13"/>
      <c r="N124" s="3559"/>
      <c r="O124" s="3561"/>
      <c r="Z124" s="1719" t="s">
        <v>6463</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559"/>
      <c r="O125" s="3561"/>
      <c r="Z125" s="1719" t="s">
        <v>6463</v>
      </c>
      <c r="AA125" s="1721">
        <v>125</v>
      </c>
    </row>
    <row r="126" spans="1:27" ht="13.35" customHeight="1">
      <c r="A126" s="17" t="s">
        <v>1096</v>
      </c>
      <c r="B126" s="18">
        <f>SUM(B119:B125)</f>
        <v>126834.97186437357</v>
      </c>
      <c r="C126" s="18">
        <f>SUM(C119:C125)</f>
        <v>124232.79138091195</v>
      </c>
      <c r="D126" s="18">
        <f>SUM(D119:D125)</f>
        <v>121423.72709015934</v>
      </c>
      <c r="E126" s="18">
        <f>SUM(E119:E125)</f>
        <v>118399.53591004023</v>
      </c>
      <c r="F126" s="19">
        <f>SUM(F119:F125)</f>
        <v>115151.671134661</v>
      </c>
      <c r="G126" s="13"/>
      <c r="H126" s="13"/>
      <c r="I126" s="13"/>
      <c r="J126" s="13"/>
      <c r="K126" s="13"/>
      <c r="N126" s="3559"/>
      <c r="O126" s="3561"/>
      <c r="Z126" s="1719" t="s">
        <v>6463</v>
      </c>
      <c r="AA126" s="1721">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59"/>
      <c r="O127" s="3561"/>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6463</v>
      </c>
      <c r="AA130" s="1721">
        <v>130</v>
      </c>
    </row>
    <row r="131" spans="1:27" ht="13.35" customHeight="1">
      <c r="A131" s="341" t="s">
        <v>3213</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59"/>
      <c r="O131" s="3561"/>
      <c r="Z131" s="1719" t="s">
        <v>6463</v>
      </c>
      <c r="AA131" s="1721">
        <v>131</v>
      </c>
    </row>
    <row r="132" spans="1:27" ht="13.35" customHeight="1">
      <c r="A132" s="17" t="s">
        <v>718</v>
      </c>
      <c r="B132" s="220">
        <f>IF(OR(B116="Choose mgt fee",B116="Choose One!"),"",(B109+B110+B111+B112+B113) / -(B115+B116+B117))</f>
        <v>1.2197010838350009</v>
      </c>
      <c r="C132" s="220">
        <f>IF(OR(C116="Choose mgt fee",C116="Choose One!"),"",(C109+C110+C111+C112+C113) / -(C115+C116+C117))</f>
        <v>1.2091489260885526</v>
      </c>
      <c r="D132" s="220">
        <f>IF(OR(D116="Choose mgt fee",D116="Choose One!"),"",(D109+D110+D111+D112+D113) / -(D115+D116+D117))</f>
        <v>1.198675665997704</v>
      </c>
      <c r="E132" s="220">
        <f>IF(OR(E116="Choose mgt fee",E116="Choose One!"),"",(E109+E110+E111+E112+E113) / -(E115+E116+E117))</f>
        <v>1.1882819861870095</v>
      </c>
      <c r="F132" s="498">
        <f>IF(OR(F116="Choose mgt fee",F116="Choose One!"),"",(F109+F110+F111+F112+F113) / -(F115+F116+F117))</f>
        <v>1.1779684362225318</v>
      </c>
      <c r="G132" s="13"/>
      <c r="H132" s="13"/>
      <c r="I132" s="13"/>
      <c r="J132" s="13"/>
      <c r="K132" s="13"/>
      <c r="N132" s="3559"/>
      <c r="O132" s="3561"/>
      <c r="Z132" s="1719" t="s">
        <v>6463</v>
      </c>
      <c r="AA132" s="1721">
        <v>132</v>
      </c>
    </row>
    <row r="133" spans="1:27" ht="13.35" customHeight="1">
      <c r="A133" s="341" t="s">
        <v>2405</v>
      </c>
      <c r="B133" s="177">
        <f>IF('Part II-Sources of Funds'!$I$40="","",-FV('Part II-Sources of Funds'!$K$40/12,12,B120/12,K103))</f>
        <v>0</v>
      </c>
      <c r="C133" s="177">
        <f>IF('Part II-Sources of Funds'!$I$40="","",-FV('Part II-Sources of Funds'!$K$40/12,12,C120/12,B133))</f>
        <v>0</v>
      </c>
      <c r="D133" s="177">
        <f>IF('Part II-Sources of Funds'!$I$40="","",-FV('Part II-Sources of Funds'!$K$40/12,12,D120/12,C133))</f>
        <v>0</v>
      </c>
      <c r="E133" s="177">
        <f>IF('Part II-Sources of Funds'!$I$40="","",-FV('Part II-Sources of Funds'!$K$40/12,12,E120/12,D133))</f>
        <v>0</v>
      </c>
      <c r="F133" s="177">
        <f>IF('Part II-Sources of Funds'!$I$40="","",-FV('Part II-Sources of Funds'!$K$40/12,12,F120/12,E133))</f>
        <v>0</v>
      </c>
      <c r="G133" s="13"/>
      <c r="H133" s="13"/>
      <c r="I133" s="13"/>
      <c r="J133" s="13"/>
      <c r="K133" s="13"/>
      <c r="N133" s="3559"/>
      <c r="O133" s="3561"/>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7125</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J90" sqref="J90"/>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The Bridges at Lincom, Hartwell, Hart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6770</v>
      </c>
      <c r="Q3" s="3685" t="s">
        <v>6530</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6771</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693"/>
      <c r="Q9" s="3694"/>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1872</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1873</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1874</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1875</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1876</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1877</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1878</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1879</v>
      </c>
      <c r="B25" s="3690"/>
      <c r="C25" s="3690"/>
      <c r="D25" s="3690"/>
      <c r="E25" s="3690"/>
      <c r="F25" s="3690"/>
      <c r="G25" s="3690"/>
      <c r="H25" s="3690"/>
      <c r="I25" s="3690"/>
      <c r="J25" s="3690"/>
      <c r="K25" s="3690"/>
      <c r="L25" s="3690"/>
      <c r="M25" s="3690"/>
      <c r="N25" s="3690"/>
      <c r="O25" s="3690"/>
      <c r="P25" s="3690"/>
      <c r="Q25" s="3691"/>
    </row>
    <row r="26" spans="1:17" s="2022" customFormat="1" ht="14.25">
      <c r="A26" s="3689" t="s">
        <v>1880</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1881</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1882</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01"/>
      <c r="Q31" s="3702"/>
    </row>
    <row r="32" spans="1:17" ht="20.25" customHeight="1">
      <c r="B32" s="2034" t="s">
        <v>6773</v>
      </c>
      <c r="C32" s="2034"/>
      <c r="D32" s="2034"/>
      <c r="E32" s="2034"/>
      <c r="F32" s="2034"/>
      <c r="G32" s="2031"/>
      <c r="H32" s="2031"/>
      <c r="I32" s="2031"/>
      <c r="J32" s="2031"/>
      <c r="K32" s="2026"/>
      <c r="L32" s="2026"/>
      <c r="M32" s="2026"/>
      <c r="N32" s="2026"/>
      <c r="O32" s="2026"/>
      <c r="P32" s="2026"/>
    </row>
    <row r="33" spans="1:17" ht="110.25" customHeight="1">
      <c r="A33" s="3703" t="s">
        <v>7047</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6774</v>
      </c>
      <c r="C39" s="3719"/>
      <c r="D39" s="3719"/>
      <c r="E39" s="3719"/>
      <c r="F39" s="3719"/>
      <c r="G39" s="3719"/>
      <c r="H39" s="3719"/>
      <c r="I39" s="3719"/>
      <c r="J39" s="3719"/>
      <c r="K39" s="3719"/>
      <c r="L39" s="3719"/>
      <c r="M39" s="3719"/>
      <c r="N39" s="3719"/>
      <c r="O39" s="3719"/>
      <c r="P39" s="3720" t="s">
        <v>2649</v>
      </c>
      <c r="Q39" s="3721"/>
    </row>
    <row r="40" spans="1:17" ht="20.25" customHeight="1">
      <c r="B40" s="2045" t="s">
        <v>3239</v>
      </c>
      <c r="D40" s="2045"/>
      <c r="E40" s="2045"/>
      <c r="F40" s="2045"/>
      <c r="G40" s="2045"/>
      <c r="H40" s="2043"/>
      <c r="I40" s="2031"/>
      <c r="J40" s="2031"/>
    </row>
    <row r="41" spans="1:17" ht="20.25" customHeight="1">
      <c r="A41" s="3722" t="s">
        <v>7092</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6775</v>
      </c>
      <c r="C47" s="2042"/>
      <c r="D47" s="2036"/>
      <c r="E47" s="2036"/>
      <c r="F47" s="2036"/>
      <c r="G47" s="2036"/>
      <c r="H47" s="2036"/>
      <c r="I47" s="2036"/>
      <c r="J47" s="2036"/>
      <c r="L47" s="2051"/>
      <c r="M47" s="2052"/>
      <c r="O47" s="2032"/>
      <c r="P47" s="3720" t="s">
        <v>2649</v>
      </c>
      <c r="Q47" s="3721"/>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64.5" customHeight="1">
      <c r="A49" s="3703" t="s">
        <v>7093</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7048</v>
      </c>
      <c r="J53" s="3714"/>
      <c r="K53" s="3714"/>
      <c r="L53" s="3714"/>
      <c r="M53" s="3714"/>
      <c r="N53" s="3714"/>
      <c r="O53" s="3714"/>
      <c r="P53" s="3714"/>
      <c r="Q53" s="3715"/>
    </row>
    <row r="54" spans="1:17" ht="20.25" customHeight="1">
      <c r="A54" s="2053"/>
      <c r="B54" s="2030" t="s">
        <v>6776</v>
      </c>
      <c r="D54" s="2056"/>
      <c r="E54" s="2056"/>
      <c r="F54" s="2056"/>
      <c r="I54" s="3716">
        <v>1</v>
      </c>
      <c r="J54" s="3717"/>
      <c r="K54" s="3718"/>
      <c r="L54" s="2044"/>
      <c r="M54" s="2057"/>
      <c r="N54" s="2057"/>
      <c r="O54" s="2057"/>
      <c r="P54" s="2057"/>
      <c r="Q54" s="2026"/>
    </row>
    <row r="55" spans="1:17" ht="20.25" customHeight="1">
      <c r="A55" s="2053"/>
      <c r="B55" s="2030" t="s">
        <v>6777</v>
      </c>
      <c r="D55" s="2056"/>
      <c r="E55" s="2056"/>
      <c r="F55" s="2056"/>
      <c r="H55" s="2044" t="s">
        <v>6778</v>
      </c>
      <c r="I55" s="3738">
        <v>0.28699999999999998</v>
      </c>
      <c r="J55" s="3717"/>
      <c r="K55" s="3718"/>
      <c r="L55" s="2058"/>
      <c r="M55" s="2059" t="s">
        <v>6779</v>
      </c>
      <c r="N55" s="3734" t="s">
        <v>906</v>
      </c>
      <c r="O55" s="3718"/>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71.25" customHeight="1">
      <c r="A57" s="3703" t="s">
        <v>7112</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5"/>
      <c r="Q62" s="3736"/>
    </row>
    <row r="63" spans="1:17" ht="20.25" customHeight="1">
      <c r="A63" s="2053"/>
      <c r="B63" s="2030" t="s">
        <v>6780</v>
      </c>
      <c r="I63" s="2062"/>
      <c r="J63" s="3734"/>
      <c r="K63" s="3734"/>
      <c r="L63" s="3734"/>
      <c r="M63" s="3734"/>
      <c r="N63" s="3734"/>
      <c r="O63" s="3734"/>
      <c r="P63" s="3734"/>
      <c r="Q63" s="3737"/>
    </row>
    <row r="64" spans="1:17" ht="20.25" customHeight="1">
      <c r="A64" s="2053"/>
      <c r="B64" s="2030" t="s">
        <v>3947</v>
      </c>
      <c r="O64" s="2044"/>
      <c r="P64" s="2065"/>
      <c r="Q64" s="2066"/>
    </row>
    <row r="65" spans="1:17" ht="33" customHeight="1">
      <c r="B65" s="2042"/>
      <c r="C65" s="3711" t="s">
        <v>6781</v>
      </c>
      <c r="D65" s="3711"/>
      <c r="E65" s="3711"/>
      <c r="F65" s="3711"/>
      <c r="G65" s="3711"/>
      <c r="H65" s="3711"/>
      <c r="I65" s="3711"/>
      <c r="J65" s="3711"/>
      <c r="K65" s="3711"/>
      <c r="L65" s="3711"/>
      <c r="M65" s="3711"/>
      <c r="N65" s="3711"/>
      <c r="O65" s="3711"/>
      <c r="P65" s="2065"/>
      <c r="Q65" s="2066"/>
    </row>
    <row r="66" spans="1:17" ht="33" customHeight="1">
      <c r="A66" s="2053"/>
      <c r="B66" s="2042"/>
      <c r="C66" s="3711" t="s">
        <v>6782</v>
      </c>
      <c r="D66" s="3711"/>
      <c r="E66" s="3711"/>
      <c r="F66" s="3711"/>
      <c r="G66" s="3711"/>
      <c r="H66" s="3711"/>
      <c r="I66" s="3711"/>
      <c r="J66" s="3711"/>
      <c r="K66" s="3711"/>
      <c r="L66" s="3711"/>
      <c r="M66" s="3711"/>
      <c r="N66" s="3711"/>
      <c r="O66" s="3711"/>
      <c r="P66" s="2067"/>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31.5" customHeight="1">
      <c r="A68" s="3722" t="s">
        <v>7049</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6783</v>
      </c>
      <c r="C74" s="3711"/>
      <c r="D74" s="3711"/>
      <c r="E74" s="3711"/>
      <c r="F74" s="3711"/>
      <c r="G74" s="3711"/>
      <c r="H74" s="3711"/>
      <c r="I74" s="3711"/>
      <c r="J74" s="3711"/>
      <c r="K74" s="3712"/>
      <c r="L74" s="3730" t="s">
        <v>7050</v>
      </c>
      <c r="M74" s="3731"/>
      <c r="N74" s="3731"/>
      <c r="O74" s="3731"/>
      <c r="P74" s="3732"/>
      <c r="Q74" s="3733"/>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2649</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t="s">
        <v>2652</v>
      </c>
      <c r="Q80" s="2080"/>
    </row>
    <row r="81" spans="1:23" ht="20.25" customHeight="1">
      <c r="A81" s="2053"/>
      <c r="B81" s="2042"/>
      <c r="C81" s="2030" t="s">
        <v>6789</v>
      </c>
      <c r="E81" s="2056"/>
      <c r="F81" s="2056"/>
      <c r="G81" s="2056"/>
      <c r="K81" s="2056"/>
      <c r="L81" s="2036"/>
      <c r="M81" s="2036"/>
      <c r="O81" s="2044"/>
      <c r="P81" s="2067" t="s">
        <v>2652</v>
      </c>
      <c r="Q81" s="2068"/>
    </row>
    <row r="82" spans="1:23" ht="32.25" customHeight="1">
      <c r="A82" s="2053"/>
      <c r="B82" s="3740" t="s">
        <v>6790</v>
      </c>
      <c r="C82" s="3740"/>
      <c r="D82" s="3740"/>
      <c r="E82" s="3740"/>
      <c r="F82" s="3740"/>
      <c r="G82" s="3740"/>
      <c r="H82" s="3740"/>
      <c r="I82" s="3740"/>
      <c r="J82" s="3740"/>
      <c r="K82" s="3740"/>
      <c r="L82" s="3740"/>
      <c r="M82" s="3740"/>
      <c r="N82" s="3740"/>
      <c r="O82" s="3740"/>
      <c r="P82" s="3740"/>
      <c r="Q82" s="3740"/>
    </row>
    <row r="83" spans="1:23" ht="20.25" customHeight="1">
      <c r="B83" s="3734"/>
      <c r="C83" s="3734"/>
      <c r="D83" s="3734"/>
      <c r="E83" s="3734"/>
      <c r="F83" s="3734"/>
      <c r="G83" s="3734"/>
      <c r="H83" s="3734"/>
      <c r="I83" s="3734"/>
      <c r="J83" s="3734"/>
      <c r="K83" s="3734"/>
      <c r="L83" s="3734"/>
      <c r="M83" s="3734"/>
      <c r="N83" s="3734"/>
      <c r="O83" s="3734"/>
      <c r="P83" s="3734"/>
      <c r="Q83" s="3737"/>
    </row>
    <row r="84" spans="1:23" ht="20.25" customHeight="1">
      <c r="B84" s="2060" t="s">
        <v>3239</v>
      </c>
      <c r="D84" s="2060"/>
      <c r="E84" s="2060"/>
      <c r="F84" s="2060"/>
      <c r="G84" s="2060"/>
      <c r="H84" s="2043"/>
      <c r="I84" s="2031"/>
      <c r="J84" s="2031"/>
      <c r="K84" s="2031"/>
      <c r="L84" s="2026"/>
      <c r="M84" s="2026"/>
      <c r="N84" s="2026"/>
      <c r="O84" s="2026"/>
      <c r="P84" s="2026"/>
      <c r="Q84" s="2026"/>
    </row>
    <row r="85" spans="1:23" ht="81.75" customHeight="1">
      <c r="A85" s="3703" t="s">
        <v>7126</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Ground lease/Option:</v>
      </c>
      <c r="H91" s="2115" t="str">
        <f>IF(L91="Ground lease/Option","Annual Pymt:","")</f>
        <v>Annual Pymt:</v>
      </c>
      <c r="I91" s="2116" t="str">
        <f>IF(M131="Ground lease/Option",'Part V-Revenues &amp; Expenses'!$K$251,"")</f>
        <v/>
      </c>
      <c r="J91" s="2114" t="str">
        <f>IF(L91="Ground lease/Option","Term (yrs):","")</f>
        <v>Term (yrs):</v>
      </c>
      <c r="K91" s="2117" t="str">
        <f>IF(M131="Ground lease/Option",'Part V-Revenues &amp; Expenses'!$N$251,"")</f>
        <v/>
      </c>
      <c r="L91" s="3741" t="s">
        <v>6840</v>
      </c>
      <c r="M91" s="3742"/>
      <c r="N91" s="3743"/>
      <c r="O91" s="3706" t="s">
        <v>1646</v>
      </c>
      <c r="P91" s="3744"/>
      <c r="Q91" s="3745"/>
    </row>
    <row r="92" spans="1:23" ht="20.25" customHeight="1">
      <c r="A92" s="2053"/>
      <c r="B92" s="2030" t="s">
        <v>636</v>
      </c>
      <c r="G92" s="3734" t="s">
        <v>7094</v>
      </c>
      <c r="H92" s="3734"/>
      <c r="I92" s="3734"/>
      <c r="J92" s="3734"/>
      <c r="K92" s="3734"/>
      <c r="L92" s="3734"/>
      <c r="M92" s="3734"/>
      <c r="N92" s="3734"/>
      <c r="O92" s="3734"/>
      <c r="P92" s="3734"/>
      <c r="Q92" s="3737"/>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35.25" customHeight="1">
      <c r="A94" s="3703" t="s">
        <v>7051</v>
      </c>
      <c r="B94" s="3703"/>
      <c r="C94" s="3703"/>
      <c r="D94" s="3703"/>
      <c r="E94" s="3703"/>
      <c r="F94" s="3703"/>
      <c r="G94" s="3703"/>
      <c r="H94" s="3703"/>
      <c r="I94" s="3703"/>
      <c r="J94" s="3703"/>
      <c r="K94" s="3703"/>
      <c r="L94" s="3703"/>
      <c r="M94" s="3703"/>
      <c r="N94" s="3703"/>
      <c r="O94" s="3703"/>
      <c r="P94" s="3703"/>
      <c r="Q94" s="3739"/>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703" t="s">
        <v>7113</v>
      </c>
      <c r="B101" s="3703"/>
      <c r="C101" s="3703"/>
      <c r="D101" s="3703"/>
      <c r="E101" s="3703"/>
      <c r="F101" s="3703"/>
      <c r="G101" s="3703"/>
      <c r="H101" s="3703"/>
      <c r="I101" s="3703"/>
      <c r="J101" s="3703"/>
      <c r="K101" s="3703"/>
      <c r="L101" s="3703"/>
      <c r="M101" s="3703"/>
      <c r="N101" s="3703"/>
      <c r="O101" s="3703"/>
      <c r="P101" s="3703"/>
      <c r="Q101" s="3739"/>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6" t="s">
        <v>2427</v>
      </c>
      <c r="C106" s="3746"/>
      <c r="D106" s="3746"/>
      <c r="N106" s="2069"/>
      <c r="O106" s="2032" t="s">
        <v>1731</v>
      </c>
      <c r="P106" s="3706"/>
      <c r="Q106" s="3710"/>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39.75" customHeight="1">
      <c r="A108" s="3703" t="s">
        <v>7114</v>
      </c>
      <c r="B108" s="3703"/>
      <c r="C108" s="3703"/>
      <c r="D108" s="3703"/>
      <c r="E108" s="3703"/>
      <c r="F108" s="3703"/>
      <c r="G108" s="3703"/>
      <c r="H108" s="3703"/>
      <c r="I108" s="3703"/>
      <c r="J108" s="3703"/>
      <c r="K108" s="3703"/>
      <c r="L108" s="3703"/>
      <c r="M108" s="3703"/>
      <c r="N108" s="3703"/>
      <c r="O108" s="3703"/>
      <c r="P108" s="3703"/>
      <c r="Q108" s="3739"/>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5"/>
      <c r="Q113" s="3736"/>
    </row>
    <row r="114" spans="1:21" ht="20.25" customHeight="1">
      <c r="A114" s="2053"/>
      <c r="B114" s="2030" t="s">
        <v>6791</v>
      </c>
      <c r="H114" s="2030" t="s">
        <v>6792</v>
      </c>
      <c r="J114" s="3750" t="s">
        <v>906</v>
      </c>
      <c r="K114" s="3751"/>
      <c r="L114" s="3751"/>
      <c r="M114" s="3751"/>
      <c r="N114" s="3751"/>
      <c r="O114" s="3751"/>
      <c r="P114" s="3751"/>
      <c r="Q114" s="3752"/>
    </row>
    <row r="115" spans="1:21" ht="20.25" customHeight="1">
      <c r="A115" s="2053"/>
      <c r="B115" s="2053"/>
      <c r="H115" s="2030" t="s">
        <v>6793</v>
      </c>
      <c r="J115" s="3747" t="s">
        <v>7052</v>
      </c>
      <c r="K115" s="3748"/>
      <c r="L115" s="3748"/>
      <c r="M115" s="3748"/>
      <c r="N115" s="3748"/>
      <c r="O115" s="3748"/>
      <c r="P115" s="3748"/>
      <c r="Q115" s="3749"/>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30.75" customHeight="1">
      <c r="A117" s="3703" t="s">
        <v>7053</v>
      </c>
      <c r="B117" s="3703"/>
      <c r="C117" s="3703"/>
      <c r="D117" s="3703"/>
      <c r="E117" s="3703"/>
      <c r="F117" s="3703"/>
      <c r="G117" s="3703"/>
      <c r="H117" s="3703"/>
      <c r="I117" s="3703"/>
      <c r="J117" s="3703"/>
      <c r="K117" s="3703"/>
      <c r="L117" s="3703"/>
      <c r="M117" s="3703"/>
      <c r="N117" s="3703"/>
      <c r="O117" s="3703"/>
      <c r="P117" s="3703"/>
      <c r="Q117" s="3739"/>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6795</v>
      </c>
      <c r="H123" s="2030" t="s">
        <v>6796</v>
      </c>
      <c r="J123" s="3750" t="s">
        <v>7095</v>
      </c>
      <c r="K123" s="3751"/>
      <c r="L123" s="3751"/>
      <c r="M123" s="3751"/>
      <c r="N123" s="3751"/>
      <c r="O123" s="3751"/>
      <c r="P123" s="3751"/>
      <c r="Q123" s="3752"/>
      <c r="R123" s="2084"/>
    </row>
    <row r="124" spans="1:21" ht="20.25" customHeight="1">
      <c r="A124" s="2083"/>
      <c r="B124" s="2053"/>
      <c r="H124" s="2030" t="s">
        <v>6797</v>
      </c>
      <c r="J124" s="3747" t="s">
        <v>7095</v>
      </c>
      <c r="K124" s="3748"/>
      <c r="L124" s="3748"/>
      <c r="M124" s="3748"/>
      <c r="N124" s="3748"/>
      <c r="O124" s="3748"/>
      <c r="P124" s="3748"/>
      <c r="Q124" s="3749"/>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8.5" customHeight="1">
      <c r="A126" s="3703" t="s">
        <v>7096</v>
      </c>
      <c r="B126" s="3703"/>
      <c r="C126" s="3703"/>
      <c r="D126" s="3703"/>
      <c r="E126" s="3703"/>
      <c r="F126" s="3703"/>
      <c r="G126" s="3703"/>
      <c r="H126" s="3703"/>
      <c r="I126" s="3703"/>
      <c r="J126" s="3703"/>
      <c r="K126" s="3703"/>
      <c r="L126" s="3703"/>
      <c r="M126" s="3703"/>
      <c r="N126" s="3703"/>
      <c r="O126" s="3703"/>
      <c r="P126" s="3703"/>
      <c r="Q126" s="3739"/>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6798</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53" t="s">
        <v>7054</v>
      </c>
      <c r="N134" s="3754"/>
      <c r="O134" s="3754"/>
      <c r="P134" s="3754"/>
      <c r="Q134" s="3755"/>
    </row>
    <row r="135" spans="1:17" ht="20.25" customHeight="1">
      <c r="A135" s="2053"/>
      <c r="B135" s="2043"/>
      <c r="C135" s="2043" t="s">
        <v>6717</v>
      </c>
      <c r="E135" s="2043"/>
      <c r="F135" s="2043"/>
      <c r="G135" s="2043"/>
      <c r="H135" s="2043"/>
      <c r="J135" s="2044"/>
      <c r="K135" s="2033"/>
      <c r="L135" s="2033"/>
      <c r="M135" s="3756" t="s">
        <v>7055</v>
      </c>
      <c r="N135" s="3757"/>
      <c r="O135" s="3757"/>
      <c r="P135" s="3757"/>
      <c r="Q135" s="3758"/>
    </row>
    <row r="136" spans="1:17" ht="20.25" customHeight="1">
      <c r="A136" s="2053"/>
      <c r="B136" s="2043"/>
      <c r="C136" s="3759" t="s">
        <v>6192</v>
      </c>
      <c r="D136" s="3760"/>
      <c r="E136" s="3760"/>
      <c r="F136" s="3760"/>
      <c r="G136" s="3760"/>
      <c r="H136" s="3760"/>
      <c r="I136" s="3760"/>
      <c r="J136" s="3760"/>
      <c r="K136" s="3760"/>
      <c r="L136" s="3760"/>
      <c r="M136" s="3761"/>
      <c r="N136" s="3761"/>
      <c r="O136" s="3761"/>
      <c r="P136" s="3761"/>
      <c r="Q136" s="3762"/>
    </row>
    <row r="137" spans="1:17" ht="20.25" customHeight="1">
      <c r="A137" s="2053"/>
      <c r="B137" s="2043"/>
      <c r="C137" s="2043" t="s">
        <v>3785</v>
      </c>
      <c r="E137" s="2043"/>
      <c r="F137" s="2043"/>
      <c r="G137" s="2043"/>
      <c r="H137" s="2043"/>
      <c r="J137" s="2044"/>
      <c r="K137" s="2033"/>
      <c r="L137" s="2033"/>
      <c r="M137" s="3747" t="s">
        <v>7056</v>
      </c>
      <c r="N137" s="3748"/>
      <c r="O137" s="3748"/>
      <c r="P137" s="3748"/>
      <c r="Q137" s="3749"/>
    </row>
    <row r="138" spans="1:17" ht="20.25" customHeight="1">
      <c r="A138" s="2053" t="s">
        <v>1843</v>
      </c>
      <c r="B138" s="3711" t="s">
        <v>6800</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6801</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8" t="s">
        <v>1540</v>
      </c>
      <c r="D140" s="3769"/>
      <c r="E140" s="3769"/>
      <c r="F140" s="3769"/>
      <c r="G140" s="3769"/>
      <c r="H140" s="3770"/>
      <c r="I140" s="2033"/>
      <c r="J140" s="3780" t="s">
        <v>6802</v>
      </c>
      <c r="K140" s="3781"/>
      <c r="L140" s="3781"/>
      <c r="M140" s="3781"/>
      <c r="N140" s="3781"/>
      <c r="O140" s="3781"/>
      <c r="P140" s="3781"/>
      <c r="Q140" s="3782"/>
    </row>
    <row r="141" spans="1:17" ht="15.75" customHeight="1">
      <c r="A141" s="2026"/>
      <c r="B141" s="2078" t="s">
        <v>1615</v>
      </c>
      <c r="C141" s="3771" t="s">
        <v>3850</v>
      </c>
      <c r="D141" s="3772"/>
      <c r="E141" s="3772"/>
      <c r="F141" s="3772"/>
      <c r="G141" s="3772"/>
      <c r="H141" s="3773"/>
      <c r="I141" s="2033"/>
      <c r="J141" s="3777" t="s">
        <v>6802</v>
      </c>
      <c r="K141" s="3778"/>
      <c r="L141" s="3778"/>
      <c r="M141" s="3778"/>
      <c r="N141" s="3778"/>
      <c r="O141" s="3778"/>
      <c r="P141" s="3778"/>
      <c r="Q141" s="3779"/>
    </row>
    <row r="142" spans="1:17" ht="15.75" customHeight="1">
      <c r="A142" s="2026"/>
      <c r="B142" s="2078" t="s">
        <v>1616</v>
      </c>
      <c r="C142" s="3771" t="s">
        <v>950</v>
      </c>
      <c r="D142" s="3772"/>
      <c r="E142" s="3772"/>
      <c r="F142" s="3772"/>
      <c r="G142" s="3772"/>
      <c r="H142" s="3773"/>
      <c r="I142" s="2033"/>
      <c r="J142" s="3777" t="s">
        <v>6802</v>
      </c>
      <c r="K142" s="3778"/>
      <c r="L142" s="3778"/>
      <c r="M142" s="3778"/>
      <c r="N142" s="3778"/>
      <c r="O142" s="3778"/>
      <c r="P142" s="3778"/>
      <c r="Q142" s="3779"/>
    </row>
    <row r="143" spans="1:17" ht="15.75" customHeight="1">
      <c r="A143" s="2026"/>
      <c r="B143" s="2078" t="s">
        <v>2182</v>
      </c>
      <c r="C143" s="3763" t="s">
        <v>950</v>
      </c>
      <c r="D143" s="3764"/>
      <c r="E143" s="3764"/>
      <c r="F143" s="3764"/>
      <c r="G143" s="3764"/>
      <c r="H143" s="3765"/>
      <c r="I143" s="2033"/>
      <c r="J143" s="3774" t="s">
        <v>6802</v>
      </c>
      <c r="K143" s="3775"/>
      <c r="L143" s="3775"/>
      <c r="M143" s="3775"/>
      <c r="N143" s="3775"/>
      <c r="O143" s="3775"/>
      <c r="P143" s="3775"/>
      <c r="Q143" s="3776"/>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33.75" customHeight="1">
      <c r="A145" s="3703" t="s">
        <v>7097</v>
      </c>
      <c r="B145" s="3703"/>
      <c r="C145" s="3703"/>
      <c r="D145" s="3703"/>
      <c r="E145" s="3703"/>
      <c r="F145" s="3703"/>
      <c r="G145" s="3703"/>
      <c r="H145" s="3703"/>
      <c r="I145" s="3703"/>
      <c r="J145" s="3703"/>
      <c r="K145" s="3703"/>
      <c r="L145" s="3703"/>
      <c r="M145" s="3703"/>
      <c r="N145" s="3703"/>
      <c r="O145" s="3703"/>
      <c r="P145" s="3703"/>
      <c r="Q145" s="3739"/>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35"/>
      <c r="Q150" s="3736"/>
    </row>
    <row r="151" spans="1:18" ht="20.25" customHeight="1">
      <c r="A151" s="2033"/>
      <c r="B151" s="2030" t="s">
        <v>6803</v>
      </c>
      <c r="C151" s="2033"/>
      <c r="D151" s="2033"/>
      <c r="E151" s="2033"/>
      <c r="F151" s="2033"/>
      <c r="G151" s="2033"/>
      <c r="H151" s="2033"/>
      <c r="I151" s="2033"/>
      <c r="J151" s="2033"/>
      <c r="K151" s="2033"/>
      <c r="L151" s="2033"/>
      <c r="M151" s="2033"/>
      <c r="N151" s="2031"/>
      <c r="O151" s="2033"/>
      <c r="P151" s="3766" t="s">
        <v>2652</v>
      </c>
      <c r="Q151" s="3767"/>
    </row>
    <row r="152" spans="1:18" ht="20.25" customHeight="1">
      <c r="A152" s="2053"/>
      <c r="B152" s="2030" t="s">
        <v>1192</v>
      </c>
      <c r="G152" s="2033"/>
      <c r="H152" s="3790" t="s">
        <v>1646</v>
      </c>
      <c r="I152" s="3791"/>
      <c r="J152" s="3791"/>
      <c r="K152" s="3791"/>
      <c r="L152" s="3791"/>
      <c r="M152" s="3791"/>
      <c r="N152" s="3791"/>
      <c r="O152" s="3791"/>
      <c r="P152" s="3792"/>
      <c r="Q152" s="3793"/>
      <c r="R152" s="2062"/>
    </row>
    <row r="153" spans="1:18" ht="20.25" customHeight="1">
      <c r="A153" s="2053"/>
      <c r="B153" s="2030" t="s">
        <v>1806</v>
      </c>
      <c r="G153" s="2033"/>
      <c r="H153" s="3794"/>
      <c r="I153" s="3795"/>
      <c r="J153" s="3795"/>
      <c r="K153" s="3795"/>
      <c r="L153" s="3795"/>
      <c r="M153" s="3795"/>
      <c r="N153" s="3795"/>
      <c r="O153" s="3795"/>
      <c r="P153" s="3795"/>
      <c r="Q153" s="3796"/>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03" t="s">
        <v>7057</v>
      </c>
      <c r="B155" s="3703"/>
      <c r="C155" s="3703"/>
      <c r="D155" s="3703"/>
      <c r="E155" s="3703"/>
      <c r="F155" s="3703"/>
      <c r="G155" s="3703"/>
      <c r="H155" s="3703"/>
      <c r="I155" s="3703"/>
      <c r="J155" s="3703"/>
      <c r="K155" s="3703"/>
      <c r="L155" s="3703"/>
      <c r="M155" s="3703"/>
      <c r="N155" s="3703"/>
      <c r="O155" s="3703"/>
      <c r="P155" s="3703"/>
      <c r="Q155" s="3739"/>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48" customHeight="1">
      <c r="A162" s="3703" t="s">
        <v>7058</v>
      </c>
      <c r="B162" s="3703"/>
      <c r="C162" s="3703"/>
      <c r="D162" s="3703"/>
      <c r="E162" s="3703"/>
      <c r="F162" s="3703"/>
      <c r="G162" s="3703"/>
      <c r="H162" s="3703"/>
      <c r="I162" s="3703"/>
      <c r="J162" s="3703"/>
      <c r="K162" s="3703"/>
      <c r="L162" s="3703"/>
      <c r="M162" s="3703"/>
      <c r="N162" s="3703"/>
      <c r="O162" s="3703"/>
      <c r="P162" s="3703"/>
      <c r="Q162" s="3739"/>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6197</v>
      </c>
      <c r="G168" s="2033"/>
      <c r="J168" s="2033"/>
      <c r="K168" s="2033"/>
      <c r="L168" s="2033"/>
      <c r="M168" s="2033"/>
      <c r="N168" s="2033"/>
      <c r="O168" s="2044"/>
      <c r="P168" s="2033"/>
      <c r="Q168" s="2033"/>
    </row>
    <row r="169" spans="1:17" ht="33" customHeight="1">
      <c r="B169" s="3787" t="s">
        <v>6804</v>
      </c>
      <c r="C169" s="3787"/>
      <c r="D169" s="3787"/>
      <c r="E169" s="3787"/>
      <c r="F169" s="3787"/>
      <c r="G169" s="3787"/>
      <c r="H169" s="3787"/>
      <c r="I169" s="3787"/>
      <c r="J169" s="3787"/>
      <c r="K169" s="3787"/>
      <c r="L169" s="3787"/>
      <c r="M169" s="3787"/>
      <c r="N169" s="3787"/>
      <c r="O169" s="3797"/>
      <c r="P169" s="3783" t="s">
        <v>7059</v>
      </c>
      <c r="Q169" s="3784"/>
    </row>
    <row r="170" spans="1:17" ht="20.25" customHeight="1">
      <c r="A170" s="2053" t="s">
        <v>1843</v>
      </c>
      <c r="B170" s="2029" t="s">
        <v>297</v>
      </c>
      <c r="G170" s="2033"/>
      <c r="H170" s="3785" t="s">
        <v>3333</v>
      </c>
      <c r="I170" s="3785"/>
      <c r="J170" s="3785"/>
      <c r="K170" s="3785"/>
      <c r="L170" s="3785"/>
      <c r="M170" s="3785"/>
      <c r="N170" s="3785"/>
      <c r="O170" s="3785"/>
      <c r="P170" s="3786"/>
      <c r="Q170" s="3786"/>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7" t="s">
        <v>6198</v>
      </c>
      <c r="C172" s="3787"/>
      <c r="D172" s="3787"/>
      <c r="E172" s="3787"/>
      <c r="F172" s="3787"/>
      <c r="G172" s="3787"/>
      <c r="H172" s="3787"/>
      <c r="I172" s="3787"/>
      <c r="J172" s="3787"/>
      <c r="K172" s="3787"/>
      <c r="L172" s="3787"/>
      <c r="M172" s="3787"/>
      <c r="N172" s="2439" t="s">
        <v>6199</v>
      </c>
      <c r="O172" s="2078" t="s">
        <v>698</v>
      </c>
      <c r="P172" s="3788" t="s">
        <v>7059</v>
      </c>
      <c r="Q172" s="3789"/>
    </row>
    <row r="173" spans="1:17" ht="20.25" customHeight="1">
      <c r="B173" s="2060" t="s">
        <v>3239</v>
      </c>
      <c r="M173" s="2031"/>
      <c r="N173" s="2031"/>
      <c r="O173" s="2088"/>
      <c r="P173" s="2026"/>
    </row>
    <row r="174" spans="1:17" ht="20.25" customHeight="1">
      <c r="A174" s="3703" t="s">
        <v>7060</v>
      </c>
      <c r="B174" s="3703"/>
      <c r="C174" s="3703"/>
      <c r="D174" s="3703"/>
      <c r="E174" s="3703"/>
      <c r="F174" s="3703"/>
      <c r="G174" s="3703"/>
      <c r="H174" s="3703"/>
      <c r="I174" s="3703"/>
      <c r="J174" s="3703"/>
      <c r="K174" s="3703"/>
      <c r="L174" s="3703"/>
      <c r="M174" s="3703"/>
      <c r="N174" s="3703"/>
      <c r="O174" s="3703"/>
      <c r="P174" s="3703"/>
      <c r="Q174" s="3739"/>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5"/>
      <c r="Q179" s="3804"/>
    </row>
    <row r="180" spans="1:17" ht="20.25" customHeight="1">
      <c r="A180" s="2033"/>
      <c r="B180" s="2030" t="s">
        <v>6803</v>
      </c>
      <c r="C180" s="2033"/>
      <c r="D180" s="2033"/>
      <c r="E180" s="2033"/>
      <c r="F180" s="2033"/>
      <c r="G180" s="2033"/>
      <c r="H180" s="2033"/>
      <c r="I180" s="2033"/>
      <c r="J180" s="2033"/>
      <c r="K180" s="2033"/>
      <c r="L180" s="2033"/>
      <c r="M180" s="2033"/>
      <c r="N180" s="2031"/>
      <c r="O180" s="2033"/>
      <c r="P180" s="3766" t="s">
        <v>2652</v>
      </c>
      <c r="Q180" s="3799"/>
    </row>
    <row r="181" spans="1:17" ht="33.75" customHeight="1">
      <c r="A181" s="2033"/>
      <c r="B181" s="3711" t="s">
        <v>6805</v>
      </c>
      <c r="C181" s="3711"/>
      <c r="D181" s="3711"/>
      <c r="E181" s="3711"/>
      <c r="F181" s="3711"/>
      <c r="G181" s="3711"/>
      <c r="H181" s="3711"/>
      <c r="I181" s="3711"/>
      <c r="J181" s="3711"/>
      <c r="K181" s="3711"/>
      <c r="L181" s="3711"/>
      <c r="M181" s="3711"/>
      <c r="N181" s="3711"/>
      <c r="O181" s="3711"/>
      <c r="P181" s="3802" t="s">
        <v>7059</v>
      </c>
      <c r="Q181" s="3805"/>
    </row>
    <row r="182" spans="1:17" ht="12" customHeight="1">
      <c r="A182" s="2033"/>
      <c r="C182" s="2033"/>
      <c r="D182" s="2033"/>
      <c r="E182" s="2033"/>
      <c r="F182" s="2033"/>
      <c r="G182" s="2033"/>
      <c r="H182" s="2033"/>
      <c r="I182" s="2033"/>
      <c r="J182" s="2033"/>
      <c r="K182" s="2033"/>
      <c r="L182" s="3798" t="s">
        <v>6806</v>
      </c>
      <c r="M182" s="3798"/>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3</v>
      </c>
      <c r="M184" s="2095">
        <f>'DCA Underwriting Assumptions'!$Q$122</f>
        <v>0.05</v>
      </c>
      <c r="N184" s="2033"/>
      <c r="O184" s="2044"/>
      <c r="P184" s="3766">
        <v>3</v>
      </c>
      <c r="Q184" s="3799"/>
    </row>
    <row r="185" spans="1:17" ht="20.25" customHeight="1">
      <c r="A185" s="2053"/>
      <c r="B185" s="2043"/>
      <c r="D185" s="3711" t="s">
        <v>6810</v>
      </c>
      <c r="E185" s="3711"/>
      <c r="F185" s="3711"/>
      <c r="G185" s="3711"/>
      <c r="H185" s="3711"/>
      <c r="I185" s="3711"/>
      <c r="J185" s="3711"/>
      <c r="K185" s="2093"/>
      <c r="L185" s="2096">
        <f>ROUNDUP(L184*M185,0)</f>
        <v>2</v>
      </c>
      <c r="M185" s="2095">
        <f>'DCA Underwriting Assumptions'!$Q$123</f>
        <v>0.4</v>
      </c>
      <c r="N185" s="2033"/>
      <c r="O185" s="2044"/>
      <c r="P185" s="3800">
        <v>2</v>
      </c>
      <c r="Q185" s="3801"/>
    </row>
    <row r="186" spans="1:17" ht="20.25" customHeight="1">
      <c r="A186" s="2053"/>
      <c r="B186" s="3711" t="s">
        <v>6811</v>
      </c>
      <c r="C186" s="3711"/>
      <c r="D186" s="3711"/>
      <c r="E186" s="3711"/>
      <c r="F186" s="3711"/>
      <c r="G186" s="3711"/>
      <c r="H186" s="3711"/>
      <c r="I186" s="3711"/>
      <c r="J186" s="3711"/>
      <c r="K186" s="2033"/>
      <c r="L186" s="2097">
        <f>ROUNDUP('Part V-Revenues &amp; Expenses'!$P$67*M186,0)</f>
        <v>2</v>
      </c>
      <c r="M186" s="2095">
        <f>'DCA Underwriting Assumptions'!$Q$124</f>
        <v>0.02</v>
      </c>
      <c r="N186" s="2033"/>
      <c r="O186" s="2044"/>
      <c r="P186" s="3802">
        <v>2</v>
      </c>
      <c r="Q186" s="3803"/>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37.5" customHeight="1">
      <c r="A188" s="3703" t="s">
        <v>7061</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6803</v>
      </c>
      <c r="P194" s="3766" t="s">
        <v>2652</v>
      </c>
      <c r="Q194" s="3799"/>
    </row>
    <row r="195" spans="1:17" ht="36" customHeight="1">
      <c r="B195" s="3711" t="s">
        <v>6812</v>
      </c>
      <c r="C195" s="3711"/>
      <c r="D195" s="3711"/>
      <c r="E195" s="3711"/>
      <c r="F195" s="3711"/>
      <c r="G195" s="3711"/>
      <c r="H195" s="3711"/>
      <c r="I195" s="3711"/>
      <c r="J195" s="3711"/>
      <c r="K195" s="3711"/>
      <c r="L195" s="3711"/>
      <c r="M195" s="3711"/>
      <c r="N195" s="3711"/>
      <c r="P195" s="3802" t="s">
        <v>2649</v>
      </c>
      <c r="Q195" s="3803"/>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7" t="s">
        <v>6912</v>
      </c>
      <c r="D197" s="3787"/>
      <c r="E197" s="3787"/>
      <c r="F197" s="3713" t="s">
        <v>6304</v>
      </c>
      <c r="G197" s="3714"/>
      <c r="H197" s="3714"/>
      <c r="I197" s="3714"/>
      <c r="J197" s="3714"/>
      <c r="K197" s="3714"/>
      <c r="L197" s="3714"/>
      <c r="M197" s="3714"/>
      <c r="N197" s="3714"/>
      <c r="O197" s="3714"/>
      <c r="P197" s="3714"/>
      <c r="Q197" s="3715"/>
    </row>
    <row r="198" spans="1:17" ht="30" customHeight="1">
      <c r="B198" s="2078" t="s">
        <v>1615</v>
      </c>
      <c r="C198" s="3787" t="s">
        <v>6913</v>
      </c>
      <c r="D198" s="3787"/>
      <c r="E198" s="3787"/>
      <c r="F198" s="3787"/>
      <c r="G198" s="3797"/>
      <c r="H198" s="3713" t="s">
        <v>3248</v>
      </c>
      <c r="I198" s="3714"/>
      <c r="J198" s="3714"/>
      <c r="K198" s="3714"/>
      <c r="L198" s="3714"/>
      <c r="M198" s="3714"/>
      <c r="N198" s="3714"/>
      <c r="O198" s="3714"/>
      <c r="P198" s="3714"/>
      <c r="Q198" s="3715"/>
    </row>
    <row r="199" spans="1:17" ht="20.25" customHeight="1">
      <c r="A199" s="2053"/>
      <c r="B199" s="2078" t="s">
        <v>1616</v>
      </c>
      <c r="C199" s="3711" t="s">
        <v>6813</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90"/>
      <c r="D200" s="3790"/>
      <c r="E200" s="3790"/>
      <c r="F200" s="3790"/>
      <c r="G200" s="3790"/>
      <c r="H200" s="3790"/>
      <c r="I200" s="3790"/>
      <c r="J200" s="3790"/>
      <c r="K200" s="3790"/>
      <c r="L200" s="3790"/>
      <c r="M200" s="3790"/>
      <c r="N200" s="3790"/>
      <c r="O200" s="3790"/>
      <c r="P200" s="3790"/>
      <c r="Q200" s="3806"/>
    </row>
    <row r="201" spans="1:17" ht="20.25" customHeight="1">
      <c r="A201" s="2053"/>
      <c r="B201" s="2044"/>
      <c r="C201" s="3794"/>
      <c r="D201" s="3794"/>
      <c r="E201" s="3794"/>
      <c r="F201" s="3794"/>
      <c r="G201" s="3794"/>
      <c r="H201" s="3794"/>
      <c r="I201" s="3794"/>
      <c r="J201" s="3794"/>
      <c r="K201" s="3794"/>
      <c r="L201" s="3794"/>
      <c r="M201" s="3794"/>
      <c r="N201" s="3794"/>
      <c r="O201" s="3794"/>
      <c r="P201" s="3794"/>
      <c r="Q201" s="3811"/>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703" t="s">
        <v>7115</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35"/>
      <c r="Q208" s="3804"/>
    </row>
    <row r="209" spans="1:17" ht="20.25" customHeight="1">
      <c r="A209" s="2053"/>
      <c r="B209" s="2030" t="s">
        <v>6814</v>
      </c>
      <c r="O209" s="2044"/>
      <c r="P209" s="3812" t="s">
        <v>7062</v>
      </c>
      <c r="Q209" s="3813"/>
    </row>
    <row r="210" spans="1:17" ht="20.25" customHeight="1">
      <c r="A210" s="2053"/>
      <c r="B210" s="2030" t="s">
        <v>6815</v>
      </c>
      <c r="O210" s="2044"/>
      <c r="P210" s="3807" t="s">
        <v>7062</v>
      </c>
      <c r="Q210" s="3808"/>
    </row>
    <row r="211" spans="1:17" ht="22.5" customHeight="1">
      <c r="A211" s="2053"/>
      <c r="B211" s="2030" t="s">
        <v>6816</v>
      </c>
      <c r="C211" s="2033"/>
      <c r="K211" s="2031"/>
      <c r="M211" s="2044"/>
      <c r="O211" s="2100"/>
      <c r="P211" s="3807" t="s">
        <v>2652</v>
      </c>
      <c r="Q211" s="3808"/>
    </row>
    <row r="212" spans="1:17" ht="31.5" customHeight="1">
      <c r="A212" s="2053"/>
      <c r="B212" s="3711" t="s">
        <v>6817</v>
      </c>
      <c r="C212" s="3711"/>
      <c r="D212" s="3711"/>
      <c r="E212" s="3711"/>
      <c r="F212" s="3711"/>
      <c r="G212" s="3711"/>
      <c r="H212" s="3711"/>
      <c r="I212" s="3711"/>
      <c r="J212" s="3711"/>
      <c r="K212" s="3711"/>
      <c r="L212" s="3711"/>
      <c r="M212" s="3711"/>
      <c r="N212" s="3711"/>
      <c r="O212" s="3711"/>
      <c r="P212" s="3809" t="s">
        <v>2652</v>
      </c>
      <c r="Q212" s="3810"/>
    </row>
    <row r="213" spans="1:17" ht="20.25" customHeight="1">
      <c r="A213" s="2053"/>
      <c r="B213" s="2030" t="s">
        <v>6818</v>
      </c>
      <c r="M213" s="2033"/>
      <c r="N213" s="2033"/>
      <c r="O213" s="3814" t="s">
        <v>4047</v>
      </c>
      <c r="P213" s="3815"/>
      <c r="Q213" s="3816"/>
    </row>
    <row r="214" spans="1:17" ht="20.25" customHeight="1">
      <c r="A214" s="2053"/>
      <c r="B214" s="2029" t="s">
        <v>6819</v>
      </c>
      <c r="G214" s="3706"/>
      <c r="H214" s="3744"/>
      <c r="I214" s="3744"/>
      <c r="J214" s="3744"/>
      <c r="K214" s="3744"/>
      <c r="L214" s="3745"/>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54" customHeight="1">
      <c r="A216" s="3722" t="s">
        <v>7098</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6820</v>
      </c>
      <c r="C222" s="3711"/>
      <c r="D222" s="3711"/>
      <c r="E222" s="3711"/>
      <c r="F222" s="3711"/>
      <c r="G222" s="3711"/>
      <c r="H222" s="3711"/>
      <c r="I222" s="3711"/>
      <c r="J222" s="3711"/>
      <c r="K222" s="3711"/>
      <c r="L222" s="3711"/>
      <c r="M222" s="3711"/>
      <c r="N222" s="3711"/>
      <c r="O222" s="3712"/>
      <c r="P222" s="3824"/>
      <c r="Q222" s="3825"/>
    </row>
    <row r="223" spans="1:17" s="2102" customFormat="1" ht="33.75" customHeight="1">
      <c r="A223" s="2071" t="s">
        <v>1841</v>
      </c>
      <c r="B223" s="3826" t="s">
        <v>6821</v>
      </c>
      <c r="C223" s="3826"/>
      <c r="D223" s="3826"/>
      <c r="E223" s="3826"/>
      <c r="F223" s="3826"/>
      <c r="G223" s="3826"/>
      <c r="H223" s="3826"/>
      <c r="I223" s="3826"/>
      <c r="J223" s="3826"/>
      <c r="K223" s="3826"/>
      <c r="L223" s="3826"/>
      <c r="M223" s="3826"/>
      <c r="N223" s="3826"/>
      <c r="O223" s="3826"/>
      <c r="P223" s="2063"/>
      <c r="Q223" s="2440"/>
    </row>
    <row r="224" spans="1:17" ht="47.25" customHeight="1">
      <c r="A224" s="2071" t="s">
        <v>1843</v>
      </c>
      <c r="B224" s="3787" t="s">
        <v>6822</v>
      </c>
      <c r="C224" s="3787"/>
      <c r="D224" s="3787"/>
      <c r="E224" s="3787"/>
      <c r="F224" s="3787"/>
      <c r="G224" s="3787"/>
      <c r="H224" s="3787"/>
      <c r="I224" s="3787"/>
      <c r="J224" s="3787"/>
      <c r="K224" s="3787"/>
      <c r="L224" s="3787"/>
      <c r="M224" s="3787"/>
      <c r="N224" s="3787"/>
      <c r="O224" s="3787"/>
      <c r="P224" s="2063"/>
      <c r="Q224" s="2064"/>
    </row>
    <row r="225" spans="1:17" ht="20.25" customHeight="1">
      <c r="A225" s="2053" t="s">
        <v>698</v>
      </c>
      <c r="B225" s="3817" t="s">
        <v>6823</v>
      </c>
      <c r="C225" s="3817"/>
      <c r="D225" s="3817"/>
      <c r="E225" s="3817"/>
      <c r="F225" s="3817"/>
      <c r="G225" s="3817"/>
      <c r="H225" s="3817"/>
      <c r="I225" s="3817"/>
      <c r="J225" s="3817"/>
      <c r="K225" s="3817"/>
      <c r="L225" s="3817"/>
      <c r="M225" s="3817"/>
      <c r="N225" s="3817"/>
      <c r="O225" s="3817"/>
      <c r="P225" s="2063"/>
      <c r="Q225" s="2064"/>
    </row>
    <row r="226" spans="1:17" ht="33.75" customHeight="1">
      <c r="A226" s="2071" t="s">
        <v>1962</v>
      </c>
      <c r="B226" s="3787" t="s">
        <v>6824</v>
      </c>
      <c r="C226" s="3787"/>
      <c r="D226" s="3787"/>
      <c r="E226" s="3787"/>
      <c r="F226" s="3787"/>
      <c r="G226" s="3787"/>
      <c r="H226" s="3787"/>
      <c r="I226" s="3787"/>
      <c r="J226" s="3787"/>
      <c r="K226" s="3787"/>
      <c r="L226" s="3787"/>
      <c r="M226" s="3787"/>
      <c r="N226" s="3787"/>
      <c r="O226" s="3787"/>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2" t="s">
        <v>7063</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8"/>
      <c r="C230" s="3818"/>
      <c r="D230" s="3818"/>
      <c r="E230" s="3818"/>
      <c r="F230" s="3818"/>
      <c r="G230" s="3818"/>
      <c r="H230" s="3818"/>
      <c r="I230" s="3818"/>
      <c r="J230" s="3818"/>
      <c r="K230" s="3818"/>
      <c r="L230" s="3818"/>
      <c r="M230" s="3818"/>
      <c r="N230" s="3818"/>
      <c r="O230" s="3818"/>
      <c r="P230" s="3818"/>
      <c r="Q230" s="3819"/>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6"/>
      <c r="Q233" s="3745"/>
    </row>
    <row r="234" spans="1:17" ht="20.25" customHeight="1">
      <c r="A234" s="2053"/>
      <c r="B234" s="3817" t="s">
        <v>3358</v>
      </c>
      <c r="C234" s="3817"/>
      <c r="D234" s="3817"/>
      <c r="E234" s="3817"/>
      <c r="F234" s="3820"/>
      <c r="G234" s="3821" t="s">
        <v>7099</v>
      </c>
      <c r="H234" s="3822"/>
      <c r="I234" s="3822"/>
      <c r="J234" s="3822"/>
      <c r="K234" s="3822"/>
      <c r="L234" s="3822"/>
      <c r="M234" s="3822"/>
      <c r="N234" s="3822"/>
      <c r="O234" s="3822"/>
      <c r="P234" s="3822"/>
      <c r="Q234" s="3823"/>
    </row>
    <row r="235" spans="1:17" ht="20.25" customHeight="1" thickBot="1">
      <c r="A235" s="2053"/>
      <c r="B235" s="3817" t="s">
        <v>3359</v>
      </c>
      <c r="C235" s="3817"/>
      <c r="D235" s="3817"/>
      <c r="E235" s="3817"/>
      <c r="F235" s="3820"/>
      <c r="G235" s="3831" t="s">
        <v>7100</v>
      </c>
      <c r="H235" s="3832"/>
      <c r="I235" s="3832"/>
      <c r="J235" s="3832"/>
      <c r="K235" s="3832"/>
      <c r="L235" s="3832"/>
      <c r="M235" s="3832"/>
      <c r="N235" s="3832"/>
      <c r="O235" s="3832"/>
      <c r="P235" s="3833"/>
      <c r="Q235" s="3834"/>
    </row>
    <row r="236" spans="1:17" ht="20.25" customHeight="1" thickBot="1">
      <c r="A236" s="2053"/>
      <c r="B236" s="2030" t="s">
        <v>6825</v>
      </c>
      <c r="D236" s="2083"/>
      <c r="E236" s="2083"/>
      <c r="F236" s="2083"/>
      <c r="G236" s="2084"/>
      <c r="H236" s="2084"/>
      <c r="I236" s="2084"/>
      <c r="J236" s="2084"/>
      <c r="K236" s="2084"/>
      <c r="L236" s="2084"/>
      <c r="M236" s="2084"/>
      <c r="N236" s="2084"/>
      <c r="O236" s="2084"/>
      <c r="P236" s="3835" t="s">
        <v>7059</v>
      </c>
      <c r="Q236" s="3836"/>
    </row>
    <row r="237" spans="1:17" ht="29.25" customHeight="1">
      <c r="A237" s="2053"/>
      <c r="B237" s="2104" t="s">
        <v>1963</v>
      </c>
      <c r="C237" s="3787" t="s">
        <v>6826</v>
      </c>
      <c r="D237" s="3787"/>
      <c r="E237" s="3787"/>
      <c r="F237" s="3787"/>
      <c r="G237" s="3787"/>
      <c r="H237" s="3787"/>
      <c r="I237" s="3787"/>
      <c r="J237" s="3787"/>
      <c r="K237" s="3787"/>
      <c r="L237" s="3787"/>
      <c r="M237" s="3787"/>
      <c r="N237" s="3787"/>
      <c r="O237" s="3787"/>
      <c r="P237" s="3787"/>
      <c r="Q237" s="3787"/>
    </row>
    <row r="238" spans="1:17" ht="29.25" customHeight="1">
      <c r="A238" s="2053"/>
      <c r="B238" s="2104" t="s">
        <v>1964</v>
      </c>
      <c r="C238" s="3787" t="s">
        <v>6827</v>
      </c>
      <c r="D238" s="3787"/>
      <c r="E238" s="3787"/>
      <c r="F238" s="3787"/>
      <c r="G238" s="3787"/>
      <c r="H238" s="3787"/>
      <c r="I238" s="3787"/>
      <c r="J238" s="3787"/>
      <c r="K238" s="3787"/>
      <c r="L238" s="3787"/>
      <c r="M238" s="3787"/>
      <c r="N238" s="3787"/>
      <c r="O238" s="3787"/>
      <c r="P238" s="3787"/>
      <c r="Q238" s="3787"/>
    </row>
    <row r="239" spans="1:17" ht="15.75" customHeight="1">
      <c r="A239" s="2053"/>
      <c r="B239" s="2104" t="s">
        <v>1611</v>
      </c>
      <c r="C239" s="3787" t="s">
        <v>6828</v>
      </c>
      <c r="D239" s="3787"/>
      <c r="E239" s="3787"/>
      <c r="F239" s="3787"/>
      <c r="G239" s="3787"/>
      <c r="H239" s="3787"/>
      <c r="I239" s="3787"/>
      <c r="J239" s="3787"/>
      <c r="K239" s="3787"/>
      <c r="L239" s="3787"/>
      <c r="M239" s="3787"/>
      <c r="N239" s="3787"/>
      <c r="O239" s="3787"/>
      <c r="P239" s="3787"/>
      <c r="Q239" s="3787"/>
    </row>
    <row r="240" spans="1:17" ht="29.25" customHeight="1">
      <c r="A240" s="2053"/>
      <c r="B240" s="2104" t="s">
        <v>3864</v>
      </c>
      <c r="C240" s="3787" t="s">
        <v>6829</v>
      </c>
      <c r="D240" s="3787"/>
      <c r="E240" s="3787"/>
      <c r="F240" s="3787"/>
      <c r="G240" s="3787"/>
      <c r="H240" s="3787"/>
      <c r="I240" s="3787"/>
      <c r="J240" s="3787"/>
      <c r="K240" s="3787"/>
      <c r="L240" s="3787"/>
      <c r="M240" s="3787"/>
      <c r="N240" s="3787"/>
      <c r="O240" s="3787"/>
      <c r="P240" s="3787"/>
      <c r="Q240" s="3787"/>
    </row>
    <row r="241" spans="1:17" ht="15.75" customHeight="1">
      <c r="A241" s="2053"/>
      <c r="B241" s="2104" t="s">
        <v>6830</v>
      </c>
      <c r="C241" s="3787" t="s">
        <v>6831</v>
      </c>
      <c r="D241" s="3787"/>
      <c r="E241" s="3787"/>
      <c r="F241" s="3787"/>
      <c r="G241" s="3787"/>
      <c r="H241" s="3787"/>
      <c r="I241" s="3787"/>
      <c r="J241" s="3787"/>
      <c r="K241" s="3787"/>
      <c r="L241" s="3787"/>
      <c r="M241" s="3787"/>
      <c r="N241" s="3787"/>
      <c r="O241" s="3787"/>
      <c r="P241" s="3787"/>
      <c r="Q241" s="3787"/>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45" customHeight="1">
      <c r="A244" s="3703" t="s">
        <v>7101</v>
      </c>
      <c r="B244" s="3827"/>
      <c r="C244" s="3827"/>
      <c r="D244" s="3827"/>
      <c r="E244" s="3827"/>
      <c r="F244" s="3827"/>
      <c r="G244" s="3827"/>
      <c r="H244" s="3827"/>
      <c r="I244" s="3827"/>
      <c r="J244" s="3827"/>
      <c r="K244" s="3827"/>
      <c r="L244" s="3827"/>
      <c r="M244" s="3827"/>
      <c r="N244" s="3827"/>
      <c r="O244" s="3827"/>
      <c r="P244" s="3827"/>
      <c r="Q244" s="382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9"/>
      <c r="C246" s="3829"/>
      <c r="D246" s="3829"/>
      <c r="E246" s="3829"/>
      <c r="F246" s="3829"/>
      <c r="G246" s="3829"/>
      <c r="H246" s="3829"/>
      <c r="I246" s="3829"/>
      <c r="J246" s="3829"/>
      <c r="K246" s="3829"/>
      <c r="L246" s="3829"/>
      <c r="M246" s="3829"/>
      <c r="N246" s="3829"/>
      <c r="O246" s="3829"/>
      <c r="P246" s="3829"/>
      <c r="Q246" s="3830"/>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6"/>
      <c r="Q249" s="3745"/>
    </row>
    <row r="250" spans="1:17" ht="20.25" customHeight="1">
      <c r="A250" s="2053"/>
      <c r="B250" s="2030" t="s">
        <v>2438</v>
      </c>
      <c r="D250" s="2056"/>
      <c r="E250" s="2056"/>
      <c r="O250" s="2044"/>
      <c r="P250" s="3766" t="s">
        <v>2652</v>
      </c>
      <c r="Q250" s="3767"/>
    </row>
    <row r="251" spans="1:17" ht="20.25" customHeight="1">
      <c r="A251" s="2053"/>
      <c r="B251" s="2030" t="s">
        <v>3142</v>
      </c>
      <c r="D251" s="2056"/>
      <c r="E251" s="2056"/>
      <c r="O251" s="2044"/>
      <c r="P251" s="3800" t="s">
        <v>2652</v>
      </c>
      <c r="Q251" s="3838"/>
    </row>
    <row r="252" spans="1:17" ht="20.25" customHeight="1">
      <c r="A252" s="2053"/>
      <c r="B252" s="2030" t="s">
        <v>4030</v>
      </c>
      <c r="D252" s="2056"/>
      <c r="E252" s="2056"/>
      <c r="O252" s="2044"/>
      <c r="P252" s="3839" t="s">
        <v>2649</v>
      </c>
      <c r="Q252" s="3840"/>
    </row>
    <row r="253" spans="1:17" ht="20.25" customHeight="1">
      <c r="A253" s="2053"/>
      <c r="B253" s="2030" t="s">
        <v>3143</v>
      </c>
      <c r="O253" s="2044"/>
      <c r="P253" s="3800" t="s">
        <v>2652</v>
      </c>
      <c r="Q253" s="3838"/>
    </row>
    <row r="254" spans="1:17" ht="20.25" customHeight="1">
      <c r="A254" s="2053"/>
      <c r="B254" s="2030" t="s">
        <v>690</v>
      </c>
      <c r="D254" s="3703"/>
      <c r="E254" s="3827"/>
      <c r="F254" s="3827"/>
      <c r="G254" s="3827"/>
      <c r="H254" s="3827"/>
      <c r="I254" s="3827"/>
      <c r="J254" s="3827"/>
      <c r="K254" s="3827"/>
      <c r="L254" s="3827"/>
      <c r="M254" s="3827"/>
      <c r="N254" s="3827"/>
      <c r="O254" s="3827"/>
      <c r="P254" s="3841"/>
      <c r="Q254" s="3842"/>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3" t="s">
        <v>7102</v>
      </c>
      <c r="B256" s="3827"/>
      <c r="C256" s="3827"/>
      <c r="D256" s="3827"/>
      <c r="E256" s="3827"/>
      <c r="F256" s="3827"/>
      <c r="G256" s="3827"/>
      <c r="H256" s="3827"/>
      <c r="I256" s="3827"/>
      <c r="J256" s="3827"/>
      <c r="K256" s="3827"/>
      <c r="L256" s="3827"/>
      <c r="M256" s="3827"/>
      <c r="N256" s="3827"/>
      <c r="O256" s="3827"/>
      <c r="P256" s="3827"/>
      <c r="Q256" s="382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9"/>
      <c r="C258" s="3829"/>
      <c r="D258" s="3829"/>
      <c r="E258" s="3829"/>
      <c r="F258" s="3829"/>
      <c r="G258" s="3829"/>
      <c r="H258" s="3829"/>
      <c r="I258" s="3829"/>
      <c r="J258" s="3829"/>
      <c r="K258" s="3829"/>
      <c r="L258" s="3829"/>
      <c r="M258" s="3829"/>
      <c r="N258" s="3829"/>
      <c r="O258" s="3829"/>
      <c r="P258" s="3829"/>
      <c r="Q258" s="3830"/>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06"/>
      <c r="Q261" s="3745"/>
    </row>
    <row r="262" spans="1:17" ht="20.25" customHeight="1">
      <c r="B262" s="2030" t="s">
        <v>6250</v>
      </c>
      <c r="O262" s="2044"/>
      <c r="P262" s="3720"/>
      <c r="Q262" s="3721"/>
    </row>
    <row r="263" spans="1:17" ht="20.25" customHeight="1">
      <c r="A263" s="2053" t="s">
        <v>1841</v>
      </c>
      <c r="B263" s="2029" t="s">
        <v>3937</v>
      </c>
    </row>
    <row r="264" spans="1:17" ht="20.25" customHeight="1">
      <c r="A264" s="2053"/>
      <c r="B264" s="3837" t="s">
        <v>701</v>
      </c>
      <c r="C264" s="3837"/>
      <c r="D264" s="3837"/>
      <c r="E264" s="3837"/>
      <c r="F264" s="3837"/>
      <c r="G264" s="3837"/>
      <c r="H264" s="3837"/>
      <c r="I264" s="3837"/>
      <c r="J264" s="3837"/>
      <c r="K264" s="3837"/>
      <c r="L264" s="3837"/>
      <c r="M264" s="3837"/>
      <c r="N264" s="3837"/>
      <c r="O264" s="3837"/>
      <c r="P264" s="3766" t="s">
        <v>2652</v>
      </c>
      <c r="Q264" s="3767"/>
    </row>
    <row r="265" spans="1:17" ht="20.25" customHeight="1">
      <c r="B265" s="3837" t="s">
        <v>4032</v>
      </c>
      <c r="C265" s="3837"/>
      <c r="D265" s="3837"/>
      <c r="E265" s="3837"/>
      <c r="F265" s="3837"/>
      <c r="G265" s="3837"/>
      <c r="H265" s="3837"/>
      <c r="I265" s="3837"/>
      <c r="J265" s="3837"/>
      <c r="K265" s="3837"/>
      <c r="L265" s="3837"/>
      <c r="M265" s="3837"/>
      <c r="N265" s="3837"/>
      <c r="O265" s="3837"/>
      <c r="P265" s="3800"/>
      <c r="Q265" s="3838"/>
    </row>
    <row r="266" spans="1:17" ht="32.25" customHeight="1">
      <c r="A266" s="2053"/>
      <c r="B266" s="3845" t="s">
        <v>6834</v>
      </c>
      <c r="C266" s="3845"/>
      <c r="D266" s="3845"/>
      <c r="E266" s="3845"/>
      <c r="F266" s="3845"/>
      <c r="G266" s="3845"/>
      <c r="H266" s="3845"/>
      <c r="I266" s="3845"/>
      <c r="J266" s="3845"/>
      <c r="K266" s="3845"/>
      <c r="L266" s="3845"/>
      <c r="M266" s="3845"/>
      <c r="N266" s="3845"/>
      <c r="O266" s="3845"/>
      <c r="P266" s="3802"/>
      <c r="Q266" s="3805"/>
    </row>
    <row r="267" spans="1:17" ht="20.25" customHeight="1">
      <c r="B267" s="2060" t="s">
        <v>3239</v>
      </c>
      <c r="D267" s="2060"/>
      <c r="E267" s="2060"/>
      <c r="F267" s="2060"/>
      <c r="G267" s="2060"/>
      <c r="H267" s="2043"/>
      <c r="I267" s="2031"/>
      <c r="J267" s="2031"/>
      <c r="K267" s="2031"/>
    </row>
    <row r="268" spans="1:17" ht="20.25" customHeight="1">
      <c r="A268" s="3703" t="s">
        <v>7064</v>
      </c>
      <c r="B268" s="3827"/>
      <c r="C268" s="3827"/>
      <c r="D268" s="3827"/>
      <c r="E268" s="3827"/>
      <c r="F268" s="3827"/>
      <c r="G268" s="3827"/>
      <c r="H268" s="3827"/>
      <c r="I268" s="3827"/>
      <c r="J268" s="3827"/>
      <c r="K268" s="3827"/>
      <c r="L268" s="3827"/>
      <c r="M268" s="3827"/>
      <c r="N268" s="3827"/>
      <c r="O268" s="3827"/>
      <c r="P268" s="3827"/>
      <c r="Q268" s="382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9"/>
      <c r="C270" s="3829"/>
      <c r="D270" s="3829"/>
      <c r="E270" s="3829"/>
      <c r="F270" s="3829"/>
      <c r="G270" s="3829"/>
      <c r="H270" s="3829"/>
      <c r="I270" s="3829"/>
      <c r="J270" s="3829"/>
      <c r="K270" s="3829"/>
      <c r="L270" s="3829"/>
      <c r="M270" s="3829"/>
      <c r="N270" s="3829"/>
      <c r="O270" s="3829"/>
      <c r="P270" s="3829"/>
      <c r="Q270" s="3830"/>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10"/>
      <c r="Q273" s="3710"/>
    </row>
    <row r="274" spans="1:17" ht="33" customHeight="1">
      <c r="A274" s="2033"/>
      <c r="B274" s="3711" t="s">
        <v>6835</v>
      </c>
      <c r="C274" s="3711"/>
      <c r="D274" s="3711"/>
      <c r="E274" s="3711"/>
      <c r="F274" s="3711"/>
      <c r="G274" s="3711"/>
      <c r="H274" s="3711"/>
      <c r="I274" s="3711"/>
      <c r="J274" s="3711"/>
      <c r="K274" s="3711"/>
      <c r="L274" s="3711"/>
      <c r="M274" s="3711"/>
      <c r="N274" s="3711"/>
      <c r="O274" s="2105"/>
      <c r="P274" s="3720" t="s">
        <v>7059</v>
      </c>
      <c r="Q274" s="3721"/>
    </row>
    <row r="275" spans="1:17" ht="34.5" customHeight="1">
      <c r="A275" s="2033"/>
      <c r="B275" s="2078" t="s">
        <v>1841</v>
      </c>
      <c r="C275" s="3787" t="s">
        <v>3311</v>
      </c>
      <c r="D275" s="3787"/>
      <c r="E275" s="3787"/>
      <c r="F275" s="3787"/>
      <c r="G275" s="3787"/>
      <c r="H275" s="3787"/>
      <c r="I275" s="3787"/>
      <c r="J275" s="3787"/>
      <c r="K275" s="3787"/>
      <c r="L275" s="3787"/>
      <c r="M275" s="3787"/>
      <c r="N275" s="3787"/>
      <c r="O275" s="3787"/>
      <c r="P275" s="2056"/>
      <c r="Q275" s="2033"/>
    </row>
    <row r="276" spans="1:17" ht="34.5" customHeight="1">
      <c r="A276" s="2033"/>
      <c r="B276" s="2078" t="s">
        <v>1843</v>
      </c>
      <c r="C276" s="3787" t="s">
        <v>6836</v>
      </c>
      <c r="D276" s="3787"/>
      <c r="E276" s="3787"/>
      <c r="F276" s="3787"/>
      <c r="G276" s="3787"/>
      <c r="H276" s="3787"/>
      <c r="I276" s="3787"/>
      <c r="J276" s="3787"/>
      <c r="K276" s="3787"/>
      <c r="L276" s="3787"/>
      <c r="M276" s="3787"/>
      <c r="N276" s="3787"/>
      <c r="O276" s="3787"/>
      <c r="P276" s="2056"/>
      <c r="Q276" s="2026"/>
    </row>
    <row r="277" spans="1:17" ht="34.5" customHeight="1">
      <c r="A277" s="2033"/>
      <c r="C277" s="2437" t="s">
        <v>1844</v>
      </c>
      <c r="D277" s="3787" t="s">
        <v>3866</v>
      </c>
      <c r="E277" s="3787"/>
      <c r="F277" s="3787"/>
      <c r="G277" s="3787"/>
      <c r="H277" s="3787"/>
      <c r="I277" s="3787"/>
      <c r="J277" s="3787"/>
      <c r="K277" s="3787"/>
      <c r="L277" s="3787"/>
      <c r="M277" s="3787"/>
      <c r="N277" s="3787"/>
      <c r="O277" s="3787"/>
      <c r="P277" s="2044"/>
      <c r="Q277" s="2026"/>
    </row>
    <row r="278" spans="1:17" ht="15" customHeight="1">
      <c r="A278" s="2033"/>
      <c r="C278" s="2437" t="s">
        <v>1846</v>
      </c>
      <c r="D278" s="3843" t="s">
        <v>3867</v>
      </c>
      <c r="E278" s="3843"/>
      <c r="F278" s="3843"/>
      <c r="G278" s="3843"/>
      <c r="H278" s="3843"/>
      <c r="I278" s="3843"/>
      <c r="J278" s="3843"/>
      <c r="K278" s="3843"/>
      <c r="L278" s="3843"/>
      <c r="M278" s="3843"/>
      <c r="N278" s="3843"/>
      <c r="O278" s="3843"/>
      <c r="P278" s="2044"/>
      <c r="Q278" s="2026"/>
    </row>
    <row r="279" spans="1:17" ht="48" customHeight="1">
      <c r="A279" s="2033"/>
      <c r="C279" s="2437" t="s">
        <v>2332</v>
      </c>
      <c r="D279" s="3844" t="s">
        <v>3868</v>
      </c>
      <c r="E279" s="3844"/>
      <c r="F279" s="3844"/>
      <c r="G279" s="3844"/>
      <c r="H279" s="3844"/>
      <c r="I279" s="3844"/>
      <c r="J279" s="3844"/>
      <c r="K279" s="3844"/>
      <c r="L279" s="3844"/>
      <c r="M279" s="3844"/>
      <c r="N279" s="3844"/>
      <c r="O279" s="3844"/>
      <c r="P279" s="2044"/>
      <c r="Q279" s="2026"/>
    </row>
    <row r="280" spans="1:17" ht="48" customHeight="1">
      <c r="A280" s="2033"/>
      <c r="C280" s="2437" t="s">
        <v>1150</v>
      </c>
      <c r="D280" s="3844" t="s">
        <v>3869</v>
      </c>
      <c r="E280" s="3844"/>
      <c r="F280" s="3844"/>
      <c r="G280" s="3844"/>
      <c r="H280" s="3844"/>
      <c r="I280" s="3844"/>
      <c r="J280" s="3844"/>
      <c r="K280" s="3844"/>
      <c r="L280" s="3844"/>
      <c r="M280" s="3844"/>
      <c r="N280" s="3844"/>
      <c r="O280" s="3844"/>
      <c r="P280" s="2044"/>
      <c r="Q280" s="2026"/>
    </row>
    <row r="281" spans="1:17" ht="34.5" customHeight="1">
      <c r="A281" s="2033"/>
      <c r="B281" s="2078" t="s">
        <v>698</v>
      </c>
      <c r="C281" s="3787" t="s">
        <v>3312</v>
      </c>
      <c r="D281" s="3787"/>
      <c r="E281" s="3787"/>
      <c r="F281" s="3787"/>
      <c r="G281" s="3787"/>
      <c r="H281" s="3787"/>
      <c r="I281" s="3787"/>
      <c r="J281" s="3787"/>
      <c r="K281" s="3787"/>
      <c r="L281" s="3787"/>
      <c r="M281" s="3787"/>
      <c r="N281" s="3787"/>
      <c r="O281" s="3787"/>
      <c r="P281" s="2076"/>
      <c r="Q281" s="2026"/>
    </row>
    <row r="282" spans="1:17" ht="49.5" customHeight="1">
      <c r="A282" s="2033"/>
      <c r="B282" s="2078" t="s">
        <v>1962</v>
      </c>
      <c r="C282" s="3787" t="s">
        <v>3917</v>
      </c>
      <c r="D282" s="3787"/>
      <c r="E282" s="3787"/>
      <c r="F282" s="3787"/>
      <c r="G282" s="3787"/>
      <c r="H282" s="3787"/>
      <c r="I282" s="3787"/>
      <c r="J282" s="3787"/>
      <c r="K282" s="3787"/>
      <c r="L282" s="3787"/>
      <c r="M282" s="3787"/>
      <c r="N282" s="3787"/>
      <c r="O282" s="3787"/>
      <c r="P282" s="2076"/>
      <c r="Q282" s="2026"/>
    </row>
    <row r="283" spans="1:17" ht="34.5" customHeight="1">
      <c r="A283" s="2033"/>
      <c r="B283" s="2078" t="s">
        <v>1612</v>
      </c>
      <c r="C283" s="3787" t="s">
        <v>3918</v>
      </c>
      <c r="D283" s="3787"/>
      <c r="E283" s="3787"/>
      <c r="F283" s="3787"/>
      <c r="G283" s="3787"/>
      <c r="H283" s="3787"/>
      <c r="I283" s="3787"/>
      <c r="J283" s="3787"/>
      <c r="K283" s="3787"/>
      <c r="L283" s="3787"/>
      <c r="M283" s="3787"/>
      <c r="N283" s="3787"/>
      <c r="O283" s="3787"/>
      <c r="P283" s="2076"/>
      <c r="Q283" s="2026"/>
    </row>
    <row r="284" spans="1:17" ht="47.25" customHeight="1">
      <c r="A284" s="2071"/>
      <c r="B284" s="3787" t="s">
        <v>6837</v>
      </c>
      <c r="C284" s="3787"/>
      <c r="D284" s="3787"/>
      <c r="E284" s="3787"/>
      <c r="F284" s="3787"/>
      <c r="G284" s="3787"/>
      <c r="H284" s="3787"/>
      <c r="I284" s="3787"/>
      <c r="J284" s="3787"/>
      <c r="K284" s="3787"/>
      <c r="L284" s="3787"/>
      <c r="M284" s="3787"/>
      <c r="N284" s="3787"/>
      <c r="O284" s="3797"/>
      <c r="P284" s="3785" t="s">
        <v>7059</v>
      </c>
      <c r="Q284" s="3785"/>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3" t="s">
        <v>7065</v>
      </c>
      <c r="B286" s="3827"/>
      <c r="C286" s="3827"/>
      <c r="D286" s="3827"/>
      <c r="E286" s="3827"/>
      <c r="F286" s="3827"/>
      <c r="G286" s="3827"/>
      <c r="H286" s="3827"/>
      <c r="I286" s="3827"/>
      <c r="J286" s="3827"/>
      <c r="K286" s="3827"/>
      <c r="L286" s="3827"/>
      <c r="M286" s="3827"/>
      <c r="N286" s="3827"/>
      <c r="O286" s="3827"/>
      <c r="P286" s="3827"/>
      <c r="Q286" s="382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9"/>
      <c r="C288" s="3829"/>
      <c r="D288" s="3829"/>
      <c r="E288" s="3829"/>
      <c r="F288" s="3829"/>
      <c r="G288" s="3829"/>
      <c r="H288" s="3829"/>
      <c r="I288" s="3829"/>
      <c r="J288" s="3829"/>
      <c r="K288" s="3829"/>
      <c r="L288" s="3829"/>
      <c r="M288" s="3829"/>
      <c r="N288" s="3829"/>
      <c r="O288" s="3829"/>
      <c r="P288" s="3829"/>
      <c r="Q288" s="3830"/>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6"/>
      <c r="Q291" s="3745"/>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46.5" customHeight="1">
      <c r="A293" s="3703" t="s">
        <v>7066</v>
      </c>
      <c r="B293" s="3827"/>
      <c r="C293" s="3827"/>
      <c r="D293" s="3827"/>
      <c r="E293" s="3827"/>
      <c r="F293" s="3827"/>
      <c r="G293" s="3827"/>
      <c r="H293" s="3827"/>
      <c r="I293" s="3827"/>
      <c r="J293" s="3827"/>
      <c r="K293" s="3827"/>
      <c r="L293" s="3827"/>
      <c r="M293" s="3827"/>
      <c r="N293" s="3827"/>
      <c r="O293" s="3827"/>
      <c r="P293" s="3827"/>
      <c r="Q293" s="382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9"/>
      <c r="C295" s="3829"/>
      <c r="D295" s="3829"/>
      <c r="E295" s="3829"/>
      <c r="F295" s="3829"/>
      <c r="G295" s="3829"/>
      <c r="H295" s="3829"/>
      <c r="I295" s="3829"/>
      <c r="J295" s="3829"/>
      <c r="K295" s="3829"/>
      <c r="L295" s="3829"/>
      <c r="M295" s="3829"/>
      <c r="N295" s="3829"/>
      <c r="O295" s="3829"/>
      <c r="P295" s="3829"/>
      <c r="Q295" s="3830"/>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B398" sqref="B398:P398"/>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50" t="str">
        <f>CONCATENATE("PART EIGHT - SCORING CRITERIA","  -  ",'Part I-Project Identification'!$O$7," ",'Part I-Project Identification'!$F$25,", ",'Part I-Project Identification'!F26,", ",'Part I-Project Identification'!J26," County")</f>
        <v>PART EIGHT - SCORING CRITERIA  -  2023-0 The Bridges at Lincom, Hartwell, Hart County</v>
      </c>
      <c r="B1" s="4051"/>
      <c r="C1" s="4051"/>
      <c r="D1" s="4051"/>
      <c r="E1" s="4051"/>
      <c r="F1" s="4051"/>
      <c r="G1" s="4051"/>
      <c r="H1" s="4051"/>
      <c r="I1" s="4051"/>
      <c r="J1" s="4051"/>
      <c r="K1" s="4051"/>
      <c r="L1" s="4051"/>
      <c r="M1" s="4051"/>
      <c r="N1" s="4051"/>
      <c r="O1" s="4051"/>
      <c r="P1" s="4052"/>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3" t="s">
        <v>6841</v>
      </c>
      <c r="B3" s="4053"/>
      <c r="C3" s="4053"/>
      <c r="D3" s="4053"/>
      <c r="E3" s="4053"/>
      <c r="F3" s="4053"/>
      <c r="G3" s="4053"/>
      <c r="H3" s="4053"/>
      <c r="I3" s="4053"/>
      <c r="J3" s="4053"/>
      <c r="K3" s="4053"/>
      <c r="L3" s="4053"/>
      <c r="M3" s="2125"/>
      <c r="N3" s="2123"/>
      <c r="O3" s="2126" t="s">
        <v>2050</v>
      </c>
      <c r="P3" s="2127" t="s">
        <v>245</v>
      </c>
      <c r="Q3" s="2118"/>
      <c r="R3" s="2118"/>
      <c r="S3" s="2118"/>
      <c r="T3" s="2118"/>
      <c r="U3" s="2118"/>
      <c r="V3" s="2118"/>
      <c r="W3" s="2118"/>
      <c r="X3" s="2119"/>
    </row>
    <row r="4" spans="1:25" s="2121" customFormat="1" ht="16.5" customHeight="1">
      <c r="A4" s="4053"/>
      <c r="B4" s="4053"/>
      <c r="C4" s="4053"/>
      <c r="D4" s="4053"/>
      <c r="E4" s="4053"/>
      <c r="F4" s="4053"/>
      <c r="G4" s="4053"/>
      <c r="H4" s="4053"/>
      <c r="I4" s="4053"/>
      <c r="J4" s="4053"/>
      <c r="K4" s="4053"/>
      <c r="L4" s="4053"/>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4" t="str">
        <f>'Part I-Project Identification'!$A$6</f>
        <v>April 2023</v>
      </c>
      <c r="C6" s="4054"/>
      <c r="D6" s="4054"/>
      <c r="E6" s="4054"/>
      <c r="F6" s="4054"/>
      <c r="L6" s="2124" t="s">
        <v>1152</v>
      </c>
      <c r="M6" s="2133"/>
      <c r="N6" s="2134"/>
      <c r="O6" s="2135">
        <f>O404</f>
        <v>69</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4055" t="s">
        <v>6495</v>
      </c>
      <c r="G12" s="4055"/>
      <c r="H12" s="4055"/>
      <c r="I12" s="4055"/>
      <c r="J12" s="4055"/>
      <c r="K12" s="4055"/>
      <c r="L12" s="4055"/>
      <c r="M12" s="4055"/>
      <c r="N12" s="4055"/>
      <c r="O12" s="2148" t="s">
        <v>3809</v>
      </c>
      <c r="P12" s="2149">
        <f>SUM(P13:P31)</f>
        <v>0</v>
      </c>
      <c r="Q12" s="4056"/>
      <c r="R12" s="4056"/>
      <c r="S12" s="4056"/>
      <c r="T12" s="4056"/>
      <c r="U12" s="4056"/>
      <c r="V12" s="2150"/>
    </row>
    <row r="13" spans="1:25" s="2121" customFormat="1" ht="14.45" customHeight="1">
      <c r="A13" s="2151" t="s">
        <v>1668</v>
      </c>
      <c r="B13" s="2152" t="s">
        <v>3393</v>
      </c>
      <c r="C13" s="2153"/>
      <c r="D13" s="2154"/>
      <c r="E13" s="2155">
        <f>$O$77</f>
        <v>20</v>
      </c>
      <c r="F13" s="4057" t="str">
        <f>$A$81</f>
        <v xml:space="preserve">Per the desirable certification submitted within our backup folders, the site actually qualifies for 26 points but given DCA's QAP for 2023 we limited the score to 20 points. Please note that there are no undesirable activities near the proposed site. </v>
      </c>
      <c r="G13" s="4058"/>
      <c r="H13" s="4058"/>
      <c r="I13" s="4058"/>
      <c r="J13" s="4058"/>
      <c r="K13" s="4058"/>
      <c r="L13" s="4058"/>
      <c r="M13" s="4058"/>
      <c r="N13" s="4058"/>
      <c r="O13" s="4058"/>
      <c r="P13" s="2156"/>
      <c r="Q13" s="4056"/>
      <c r="R13" s="4056"/>
      <c r="S13" s="4056"/>
      <c r="T13" s="4056"/>
      <c r="U13" s="4056"/>
      <c r="V13" s="2150"/>
    </row>
    <row r="14" spans="1:25" s="2121" customFormat="1" ht="14.45" customHeight="1">
      <c r="A14" s="2151" t="s">
        <v>496</v>
      </c>
      <c r="B14" s="2157" t="s">
        <v>4037</v>
      </c>
      <c r="C14" s="2158"/>
      <c r="D14" s="2159"/>
      <c r="E14" s="2160">
        <f>$O$86</f>
        <v>2</v>
      </c>
      <c r="F14" s="4038" t="str">
        <f>$A$102</f>
        <v xml:space="preserve">Hart County Public Transit information can be found at: http://hartcountyga.gov/publictransit.html. The call-and-ride service provides reliable and low-cost transportation to all citizens of Hart County. </v>
      </c>
      <c r="G14" s="3877"/>
      <c r="H14" s="3877"/>
      <c r="I14" s="3877"/>
      <c r="J14" s="3877"/>
      <c r="K14" s="3877"/>
      <c r="L14" s="3877"/>
      <c r="M14" s="3877"/>
      <c r="N14" s="3877"/>
      <c r="O14" s="4039"/>
      <c r="P14" s="2162"/>
      <c r="Q14" s="4056"/>
      <c r="R14" s="4056"/>
      <c r="S14" s="4056"/>
      <c r="T14" s="4056"/>
      <c r="U14" s="4056"/>
    </row>
    <row r="15" spans="1:25" s="2121" customFormat="1" ht="14.45" customHeight="1">
      <c r="A15" s="2151" t="s">
        <v>720</v>
      </c>
      <c r="B15" s="2157" t="s">
        <v>3338</v>
      </c>
      <c r="C15" s="2158"/>
      <c r="D15" s="2159"/>
      <c r="E15" s="2160">
        <f>$O$106</f>
        <v>1</v>
      </c>
      <c r="F15" s="4038" t="str">
        <f>$A$117</f>
        <v xml:space="preserve">Hart County Middle School qualifies for points under Section C and it serves grades 06, 07, 08 therefore the applicant qualifies for 1 point in this category. Please note that Hart County Board of Education does not have a district map therefore we obtained a letter to verify the schools applicable to our proposed development site. </v>
      </c>
      <c r="G15" s="3877"/>
      <c r="H15" s="3877"/>
      <c r="I15" s="3877"/>
      <c r="J15" s="3877"/>
      <c r="K15" s="3877"/>
      <c r="L15" s="3877"/>
      <c r="M15" s="3877"/>
      <c r="N15" s="3877"/>
      <c r="O15" s="4039"/>
      <c r="P15" s="2162"/>
      <c r="Q15" s="2163"/>
      <c r="R15" s="2163"/>
      <c r="S15" s="2163"/>
      <c r="T15" s="2163"/>
      <c r="U15" s="2163"/>
    </row>
    <row r="16" spans="1:25" s="2121" customFormat="1" ht="14.45" customHeight="1">
      <c r="A16" s="2164" t="s">
        <v>280</v>
      </c>
      <c r="B16" s="2157" t="s">
        <v>3394</v>
      </c>
      <c r="C16" s="2158"/>
      <c r="D16" s="2159"/>
      <c r="E16" s="2457">
        <f>$O$122</f>
        <v>0</v>
      </c>
      <c r="F16" s="4038" t="str">
        <f>$A$137</f>
        <v xml:space="preserve">The applicant is not claiming points for revitalization and does not have a third party capital investment. </v>
      </c>
      <c r="G16" s="3877"/>
      <c r="H16" s="3877"/>
      <c r="I16" s="3877"/>
      <c r="J16" s="3877"/>
      <c r="K16" s="3877"/>
      <c r="L16" s="3877"/>
      <c r="M16" s="3877"/>
      <c r="N16" s="3877"/>
      <c r="O16" s="4039"/>
      <c r="P16" s="2162"/>
      <c r="Q16" s="2163"/>
      <c r="R16" s="2163"/>
      <c r="S16" s="2163"/>
      <c r="T16" s="2163"/>
      <c r="U16" s="2163"/>
    </row>
    <row r="17" spans="1:35" s="2121" customFormat="1" ht="14.45" customHeight="1">
      <c r="A17" s="2151" t="s">
        <v>401</v>
      </c>
      <c r="B17" s="2166" t="s">
        <v>3395</v>
      </c>
      <c r="C17" s="2167"/>
      <c r="D17" s="2168"/>
      <c r="E17" s="2169" t="s">
        <v>1610</v>
      </c>
      <c r="F17" s="4062" t="str">
        <f>$A$147</f>
        <v>The applicant is not claiming point in this section.</v>
      </c>
      <c r="G17" s="4063"/>
      <c r="H17" s="4063"/>
      <c r="I17" s="4063"/>
      <c r="J17" s="4063"/>
      <c r="K17" s="4063"/>
      <c r="L17" s="4063"/>
      <c r="M17" s="4063"/>
      <c r="N17" s="4063"/>
      <c r="O17" s="4064"/>
      <c r="P17" s="2162"/>
      <c r="Q17" s="2163"/>
      <c r="R17" s="2163"/>
      <c r="S17" s="2163"/>
      <c r="T17" s="2163"/>
      <c r="U17" s="2163"/>
    </row>
    <row r="18" spans="1:35" s="2121" customFormat="1" ht="14.45" customHeight="1">
      <c r="A18" s="2151" t="s">
        <v>342</v>
      </c>
      <c r="B18" s="2157" t="s">
        <v>4038</v>
      </c>
      <c r="C18" s="2158"/>
      <c r="D18" s="2159"/>
      <c r="E18" s="2170">
        <f>$O$152</f>
        <v>7</v>
      </c>
      <c r="F18" s="4038" t="str">
        <f>$A$165</f>
        <v xml:space="preserve">Using 2020 or 2021 Local Health and Economic indicators provides a points value of 2 points. The site census tract has a 1.7% below poverty line allowing the applicant to claim 5 points in category A. </v>
      </c>
      <c r="G18" s="3877"/>
      <c r="H18" s="3877"/>
      <c r="I18" s="3877"/>
      <c r="J18" s="3877"/>
      <c r="K18" s="3877"/>
      <c r="L18" s="3877"/>
      <c r="M18" s="3877"/>
      <c r="N18" s="3877"/>
      <c r="O18" s="4039"/>
      <c r="P18" s="2162"/>
      <c r="Q18" s="4065" t="str">
        <f>IF(OR($A$81="",$A$102="",$A$117="",$A$137="",$A$147="",$A$165="",$A$184="",$A$195="",$A$205="",$A$228="",$A$248="",$A$257="",$A$275="",$A$307="",$A$318="",$A$340="",$A$347="",$A$360="",$A$389=""),"Some Applicant Scoring Justification boxes are empty! Check to see if points claimed.","")</f>
        <v/>
      </c>
      <c r="R18" s="4005"/>
      <c r="S18" s="4005"/>
    </row>
    <row r="19" spans="1:35" s="2121" customFormat="1" ht="14.45" customHeight="1">
      <c r="A19" s="2151" t="s">
        <v>4040</v>
      </c>
      <c r="B19" s="2157" t="s">
        <v>3261</v>
      </c>
      <c r="C19" s="2158"/>
      <c r="D19" s="2159"/>
      <c r="E19" s="2170">
        <f>$O$179</f>
        <v>0</v>
      </c>
      <c r="F19" s="4038" t="str">
        <f>$A$184</f>
        <v>The applicant is not claiming points in this category.</v>
      </c>
      <c r="G19" s="3877"/>
      <c r="H19" s="3877"/>
      <c r="I19" s="3877"/>
      <c r="J19" s="3877"/>
      <c r="K19" s="3877"/>
      <c r="L19" s="3877"/>
      <c r="M19" s="3877"/>
      <c r="N19" s="3877"/>
      <c r="O19" s="4039"/>
      <c r="P19" s="2162"/>
      <c r="Q19" s="4065"/>
      <c r="R19" s="4005"/>
      <c r="S19" s="4005"/>
    </row>
    <row r="20" spans="1:35" s="2121" customFormat="1" ht="14.45" customHeight="1">
      <c r="A20" s="2151" t="s">
        <v>4052</v>
      </c>
      <c r="B20" s="2157" t="s">
        <v>4041</v>
      </c>
      <c r="C20" s="2158"/>
      <c r="D20" s="2159"/>
      <c r="E20" s="2169">
        <f>$O$189</f>
        <v>0</v>
      </c>
      <c r="F20" s="4038" t="str">
        <f>$A$195</f>
        <v xml:space="preserve">This development will be the first phase of a phase development therefore we are not claiming points in this category at this time. A second phase on adjoining property will be applied for in the future. </v>
      </c>
      <c r="G20" s="3877"/>
      <c r="H20" s="3877"/>
      <c r="I20" s="3877"/>
      <c r="J20" s="3877"/>
      <c r="K20" s="3877"/>
      <c r="L20" s="3877"/>
      <c r="M20" s="3877"/>
      <c r="N20" s="3877"/>
      <c r="O20" s="4039"/>
      <c r="P20" s="2162"/>
      <c r="Q20" s="4065"/>
      <c r="R20" s="4005"/>
      <c r="S20" s="4005"/>
    </row>
    <row r="21" spans="1:35" s="2121" customFormat="1" ht="14.45" customHeight="1">
      <c r="A21" s="2171" t="s">
        <v>6242</v>
      </c>
      <c r="B21" s="2166" t="s">
        <v>4042</v>
      </c>
      <c r="C21" s="2167"/>
      <c r="D21" s="2168"/>
      <c r="E21" s="2172">
        <f>$O$200</f>
        <v>3</v>
      </c>
      <c r="F21" s="4062" t="str">
        <f>$A$205</f>
        <v xml:space="preserve">The most recently funded application in the 9% competitive round was funded in 2017 allowing the application to elect 3 points in this scoring category. </v>
      </c>
      <c r="G21" s="4063"/>
      <c r="H21" s="4063"/>
      <c r="I21" s="4063"/>
      <c r="J21" s="4063"/>
      <c r="K21" s="4063"/>
      <c r="L21" s="4063"/>
      <c r="M21" s="4063"/>
      <c r="N21" s="4063"/>
      <c r="O21" s="4064"/>
      <c r="P21" s="2162"/>
      <c r="Q21" s="4065"/>
      <c r="R21" s="4005"/>
      <c r="S21" s="4005"/>
    </row>
    <row r="22" spans="1:35" s="2121" customFormat="1" ht="14.45" customHeight="1">
      <c r="A22" s="2151" t="s">
        <v>6636</v>
      </c>
      <c r="B22" s="2157" t="s">
        <v>6548</v>
      </c>
      <c r="C22" s="2158"/>
      <c r="D22" s="2159"/>
      <c r="E22" s="2170">
        <f>$O$223</f>
        <v>0</v>
      </c>
      <c r="F22" s="4038" t="str">
        <f>$A$228</f>
        <v>This application is for the RURAL pool thus we do not qualify for points in this category.</v>
      </c>
      <c r="G22" s="3877"/>
      <c r="H22" s="3877"/>
      <c r="I22" s="3877"/>
      <c r="J22" s="3877"/>
      <c r="K22" s="3877"/>
      <c r="L22" s="3877"/>
      <c r="M22" s="3877"/>
      <c r="N22" s="3877"/>
      <c r="O22" s="4039"/>
      <c r="P22" s="2162"/>
      <c r="Q22" s="4065"/>
      <c r="R22" s="4005"/>
      <c r="S22" s="4005"/>
    </row>
    <row r="23" spans="1:35" s="2121" customFormat="1" ht="14.45" customHeight="1">
      <c r="A23" s="2151" t="s">
        <v>6638</v>
      </c>
      <c r="B23" s="2157" t="s">
        <v>6637</v>
      </c>
      <c r="C23" s="2158"/>
      <c r="D23" s="2159"/>
      <c r="E23" s="2170">
        <f>$O$233</f>
        <v>2</v>
      </c>
      <c r="F23" s="4038" t="str">
        <f>$A$248</f>
        <v xml:space="preserve">The applicants certifies to engage a QB in the development and/or operation of the property in amounts equal to or greater than 5% of the total construction hard cost. </v>
      </c>
      <c r="G23" s="3877"/>
      <c r="H23" s="3877"/>
      <c r="I23" s="3877"/>
      <c r="J23" s="3877"/>
      <c r="K23" s="3877"/>
      <c r="L23" s="3877"/>
      <c r="M23" s="3877"/>
      <c r="N23" s="3877"/>
      <c r="O23" s="4039"/>
      <c r="P23" s="2162"/>
      <c r="Q23" s="4065"/>
      <c r="R23" s="4005"/>
      <c r="S23" s="4005"/>
    </row>
    <row r="24" spans="1:35" s="2121" customFormat="1" ht="14.45" customHeight="1">
      <c r="A24" s="2164" t="s">
        <v>3368</v>
      </c>
      <c r="B24" s="2173" t="s">
        <v>6554</v>
      </c>
      <c r="C24" s="2174"/>
      <c r="D24" s="2175"/>
      <c r="E24" s="2165">
        <f>$O$253</f>
        <v>2</v>
      </c>
      <c r="F24" s="4059" t="str">
        <f>$A$257</f>
        <v xml:space="preserve">The applicant certifies that we will partner with a CORES certified entity to accept resident services at the development. </v>
      </c>
      <c r="G24" s="4060"/>
      <c r="H24" s="4060"/>
      <c r="I24" s="4060"/>
      <c r="J24" s="4060"/>
      <c r="K24" s="4060"/>
      <c r="L24" s="4060"/>
      <c r="M24" s="4060"/>
      <c r="N24" s="4060"/>
      <c r="O24" s="4061"/>
      <c r="P24" s="2162"/>
      <c r="Q24" s="4065"/>
      <c r="R24" s="4005"/>
      <c r="S24" s="4005"/>
    </row>
    <row r="25" spans="1:35" s="2121" customFormat="1" ht="14.45" customHeight="1">
      <c r="A25" s="2151" t="s">
        <v>3372</v>
      </c>
      <c r="B25" s="2157" t="s">
        <v>3396</v>
      </c>
      <c r="C25" s="2158"/>
      <c r="D25" s="2159"/>
      <c r="E25" s="2170">
        <f>$O$271</f>
        <v>2</v>
      </c>
      <c r="F25" s="4038" t="str">
        <f>$A$275</f>
        <v xml:space="preserve">The proposed development has received a letter of support from the Hartwell GICH team along with a letter from the local municipality acknowledging the issuance of the GICH support letter. </v>
      </c>
      <c r="G25" s="3877"/>
      <c r="H25" s="3877"/>
      <c r="I25" s="3877"/>
      <c r="J25" s="3877"/>
      <c r="K25" s="3877"/>
      <c r="L25" s="3877"/>
      <c r="M25" s="3877"/>
      <c r="N25" s="3877"/>
      <c r="O25" s="4039"/>
      <c r="P25" s="2162"/>
      <c r="Q25" s="4065"/>
      <c r="R25" s="4005"/>
      <c r="S25" s="4005"/>
    </row>
    <row r="26" spans="1:35" s="2121" customFormat="1" ht="14.45" customHeight="1">
      <c r="A26" s="2151" t="s">
        <v>3375</v>
      </c>
      <c r="B26" s="2157" t="s">
        <v>3397</v>
      </c>
      <c r="C26" s="2158"/>
      <c r="D26" s="2159"/>
      <c r="E26" s="2170">
        <f>$O$280</f>
        <v>0</v>
      </c>
      <c r="F26" s="4038" t="str">
        <f>$A$307</f>
        <v>The applicant has not received a loan that will qualify as "favorable financing" nor is a ground lease in place.</v>
      </c>
      <c r="G26" s="3877"/>
      <c r="H26" s="3877"/>
      <c r="I26" s="3877"/>
      <c r="J26" s="3877"/>
      <c r="K26" s="3877"/>
      <c r="L26" s="3877"/>
      <c r="M26" s="3877"/>
      <c r="N26" s="3877"/>
      <c r="O26" s="4039"/>
      <c r="P26" s="2162"/>
      <c r="Q26" s="4065"/>
      <c r="R26" s="4005"/>
      <c r="S26" s="4005"/>
    </row>
    <row r="27" spans="1:35" s="2121" customFormat="1" ht="14.45" customHeight="1">
      <c r="A27" s="2151" t="s">
        <v>3376</v>
      </c>
      <c r="B27" s="2157" t="s">
        <v>3398</v>
      </c>
      <c r="C27" s="2158"/>
      <c r="D27" s="2159"/>
      <c r="E27" s="2169">
        <f>$O$312</f>
        <v>0</v>
      </c>
      <c r="F27" s="4038" t="str">
        <f>$A$318</f>
        <v>The applicant is not claiming points in this category.</v>
      </c>
      <c r="G27" s="3877"/>
      <c r="H27" s="3877"/>
      <c r="I27" s="3877"/>
      <c r="J27" s="3877"/>
      <c r="K27" s="3877"/>
      <c r="L27" s="3877"/>
      <c r="M27" s="3877"/>
      <c r="N27" s="3877"/>
      <c r="O27" s="4039"/>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3</v>
      </c>
      <c r="F28" s="4066" t="str">
        <f>$A$340</f>
        <v>The applicant agrees to accept DCA-administered PBRA at the proposed development for not more than 20% of the overall units, if funding is available. Our project team has extensive experience with DCA 811 and have excellent prior performance with the program.</v>
      </c>
      <c r="G28" s="4067"/>
      <c r="H28" s="4067"/>
      <c r="I28" s="4067"/>
      <c r="J28" s="4067"/>
      <c r="K28" s="4067"/>
      <c r="L28" s="4067"/>
      <c r="M28" s="4067"/>
      <c r="N28" s="4067"/>
      <c r="O28" s="4068"/>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0</v>
      </c>
      <c r="F29" s="4038" t="str">
        <f>$A$347</f>
        <v xml:space="preserve">The applicant is not claiming points in this category. </v>
      </c>
      <c r="G29" s="3877"/>
      <c r="H29" s="3877"/>
      <c r="I29" s="3877"/>
      <c r="J29" s="3877"/>
      <c r="K29" s="3877"/>
      <c r="L29" s="3877"/>
      <c r="M29" s="3877"/>
      <c r="N29" s="3877"/>
      <c r="O29" s="4039"/>
      <c r="P29" s="2162"/>
      <c r="Q29" s="2176"/>
      <c r="R29" s="2118"/>
      <c r="S29" s="2118"/>
    </row>
    <row r="30" spans="1:35" s="2121" customFormat="1" ht="14.45" customHeight="1">
      <c r="A30" s="2151" t="s">
        <v>3802</v>
      </c>
      <c r="B30" s="2157" t="s">
        <v>6552</v>
      </c>
      <c r="C30" s="2158"/>
      <c r="D30" s="2159"/>
      <c r="E30" s="2170">
        <f>$O$358</f>
        <v>0</v>
      </c>
      <c r="F30" s="4038" t="str">
        <f>$A$360</f>
        <v xml:space="preserve">The applicant is not claiming points in this category. </v>
      </c>
      <c r="G30" s="3877"/>
      <c r="H30" s="3877"/>
      <c r="I30" s="3877"/>
      <c r="J30" s="3877"/>
      <c r="K30" s="3877"/>
      <c r="L30" s="3877"/>
      <c r="M30" s="3877"/>
      <c r="N30" s="3877"/>
      <c r="O30" s="4039"/>
      <c r="P30" s="2162"/>
      <c r="Q30" s="2176"/>
    </row>
    <row r="31" spans="1:35" s="2121" customFormat="1" ht="14.45" customHeight="1">
      <c r="A31" s="2151" t="s">
        <v>6555</v>
      </c>
      <c r="B31" s="2157" t="s">
        <v>6553</v>
      </c>
      <c r="C31" s="2158"/>
      <c r="D31" s="2159"/>
      <c r="E31" s="2170">
        <f>$O$365</f>
        <v>0</v>
      </c>
      <c r="F31" s="4038" t="str">
        <f>$A$369</f>
        <v xml:space="preserve">The applicant is not claiming points in this category. </v>
      </c>
      <c r="G31" s="3877"/>
      <c r="H31" s="3877"/>
      <c r="I31" s="3877"/>
      <c r="J31" s="3877"/>
      <c r="K31" s="3877"/>
      <c r="L31" s="3877"/>
      <c r="M31" s="3877"/>
      <c r="N31" s="3877"/>
      <c r="O31" s="4039"/>
      <c r="P31" s="2455"/>
      <c r="Q31" s="2176"/>
    </row>
    <row r="32" spans="1:35" s="2121" customFormat="1" ht="14.45" customHeight="1">
      <c r="A32" s="2456" t="s">
        <v>6917</v>
      </c>
      <c r="B32" s="2178" t="s">
        <v>6933</v>
      </c>
      <c r="C32" s="2179"/>
      <c r="D32" s="2179"/>
      <c r="E32" s="2454">
        <f>$O$373</f>
        <v>0</v>
      </c>
      <c r="F32" s="4066">
        <f>$A$388</f>
        <v>0</v>
      </c>
      <c r="G32" s="4067"/>
      <c r="H32" s="4067"/>
      <c r="I32" s="4067"/>
      <c r="J32" s="4067"/>
      <c r="K32" s="4067"/>
      <c r="L32" s="4067"/>
      <c r="M32" s="4067"/>
      <c r="N32" s="4067"/>
      <c r="O32" s="4068"/>
      <c r="P32" s="2183"/>
      <c r="Q32" s="2118"/>
    </row>
    <row r="33" spans="1:35" ht="12.75" customHeight="1">
      <c r="Q33" s="2185"/>
    </row>
    <row r="34" spans="1:35" ht="13.5" customHeight="1">
      <c r="A34" s="3849" t="s">
        <v>6947</v>
      </c>
      <c r="B34" s="3849"/>
      <c r="C34" s="3849"/>
      <c r="D34" s="3849"/>
      <c r="E34" s="4084" t="str">
        <f>IF(OR((C36-A36&gt;0),(D36-A36&gt;0)),"Points Exceed Max!","")</f>
        <v/>
      </c>
      <c r="F34" s="3919" t="s">
        <v>6881</v>
      </c>
      <c r="G34" s="3920"/>
      <c r="H34" s="3920"/>
      <c r="I34" s="3921"/>
      <c r="J34" s="4069" t="s">
        <v>6139</v>
      </c>
      <c r="K34" s="4070"/>
      <c r="L34" s="4070"/>
      <c r="M34" s="4071"/>
      <c r="O34" s="3925" t="s">
        <v>6882</v>
      </c>
      <c r="P34" s="3925"/>
      <c r="Q34" s="2185"/>
    </row>
    <row r="35" spans="1:35" ht="13.5" customHeight="1">
      <c r="A35" s="4089" t="s">
        <v>6907</v>
      </c>
      <c r="B35" s="4090"/>
      <c r="C35" s="2461" t="s">
        <v>2889</v>
      </c>
      <c r="D35" s="2460" t="s">
        <v>245</v>
      </c>
      <c r="E35" s="4084"/>
      <c r="F35" s="3922"/>
      <c r="G35" s="3923"/>
      <c r="H35" s="3923"/>
      <c r="I35" s="3924"/>
      <c r="J35" s="4072"/>
      <c r="K35" s="4073"/>
      <c r="L35" s="4073"/>
      <c r="M35" s="4074"/>
      <c r="O35" s="3926"/>
      <c r="P35" s="3926"/>
    </row>
    <row r="36" spans="1:35" ht="10.5" customHeight="1">
      <c r="A36" s="4085">
        <v>33</v>
      </c>
      <c r="B36" s="4086"/>
      <c r="C36" s="4099">
        <f>IF($O$36="4%",O77+O86+O106+O122+O152+O179,0)</f>
        <v>0</v>
      </c>
      <c r="D36" s="4097">
        <f>IF($O$36="4%",P77+P86+P106+P122+P152+P179,0)</f>
        <v>0</v>
      </c>
      <c r="E36" s="4084"/>
      <c r="F36" s="4032" t="s">
        <v>6124</v>
      </c>
      <c r="G36" s="4033"/>
      <c r="H36" s="4033"/>
      <c r="I36" s="4034"/>
      <c r="J36" s="4075" t="s">
        <v>2392</v>
      </c>
      <c r="K36" s="4076"/>
      <c r="L36" s="4076"/>
      <c r="M36" s="4077"/>
      <c r="O36" s="392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8"/>
    </row>
    <row r="37" spans="1:35" ht="10.5" customHeight="1">
      <c r="A37" s="4087"/>
      <c r="B37" s="4088"/>
      <c r="C37" s="4100"/>
      <c r="D37" s="4098"/>
      <c r="E37" s="4084"/>
      <c r="F37" s="4035"/>
      <c r="G37" s="4036"/>
      <c r="H37" s="4036"/>
      <c r="I37" s="4037"/>
      <c r="J37" s="4078"/>
      <c r="K37" s="4079"/>
      <c r="L37" s="4079"/>
      <c r="M37" s="4080"/>
      <c r="O37" s="3927"/>
      <c r="P37" s="3928"/>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6873</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71" t="s">
        <v>6844</v>
      </c>
      <c r="D46" s="3872"/>
      <c r="E46" s="3872"/>
      <c r="F46" s="3872"/>
      <c r="G46" s="3872"/>
      <c r="H46" s="3872"/>
      <c r="I46" s="3872"/>
      <c r="J46" s="3872"/>
      <c r="K46" s="3872"/>
      <c r="L46" s="3872"/>
      <c r="M46" s="3872"/>
      <c r="N46" s="3872"/>
      <c r="O46" s="3872"/>
      <c r="P46" s="3873"/>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3" t="s">
        <v>6874</v>
      </c>
      <c r="B50" s="3923"/>
      <c r="C50" s="3923"/>
      <c r="D50" s="3923"/>
      <c r="E50" s="3923"/>
      <c r="F50" s="2216" t="s">
        <v>3178</v>
      </c>
      <c r="G50" s="3923" t="s">
        <v>6875</v>
      </c>
      <c r="H50" s="3923"/>
      <c r="I50" s="3923"/>
      <c r="J50" s="2216" t="s">
        <v>3178</v>
      </c>
      <c r="K50" s="4091" t="s">
        <v>6876</v>
      </c>
      <c r="L50" s="4091"/>
      <c r="M50" s="4091"/>
      <c r="N50" s="4091"/>
      <c r="O50" s="3859" t="s">
        <v>3178</v>
      </c>
      <c r="P50" s="3860"/>
      <c r="R50" s="2209"/>
      <c r="S50" s="2217"/>
    </row>
    <row r="51" spans="1:20" s="2121" customFormat="1" ht="12.75" customHeight="1">
      <c r="A51" s="4081"/>
      <c r="B51" s="4081"/>
      <c r="C51" s="4081"/>
      <c r="D51" s="4081"/>
      <c r="E51" s="4081"/>
      <c r="F51" s="2218">
        <f>SUM(F52:F63)</f>
        <v>0</v>
      </c>
      <c r="G51" s="4082"/>
      <c r="H51" s="4081"/>
      <c r="I51" s="4083"/>
      <c r="J51" s="2218">
        <f>SUM(J52:J63)</f>
        <v>0</v>
      </c>
      <c r="K51" s="4092"/>
      <c r="L51" s="4093"/>
      <c r="M51" s="4093"/>
      <c r="N51" s="4094"/>
      <c r="O51" s="4095">
        <f>SUM(O52:O63)</f>
        <v>0</v>
      </c>
      <c r="P51" s="4096"/>
      <c r="Q51" s="2209"/>
      <c r="R51" s="2217"/>
    </row>
    <row r="52" spans="1:20" s="2121" customFormat="1" ht="29.25" customHeight="1">
      <c r="A52" s="4043">
        <v>1</v>
      </c>
      <c r="B52" s="4044"/>
      <c r="C52" s="4044"/>
      <c r="D52" s="4044"/>
      <c r="E52" s="4045"/>
      <c r="F52" s="2219"/>
      <c r="G52" s="4043">
        <v>1</v>
      </c>
      <c r="H52" s="4044"/>
      <c r="I52" s="4045"/>
      <c r="J52" s="2220" t="s">
        <v>1610</v>
      </c>
      <c r="K52" s="4046">
        <v>1</v>
      </c>
      <c r="L52" s="4047"/>
      <c r="M52" s="4047"/>
      <c r="N52" s="4047"/>
      <c r="O52" s="4048" t="s">
        <v>1610</v>
      </c>
      <c r="P52" s="4049"/>
      <c r="Q52" s="2252"/>
      <c r="R52" s="2217"/>
    </row>
    <row r="53" spans="1:20" s="2121" customFormat="1" ht="29.25" customHeight="1">
      <c r="A53" s="4018">
        <v>2</v>
      </c>
      <c r="B53" s="4019"/>
      <c r="C53" s="4019"/>
      <c r="D53" s="4019"/>
      <c r="E53" s="4020"/>
      <c r="F53" s="2221"/>
      <c r="G53" s="4018">
        <v>2</v>
      </c>
      <c r="H53" s="4019"/>
      <c r="I53" s="4020"/>
      <c r="J53" s="2221"/>
      <c r="K53" s="4028">
        <v>2</v>
      </c>
      <c r="L53" s="4029"/>
      <c r="M53" s="4029"/>
      <c r="N53" s="4029"/>
      <c r="O53" s="4021"/>
      <c r="P53" s="4022"/>
      <c r="Q53" s="2209"/>
      <c r="R53" s="2217"/>
    </row>
    <row r="54" spans="1:20" s="2121" customFormat="1" ht="29.25" customHeight="1">
      <c r="A54" s="4018">
        <v>3</v>
      </c>
      <c r="B54" s="4019"/>
      <c r="C54" s="4019"/>
      <c r="D54" s="4019"/>
      <c r="E54" s="4020"/>
      <c r="F54" s="2221"/>
      <c r="G54" s="4018">
        <v>3</v>
      </c>
      <c r="H54" s="4019"/>
      <c r="I54" s="4020"/>
      <c r="J54" s="2222"/>
      <c r="K54" s="4028">
        <v>3</v>
      </c>
      <c r="L54" s="4029"/>
      <c r="M54" s="4029"/>
      <c r="N54" s="4029"/>
      <c r="O54" s="4021"/>
      <c r="P54" s="4022"/>
      <c r="Q54" s="2409"/>
      <c r="R54" s="2150"/>
      <c r="S54" s="2150"/>
      <c r="T54" s="2150"/>
    </row>
    <row r="55" spans="1:20" s="2121" customFormat="1" ht="29.25" customHeight="1">
      <c r="A55" s="4018">
        <v>4</v>
      </c>
      <c r="B55" s="4019"/>
      <c r="C55" s="4019"/>
      <c r="D55" s="4019"/>
      <c r="E55" s="4020"/>
      <c r="F55" s="2221"/>
      <c r="G55" s="4018">
        <v>4</v>
      </c>
      <c r="H55" s="4019"/>
      <c r="I55" s="4020"/>
      <c r="J55" s="2221"/>
      <c r="K55" s="4028">
        <v>4</v>
      </c>
      <c r="L55" s="4029"/>
      <c r="M55" s="4029"/>
      <c r="N55" s="4029"/>
      <c r="O55" s="4021"/>
      <c r="P55" s="4022"/>
      <c r="Q55" s="2409"/>
      <c r="R55" s="2150"/>
      <c r="S55" s="2150"/>
      <c r="T55" s="2150"/>
    </row>
    <row r="56" spans="1:20" s="2121" customFormat="1" ht="29.25" customHeight="1">
      <c r="A56" s="4018">
        <v>5</v>
      </c>
      <c r="B56" s="4019"/>
      <c r="C56" s="4019"/>
      <c r="D56" s="4019"/>
      <c r="E56" s="4020"/>
      <c r="F56" s="2221"/>
      <c r="G56" s="4018">
        <v>5</v>
      </c>
      <c r="H56" s="4019"/>
      <c r="I56" s="4020"/>
      <c r="J56" s="2222"/>
      <c r="K56" s="4028">
        <v>5</v>
      </c>
      <c r="L56" s="4029"/>
      <c r="M56" s="4029"/>
      <c r="N56" s="4029"/>
      <c r="O56" s="4021"/>
      <c r="P56" s="4022"/>
      <c r="Q56" s="2409"/>
      <c r="R56" s="2150"/>
      <c r="S56" s="2150"/>
      <c r="T56" s="2150"/>
    </row>
    <row r="57" spans="1:20" s="2121" customFormat="1" ht="29.25" customHeight="1">
      <c r="A57" s="4018">
        <v>6</v>
      </c>
      <c r="B57" s="4019"/>
      <c r="C57" s="4019"/>
      <c r="D57" s="4019"/>
      <c r="E57" s="4020"/>
      <c r="F57" s="2221"/>
      <c r="G57" s="4018">
        <v>6</v>
      </c>
      <c r="H57" s="4019"/>
      <c r="I57" s="4020"/>
      <c r="J57" s="2221"/>
      <c r="K57" s="4028">
        <v>6</v>
      </c>
      <c r="L57" s="4029"/>
      <c r="M57" s="4029"/>
      <c r="N57" s="4029"/>
      <c r="O57" s="4021"/>
      <c r="P57" s="4022"/>
      <c r="Q57" s="2409"/>
      <c r="R57" s="2150"/>
    </row>
    <row r="58" spans="1:20" s="2121" customFormat="1" ht="29.25" customHeight="1">
      <c r="A58" s="4018">
        <v>7</v>
      </c>
      <c r="B58" s="4019"/>
      <c r="C58" s="4019"/>
      <c r="D58" s="4019"/>
      <c r="E58" s="4020"/>
      <c r="F58" s="2221"/>
      <c r="G58" s="4018">
        <v>7</v>
      </c>
      <c r="H58" s="4019"/>
      <c r="I58" s="4020"/>
      <c r="J58" s="2222"/>
      <c r="K58" s="4028">
        <v>7</v>
      </c>
      <c r="L58" s="4029"/>
      <c r="M58" s="4029"/>
      <c r="N58" s="4029"/>
      <c r="O58" s="4021"/>
      <c r="P58" s="4022"/>
      <c r="Q58" s="2217"/>
      <c r="R58" s="2217"/>
    </row>
    <row r="59" spans="1:20" s="2121" customFormat="1" ht="29.25" customHeight="1">
      <c r="A59" s="4018">
        <v>8</v>
      </c>
      <c r="B59" s="4019"/>
      <c r="C59" s="4019"/>
      <c r="D59" s="4019"/>
      <c r="E59" s="4020"/>
      <c r="F59" s="2221"/>
      <c r="G59" s="4018">
        <v>8</v>
      </c>
      <c r="H59" s="4019"/>
      <c r="I59" s="4020"/>
      <c r="J59" s="2221"/>
      <c r="K59" s="4028">
        <v>8</v>
      </c>
      <c r="L59" s="4029"/>
      <c r="M59" s="4029"/>
      <c r="N59" s="4029"/>
      <c r="O59" s="4021"/>
      <c r="P59" s="4022"/>
      <c r="Q59" s="2217"/>
      <c r="R59" s="2217"/>
    </row>
    <row r="60" spans="1:20" s="2121" customFormat="1" ht="29.25" customHeight="1">
      <c r="A60" s="4018">
        <v>9</v>
      </c>
      <c r="B60" s="4019"/>
      <c r="C60" s="4019"/>
      <c r="D60" s="4019"/>
      <c r="E60" s="4020"/>
      <c r="F60" s="2221"/>
      <c r="G60" s="4018">
        <v>9</v>
      </c>
      <c r="H60" s="4019"/>
      <c r="I60" s="4020"/>
      <c r="J60" s="2222"/>
      <c r="K60" s="4028">
        <v>9</v>
      </c>
      <c r="L60" s="4029"/>
      <c r="M60" s="4029"/>
      <c r="N60" s="4029"/>
      <c r="O60" s="4021"/>
      <c r="P60" s="4022"/>
      <c r="Q60" s="2217"/>
      <c r="R60" s="2217"/>
    </row>
    <row r="61" spans="1:20" s="2121" customFormat="1" ht="29.25" customHeight="1">
      <c r="A61" s="4018">
        <v>10</v>
      </c>
      <c r="B61" s="4019"/>
      <c r="C61" s="4019"/>
      <c r="D61" s="4019"/>
      <c r="E61" s="4020"/>
      <c r="F61" s="2221"/>
      <c r="G61" s="4018">
        <v>10</v>
      </c>
      <c r="H61" s="4019"/>
      <c r="I61" s="4020"/>
      <c r="J61" s="2221"/>
      <c r="K61" s="4028">
        <v>10</v>
      </c>
      <c r="L61" s="4029"/>
      <c r="M61" s="4029"/>
      <c r="N61" s="4029"/>
      <c r="O61" s="4021"/>
      <c r="P61" s="4022"/>
      <c r="Q61" s="2217"/>
    </row>
    <row r="62" spans="1:20" s="2121" customFormat="1" ht="29.25" customHeight="1">
      <c r="A62" s="4018">
        <v>11</v>
      </c>
      <c r="B62" s="4019"/>
      <c r="C62" s="4019"/>
      <c r="D62" s="4019"/>
      <c r="E62" s="4020"/>
      <c r="F62" s="2221"/>
      <c r="G62" s="4018">
        <v>11</v>
      </c>
      <c r="H62" s="4019"/>
      <c r="I62" s="4020"/>
      <c r="J62" s="2222"/>
      <c r="K62" s="4018">
        <v>11</v>
      </c>
      <c r="L62" s="4019"/>
      <c r="M62" s="4019"/>
      <c r="N62" s="4020"/>
      <c r="O62" s="4021"/>
      <c r="P62" s="4022"/>
      <c r="Q62" s="2217"/>
      <c r="R62" s="2217"/>
    </row>
    <row r="63" spans="1:20" s="2121" customFormat="1" ht="29.25" customHeight="1">
      <c r="A63" s="4023">
        <v>12</v>
      </c>
      <c r="B63" s="4024"/>
      <c r="C63" s="4024"/>
      <c r="D63" s="4024"/>
      <c r="E63" s="4025"/>
      <c r="F63" s="2223"/>
      <c r="G63" s="4023">
        <v>12</v>
      </c>
      <c r="H63" s="4024"/>
      <c r="I63" s="4025"/>
      <c r="J63" s="2223"/>
      <c r="K63" s="4023">
        <v>12</v>
      </c>
      <c r="L63" s="4024"/>
      <c r="M63" s="4024"/>
      <c r="N63" s="4025"/>
      <c r="O63" s="4026"/>
      <c r="P63" s="4027"/>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6877</v>
      </c>
      <c r="C68" s="2255"/>
      <c r="D68" s="2255"/>
      <c r="E68" s="2255"/>
      <c r="F68" s="2255"/>
      <c r="G68" s="2120" t="s">
        <v>6645</v>
      </c>
      <c r="J68" s="2234" t="str">
        <f>'Part V-Revenues &amp; Expenses'!$O$53</f>
        <v>Income Averaging</v>
      </c>
      <c r="L68" s="2255"/>
      <c r="M68" s="2124">
        <v>2</v>
      </c>
      <c r="N68" s="2214"/>
      <c r="O68" s="2236">
        <f>IF($F$36="New Supply",MIN($M68,O69+O70),0)</f>
        <v>2</v>
      </c>
      <c r="P68" s="2236">
        <f>IF($F$36="New Supply",MIN($M68,P69+P70),0)</f>
        <v>0</v>
      </c>
    </row>
    <row r="69" spans="1:19" s="2121" customFormat="1" ht="15.95" customHeight="1">
      <c r="A69" s="2138"/>
      <c r="B69" s="2332"/>
      <c r="C69" s="2237" t="s">
        <v>3812</v>
      </c>
      <c r="G69" s="2121" t="s">
        <v>3813</v>
      </c>
      <c r="I69" s="2238"/>
      <c r="J69" s="2239">
        <f>'Part V-Revenues &amp; Expenses'!$B$50</f>
        <v>57.777777777777779</v>
      </c>
      <c r="L69" s="2185"/>
      <c r="M69" s="2123">
        <v>2</v>
      </c>
      <c r="N69" s="2377"/>
      <c r="O69" s="2240">
        <v>2</v>
      </c>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6880</v>
      </c>
      <c r="G72" s="2186" t="s">
        <v>6845</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1"/>
      <c r="B74" s="3872"/>
      <c r="C74" s="3872"/>
      <c r="D74" s="3872"/>
      <c r="E74" s="3872"/>
      <c r="F74" s="3872"/>
      <c r="G74" s="3872"/>
      <c r="H74" s="3872"/>
      <c r="I74" s="3872"/>
      <c r="J74" s="3872"/>
      <c r="K74" s="3872"/>
      <c r="L74" s="3872"/>
      <c r="M74" s="3872"/>
      <c r="N74" s="3872"/>
      <c r="O74" s="3872"/>
      <c r="P74" s="3873"/>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36" customHeight="1" thickTop="1" thickBot="1">
      <c r="A81" s="3868" t="s">
        <v>7116</v>
      </c>
      <c r="B81" s="3869"/>
      <c r="C81" s="3869"/>
      <c r="D81" s="3869"/>
      <c r="E81" s="3869"/>
      <c r="F81" s="3869"/>
      <c r="G81" s="3869"/>
      <c r="H81" s="3869"/>
      <c r="I81" s="3869"/>
      <c r="J81" s="3869"/>
      <c r="K81" s="3869"/>
      <c r="L81" s="3869"/>
      <c r="M81" s="3869"/>
      <c r="N81" s="3869"/>
      <c r="O81" s="3869"/>
      <c r="P81" s="3870"/>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1"/>
      <c r="B83" s="3872"/>
      <c r="C83" s="3872"/>
      <c r="D83" s="3872"/>
      <c r="E83" s="3872"/>
      <c r="F83" s="3872"/>
      <c r="G83" s="3872"/>
      <c r="H83" s="3872"/>
      <c r="I83" s="3872"/>
      <c r="J83" s="3872"/>
      <c r="K83" s="3872"/>
      <c r="L83" s="3872"/>
      <c r="M83" s="3872"/>
      <c r="N83" s="3872"/>
      <c r="O83" s="3872"/>
      <c r="P83" s="3873"/>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4017" t="s">
        <v>3215</v>
      </c>
      <c r="G88" s="4017"/>
      <c r="H88" s="4017"/>
      <c r="I88" s="4017"/>
      <c r="J88" s="4017" t="s">
        <v>3216</v>
      </c>
      <c r="K88" s="4017"/>
      <c r="L88" s="4017"/>
      <c r="M88" s="4017"/>
      <c r="N88" s="2254"/>
      <c r="O88" s="3861" t="s">
        <v>6846</v>
      </c>
      <c r="P88" s="3861"/>
      <c r="R88" s="2157"/>
      <c r="S88" s="2275">
        <v>0.5</v>
      </c>
      <c r="T88" s="2275">
        <v>4.5</v>
      </c>
      <c r="U88" s="2267"/>
    </row>
    <row r="89" spans="1:21" ht="15.95" customHeight="1">
      <c r="B89" s="2272"/>
      <c r="C89" s="2420" t="s">
        <v>6847</v>
      </c>
      <c r="F89" s="4009"/>
      <c r="G89" s="4010"/>
      <c r="H89" s="4011"/>
      <c r="I89" s="4012"/>
      <c r="J89" s="4009"/>
      <c r="K89" s="4010"/>
      <c r="L89" s="4011"/>
      <c r="M89" s="4012"/>
      <c r="N89" s="2120"/>
      <c r="O89" s="3862"/>
      <c r="P89" s="3862"/>
      <c r="R89" s="2274" t="s">
        <v>6670</v>
      </c>
      <c r="S89" s="2280">
        <v>1</v>
      </c>
      <c r="T89" s="2280">
        <v>4</v>
      </c>
      <c r="U89" s="2267"/>
    </row>
    <row r="90" spans="1:21" ht="15.95" customHeight="1">
      <c r="A90" s="2272"/>
      <c r="B90" s="2158"/>
      <c r="C90" s="2420" t="s">
        <v>6848</v>
      </c>
      <c r="F90" s="4013"/>
      <c r="G90" s="4014"/>
      <c r="H90" s="4015"/>
      <c r="I90" s="4016"/>
      <c r="J90" s="4013"/>
      <c r="K90" s="4014"/>
      <c r="L90" s="4015"/>
      <c r="M90" s="4016"/>
      <c r="N90" s="2254"/>
      <c r="O90" s="2276"/>
      <c r="P90" s="2277"/>
      <c r="R90" s="2278"/>
      <c r="S90" s="2281">
        <v>0.25</v>
      </c>
      <c r="T90" s="2281">
        <v>3</v>
      </c>
      <c r="U90" s="2267"/>
    </row>
    <row r="91" spans="1:21" ht="15.95" customHeight="1">
      <c r="A91" s="2158"/>
      <c r="B91" s="4006" t="s">
        <v>6886</v>
      </c>
      <c r="C91" s="4006"/>
      <c r="D91" s="4006"/>
      <c r="E91" s="4006"/>
      <c r="F91" s="2139" t="s">
        <v>6849</v>
      </c>
      <c r="G91" s="4008" t="s">
        <v>1672</v>
      </c>
      <c r="H91" s="4008"/>
      <c r="I91" s="4008"/>
      <c r="J91" s="4008" t="s">
        <v>6883</v>
      </c>
      <c r="K91" s="4008"/>
      <c r="L91" s="4008"/>
      <c r="M91" s="4008"/>
      <c r="N91" s="4008"/>
      <c r="O91" s="4008"/>
      <c r="P91" s="4008"/>
      <c r="R91" s="2279"/>
      <c r="S91" s="2275">
        <v>0.5</v>
      </c>
      <c r="T91" s="2275">
        <v>2</v>
      </c>
      <c r="U91" s="2267"/>
    </row>
    <row r="92" spans="1:21" ht="15.95" customHeight="1">
      <c r="A92" s="2158"/>
      <c r="B92" s="3929"/>
      <c r="C92" s="3929"/>
      <c r="D92" s="3929"/>
      <c r="E92" s="3929"/>
      <c r="F92" s="2416"/>
      <c r="G92" s="4007"/>
      <c r="H92" s="4007"/>
      <c r="I92" s="4007"/>
      <c r="J92" s="4007"/>
      <c r="K92" s="4007"/>
      <c r="L92" s="4007"/>
      <c r="M92" s="4007"/>
      <c r="N92" s="4007"/>
      <c r="O92" s="4007"/>
      <c r="P92" s="4007"/>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7" t="s">
        <v>6878</v>
      </c>
      <c r="D95" s="3877"/>
      <c r="E95" s="3877"/>
      <c r="F95" s="3877"/>
      <c r="G95" s="3877"/>
      <c r="H95" s="3877"/>
      <c r="I95" s="3877"/>
      <c r="J95" s="3877"/>
      <c r="K95" s="3877"/>
      <c r="L95" s="3877"/>
      <c r="M95" s="2286">
        <v>6</v>
      </c>
      <c r="N95" s="2413"/>
      <c r="O95" s="2287"/>
      <c r="P95" s="2288"/>
      <c r="S95" s="2305"/>
    </row>
    <row r="96" spans="1:21" s="2157" customFormat="1" ht="15.95" customHeight="1">
      <c r="A96" s="2210" t="s">
        <v>1275</v>
      </c>
      <c r="B96" s="2285" t="s">
        <v>1846</v>
      </c>
      <c r="C96" s="2121" t="s">
        <v>6879</v>
      </c>
      <c r="D96" s="2121"/>
      <c r="E96" s="2121"/>
      <c r="F96" s="2121"/>
      <c r="G96" s="2121"/>
      <c r="H96" s="2121"/>
      <c r="I96" s="2121"/>
      <c r="J96" s="4005"/>
      <c r="K96" s="4005"/>
      <c r="L96" s="4005"/>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7" t="s">
        <v>6884</v>
      </c>
      <c r="D100" s="3877"/>
      <c r="E100" s="3877"/>
      <c r="F100" s="3877"/>
      <c r="G100" s="3877"/>
      <c r="H100" s="3877"/>
      <c r="I100" s="3877"/>
      <c r="J100" s="3877"/>
      <c r="K100" s="3877"/>
      <c r="L100" s="3877"/>
      <c r="M100" s="2286">
        <v>2</v>
      </c>
      <c r="N100" s="2413"/>
      <c r="O100" s="2418">
        <v>2</v>
      </c>
      <c r="P100" s="2419"/>
    </row>
    <row r="101" spans="1:21" ht="15.95" customHeight="1" thickBot="1">
      <c r="A101" s="2121"/>
      <c r="B101" s="2260" t="s">
        <v>3240</v>
      </c>
      <c r="C101" s="2121"/>
      <c r="D101" s="2121"/>
      <c r="E101" s="2121"/>
      <c r="F101" s="2121"/>
      <c r="G101" s="2121"/>
      <c r="H101" s="2121"/>
      <c r="K101" s="2121"/>
      <c r="M101" s="2123"/>
      <c r="O101" s="2133"/>
    </row>
    <row r="102" spans="1:21" ht="35.25" customHeight="1" thickTop="1" thickBot="1">
      <c r="A102" s="3868" t="s">
        <v>7117</v>
      </c>
      <c r="B102" s="3869"/>
      <c r="C102" s="3869"/>
      <c r="D102" s="3869"/>
      <c r="E102" s="3869"/>
      <c r="F102" s="3869"/>
      <c r="G102" s="3869"/>
      <c r="H102" s="3869"/>
      <c r="I102" s="3869"/>
      <c r="J102" s="3869"/>
      <c r="K102" s="3869"/>
      <c r="L102" s="3869"/>
      <c r="M102" s="3869"/>
      <c r="N102" s="3869"/>
      <c r="O102" s="3869"/>
      <c r="P102" s="3870"/>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1"/>
      <c r="B104" s="3872"/>
      <c r="C104" s="3872"/>
      <c r="D104" s="3872"/>
      <c r="E104" s="3872"/>
      <c r="F104" s="3872"/>
      <c r="G104" s="3872"/>
      <c r="H104" s="3872"/>
      <c r="I104" s="3872"/>
      <c r="J104" s="3872"/>
      <c r="K104" s="3872"/>
      <c r="L104" s="3872"/>
      <c r="M104" s="3872"/>
      <c r="N104" s="3872"/>
      <c r="O104" s="3872"/>
      <c r="P104" s="3873"/>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v>1</v>
      </c>
      <c r="P106" s="2447"/>
      <c r="Q106" s="2242" t="str">
        <f>IF(OR($O106&lt;=$M106,$O106=0,$O106=""),"","*CHECK!*")</f>
        <v/>
      </c>
      <c r="R106" s="2303" t="s">
        <v>416</v>
      </c>
      <c r="S106" s="2305"/>
    </row>
    <row r="107" spans="1:21" ht="23.25" customHeight="1">
      <c r="B107" s="2434"/>
      <c r="C107" s="2434"/>
      <c r="D107" s="2434"/>
      <c r="E107" s="2433"/>
      <c r="F107" s="3865" t="s">
        <v>6909</v>
      </c>
      <c r="G107" s="3865"/>
      <c r="H107" s="3865" t="s">
        <v>6910</v>
      </c>
      <c r="I107" s="3865"/>
      <c r="J107" s="3999" t="s">
        <v>6934</v>
      </c>
      <c r="K107" s="4000"/>
      <c r="L107" s="3863" t="s">
        <v>6889</v>
      </c>
      <c r="M107" s="3863"/>
      <c r="N107" s="3863"/>
      <c r="O107" s="3864"/>
      <c r="P107" s="2304"/>
    </row>
    <row r="108" spans="1:21" ht="24.6" customHeight="1">
      <c r="B108" s="2434"/>
      <c r="C108" s="2434"/>
      <c r="D108" s="2434"/>
      <c r="E108" s="2433"/>
      <c r="F108" s="3865"/>
      <c r="G108" s="3865"/>
      <c r="H108" s="3865"/>
      <c r="I108" s="3865"/>
      <c r="J108" s="4001"/>
      <c r="K108" s="4002"/>
      <c r="L108" s="3865"/>
      <c r="M108" s="3865"/>
      <c r="N108" s="3865"/>
      <c r="O108" s="3864"/>
      <c r="P108" s="2304"/>
    </row>
    <row r="109" spans="1:21" ht="15.95" customHeight="1">
      <c r="B109" s="2435" t="s">
        <v>6629</v>
      </c>
      <c r="C109" s="2436"/>
      <c r="D109" s="2433"/>
      <c r="E109" s="2433"/>
      <c r="F109" s="3866"/>
      <c r="G109" s="3866"/>
      <c r="H109" s="3866"/>
      <c r="I109" s="3866"/>
      <c r="J109" s="4003"/>
      <c r="K109" s="4004"/>
      <c r="L109" s="3866"/>
      <c r="M109" s="3866"/>
      <c r="N109" s="3866"/>
      <c r="O109" s="3867"/>
      <c r="P109" s="2304"/>
    </row>
    <row r="110" spans="1:21" ht="15.95" customHeight="1">
      <c r="B110" s="3987" t="s">
        <v>7104</v>
      </c>
      <c r="C110" s="3988"/>
      <c r="D110" s="3988"/>
      <c r="E110" s="3989"/>
      <c r="F110" s="3997" t="s">
        <v>2652</v>
      </c>
      <c r="G110" s="3998"/>
      <c r="H110" s="3997" t="s">
        <v>2652</v>
      </c>
      <c r="I110" s="3998"/>
      <c r="J110" s="3856" t="s">
        <v>2652</v>
      </c>
      <c r="K110" s="3858"/>
      <c r="L110" s="3856" t="s">
        <v>2649</v>
      </c>
      <c r="M110" s="3857"/>
      <c r="N110" s="3857"/>
      <c r="O110" s="3858"/>
      <c r="P110" s="2257"/>
    </row>
    <row r="111" spans="1:21" ht="15.95" customHeight="1">
      <c r="B111" s="3981" t="s">
        <v>7105</v>
      </c>
      <c r="C111" s="3982"/>
      <c r="D111" s="3982"/>
      <c r="E111" s="3983"/>
      <c r="F111" s="3994" t="s">
        <v>2652</v>
      </c>
      <c r="G111" s="3995"/>
      <c r="H111" s="3994" t="s">
        <v>2652</v>
      </c>
      <c r="I111" s="3995"/>
      <c r="J111" s="3853" t="s">
        <v>2649</v>
      </c>
      <c r="K111" s="3855"/>
      <c r="L111" s="3853" t="s">
        <v>2649</v>
      </c>
      <c r="M111" s="3854"/>
      <c r="N111" s="3854"/>
      <c r="O111" s="3855"/>
      <c r="P111" s="2270"/>
    </row>
    <row r="112" spans="1:21" ht="15.95" customHeight="1">
      <c r="B112" s="3981" t="s">
        <v>7106</v>
      </c>
      <c r="C112" s="3982"/>
      <c r="D112" s="3982"/>
      <c r="E112" s="3983"/>
      <c r="F112" s="3994" t="s">
        <v>2652</v>
      </c>
      <c r="G112" s="3995"/>
      <c r="H112" s="3994" t="s">
        <v>2652</v>
      </c>
      <c r="I112" s="3995"/>
      <c r="J112" s="3853" t="s">
        <v>2652</v>
      </c>
      <c r="K112" s="3855"/>
      <c r="L112" s="3853" t="s">
        <v>2649</v>
      </c>
      <c r="M112" s="3854"/>
      <c r="N112" s="3854"/>
      <c r="O112" s="3855"/>
      <c r="P112" s="2270"/>
    </row>
    <row r="113" spans="1:21" ht="15.95" customHeight="1">
      <c r="B113" s="3981"/>
      <c r="C113" s="3982"/>
      <c r="D113" s="3982"/>
      <c r="E113" s="3983"/>
      <c r="F113" s="3994"/>
      <c r="G113" s="3995"/>
      <c r="H113" s="3994"/>
      <c r="I113" s="3995"/>
      <c r="J113" s="3853"/>
      <c r="K113" s="3855"/>
      <c r="L113" s="3853"/>
      <c r="M113" s="3854"/>
      <c r="N113" s="3854"/>
      <c r="O113" s="3855"/>
      <c r="P113" s="2270"/>
    </row>
    <row r="114" spans="1:21" ht="15.95" customHeight="1">
      <c r="B114" s="3981"/>
      <c r="C114" s="3982"/>
      <c r="D114" s="3982"/>
      <c r="E114" s="3983"/>
      <c r="F114" s="3994"/>
      <c r="G114" s="3995"/>
      <c r="H114" s="3994"/>
      <c r="I114" s="3995"/>
      <c r="J114" s="3853"/>
      <c r="K114" s="3855"/>
      <c r="L114" s="3853"/>
      <c r="M114" s="3854"/>
      <c r="N114" s="3854"/>
      <c r="O114" s="3855"/>
      <c r="P114" s="2270"/>
    </row>
    <row r="115" spans="1:21" ht="15.95" customHeight="1">
      <c r="B115" s="3984"/>
      <c r="C115" s="3985"/>
      <c r="D115" s="3985"/>
      <c r="E115" s="3986"/>
      <c r="F115" s="3990"/>
      <c r="G115" s="3991"/>
      <c r="H115" s="3990"/>
      <c r="I115" s="3991"/>
      <c r="J115" s="3992"/>
      <c r="K115" s="3993"/>
      <c r="L115" s="3992"/>
      <c r="M115" s="3996"/>
      <c r="N115" s="3996"/>
      <c r="O115" s="3993"/>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31.5" customHeight="1" thickTop="1" thickBot="1">
      <c r="A117" s="3868" t="s">
        <v>7107</v>
      </c>
      <c r="B117" s="3869"/>
      <c r="C117" s="3869"/>
      <c r="D117" s="3869"/>
      <c r="E117" s="3869"/>
      <c r="F117" s="3869"/>
      <c r="G117" s="3869"/>
      <c r="H117" s="3869"/>
      <c r="I117" s="3869"/>
      <c r="J117" s="3869"/>
      <c r="K117" s="3869"/>
      <c r="L117" s="3869"/>
      <c r="M117" s="3869"/>
      <c r="N117" s="3869"/>
      <c r="O117" s="3869"/>
      <c r="P117" s="3870"/>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1"/>
      <c r="B119" s="3872"/>
      <c r="C119" s="3872"/>
      <c r="D119" s="3872"/>
      <c r="E119" s="3872"/>
      <c r="F119" s="3872"/>
      <c r="G119" s="3872"/>
      <c r="H119" s="3872"/>
      <c r="I119" s="3872"/>
      <c r="J119" s="3872"/>
      <c r="K119" s="3872"/>
      <c r="L119" s="3872"/>
      <c r="M119" s="3872"/>
      <c r="N119" s="3872"/>
      <c r="O119" s="3872"/>
      <c r="P119" s="3873"/>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6887</v>
      </c>
      <c r="D125" s="2157"/>
      <c r="E125" s="2157"/>
      <c r="F125" s="2157"/>
      <c r="G125" s="2157"/>
      <c r="H125" s="2157"/>
      <c r="I125" s="2157"/>
      <c r="J125" s="2157"/>
      <c r="K125" s="2157"/>
      <c r="L125" s="2310"/>
      <c r="M125" s="3987" t="s">
        <v>6852</v>
      </c>
      <c r="N125" s="3988"/>
      <c r="O125" s="3988"/>
      <c r="P125" s="3989"/>
      <c r="S125" s="2118"/>
      <c r="T125" s="2118"/>
      <c r="U125" s="2118"/>
    </row>
    <row r="126" spans="1:21" s="2121" customFormat="1" ht="15.95" customHeight="1">
      <c r="B126" s="2254"/>
      <c r="C126" s="2121" t="s">
        <v>6853</v>
      </c>
      <c r="L126" s="2254"/>
      <c r="M126" s="3981" t="s">
        <v>6852</v>
      </c>
      <c r="N126" s="3982"/>
      <c r="O126" s="3982"/>
      <c r="P126" s="3983"/>
      <c r="S126" s="2118"/>
      <c r="T126" s="2118"/>
      <c r="U126" s="2118"/>
    </row>
    <row r="127" spans="1:21" s="2121" customFormat="1" ht="15.95" customHeight="1">
      <c r="B127" s="2254"/>
      <c r="C127" s="2121" t="s">
        <v>6854</v>
      </c>
      <c r="L127" s="2254"/>
      <c r="M127" s="3981" t="s">
        <v>6852</v>
      </c>
      <c r="N127" s="3982"/>
      <c r="O127" s="3982"/>
      <c r="P127" s="3983"/>
      <c r="Q127" s="2312">
        <f>IF(K127="Yes",1,0)</f>
        <v>0</v>
      </c>
      <c r="S127" s="2118"/>
      <c r="T127" s="2118"/>
      <c r="U127" s="2118"/>
    </row>
    <row r="128" spans="1:21" s="2121" customFormat="1" ht="15.95" customHeight="1">
      <c r="A128" s="2254"/>
      <c r="B128" s="2254"/>
      <c r="C128" s="2121" t="s">
        <v>6855</v>
      </c>
      <c r="L128" s="2254"/>
      <c r="M128" s="3981" t="s">
        <v>6852</v>
      </c>
      <c r="N128" s="3982"/>
      <c r="O128" s="3982"/>
      <c r="P128" s="3983"/>
      <c r="Q128" s="2312">
        <f>IF(K128="Yes",1,0)</f>
        <v>0</v>
      </c>
      <c r="S128" s="2118"/>
      <c r="T128" s="2118"/>
      <c r="U128" s="2118"/>
    </row>
    <row r="129" spans="1:22" s="2121" customFormat="1" ht="15.95" customHeight="1">
      <c r="A129" s="2254"/>
      <c r="B129" s="2254"/>
      <c r="C129" s="2121" t="s">
        <v>6892</v>
      </c>
      <c r="L129" s="2254"/>
      <c r="M129" s="3984" t="s">
        <v>6852</v>
      </c>
      <c r="N129" s="3985"/>
      <c r="O129" s="3985"/>
      <c r="P129" s="3986"/>
      <c r="Q129" s="2312"/>
      <c r="S129" s="2118"/>
      <c r="T129" s="2118"/>
      <c r="U129" s="2118"/>
      <c r="V129" s="2312"/>
    </row>
    <row r="130" spans="1:22" ht="15.95" customHeight="1">
      <c r="A130" s="2311"/>
      <c r="B130" s="2307" t="s">
        <v>1844</v>
      </c>
      <c r="C130" s="2233" t="s">
        <v>6891</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7" t="s">
        <v>6856</v>
      </c>
      <c r="D132" s="3877"/>
      <c r="E132" s="3877"/>
      <c r="F132" s="3877"/>
      <c r="G132" s="3877"/>
      <c r="H132" s="3877"/>
      <c r="I132" s="3877"/>
      <c r="J132" s="3877"/>
      <c r="K132" s="3877"/>
      <c r="L132" s="3877"/>
      <c r="M132" s="2286">
        <v>1</v>
      </c>
      <c r="N132" s="2310"/>
      <c r="O132" s="2314"/>
      <c r="P132" s="2315"/>
      <c r="Q132" s="2242" t="str">
        <f>IF(OR($O132=$M132,$O132=0,$O132=""),"","*CHECK!*")</f>
        <v/>
      </c>
      <c r="R132" s="2305"/>
    </row>
    <row r="133" spans="1:22" ht="30.75" customHeight="1">
      <c r="A133" s="2235"/>
      <c r="B133" s="2310"/>
      <c r="C133" s="3877" t="s">
        <v>6900</v>
      </c>
      <c r="D133" s="3877"/>
      <c r="E133" s="3877"/>
      <c r="F133" s="3877"/>
      <c r="G133" s="3877"/>
      <c r="H133" s="3877"/>
      <c r="I133" s="3877"/>
      <c r="J133" s="3877"/>
      <c r="K133" s="3877"/>
      <c r="L133" s="3877"/>
      <c r="M133" s="2286">
        <v>1</v>
      </c>
      <c r="N133" s="2310"/>
      <c r="O133" s="2316"/>
      <c r="P133" s="2317"/>
      <c r="Q133" s="2242" t="str">
        <f>IF(OR($O133=$M133,$O133=0,$O133=""),"","*CHECK!*")</f>
        <v/>
      </c>
      <c r="R133" s="2305"/>
    </row>
    <row r="134" spans="1:22" ht="15.95" customHeight="1">
      <c r="A134" s="2235"/>
      <c r="B134" s="2230"/>
      <c r="C134" s="2120" t="s">
        <v>6857</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3240</v>
      </c>
      <c r="M136" s="2123"/>
      <c r="N136" s="2123"/>
      <c r="O136" s="2133"/>
      <c r="P136" s="2124"/>
    </row>
    <row r="137" spans="1:22" ht="15.95" customHeight="1" thickTop="1" thickBot="1">
      <c r="A137" s="3868" t="s">
        <v>7067</v>
      </c>
      <c r="B137" s="3869"/>
      <c r="C137" s="3869"/>
      <c r="D137" s="3869"/>
      <c r="E137" s="3869"/>
      <c r="F137" s="3869"/>
      <c r="G137" s="3869"/>
      <c r="H137" s="3869"/>
      <c r="I137" s="3869"/>
      <c r="J137" s="3869"/>
      <c r="K137" s="3869"/>
      <c r="L137" s="3869"/>
      <c r="M137" s="3869"/>
      <c r="N137" s="3869"/>
      <c r="O137" s="3869"/>
      <c r="P137" s="3870"/>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1"/>
      <c r="B139" s="3872"/>
      <c r="C139" s="3872"/>
      <c r="D139" s="3872"/>
      <c r="E139" s="3872"/>
      <c r="F139" s="3872"/>
      <c r="G139" s="3872"/>
      <c r="H139" s="3872"/>
      <c r="I139" s="3872"/>
      <c r="J139" s="3872"/>
      <c r="K139" s="3872"/>
      <c r="L139" s="3872"/>
      <c r="M139" s="3872"/>
      <c r="N139" s="3872"/>
      <c r="O139" s="3872"/>
      <c r="P139" s="3873"/>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50000000000003" customHeight="1">
      <c r="A145" s="2142"/>
      <c r="B145" s="3942" t="s">
        <v>6899</v>
      </c>
      <c r="C145" s="3942"/>
      <c r="D145" s="3942"/>
      <c r="E145" s="3942"/>
      <c r="F145" s="3942"/>
      <c r="G145" s="3942"/>
      <c r="H145" s="3942"/>
      <c r="I145" s="3942"/>
      <c r="J145" s="3942"/>
      <c r="K145" s="3942"/>
      <c r="L145" s="3942"/>
      <c r="M145" s="3942"/>
      <c r="N145" s="2124"/>
      <c r="O145" s="2325"/>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868" t="s">
        <v>7068</v>
      </c>
      <c r="B147" s="3869"/>
      <c r="C147" s="3869"/>
      <c r="D147" s="3869"/>
      <c r="E147" s="3869"/>
      <c r="F147" s="3869"/>
      <c r="G147" s="3869"/>
      <c r="H147" s="3869"/>
      <c r="I147" s="3869"/>
      <c r="J147" s="3869"/>
      <c r="K147" s="3869"/>
      <c r="L147" s="3869"/>
      <c r="M147" s="3869"/>
      <c r="N147" s="3869"/>
      <c r="O147" s="3869"/>
      <c r="P147" s="3870"/>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1"/>
      <c r="B149" s="3872"/>
      <c r="C149" s="3872"/>
      <c r="D149" s="3872"/>
      <c r="E149" s="3872"/>
      <c r="F149" s="3872"/>
      <c r="G149" s="3872"/>
      <c r="H149" s="3872"/>
      <c r="I149" s="3872"/>
      <c r="J149" s="3872"/>
      <c r="K149" s="3872"/>
      <c r="L149" s="3872"/>
      <c r="M149" s="3872"/>
      <c r="N149" s="3872"/>
      <c r="O149" s="3872"/>
      <c r="P149" s="3873"/>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7</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v>5</v>
      </c>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73" t="s">
        <v>7069</v>
      </c>
      <c r="K154" s="3974"/>
      <c r="L154" s="3975" t="s">
        <v>3204</v>
      </c>
      <c r="M154" s="3976"/>
      <c r="N154" s="2123"/>
      <c r="R154" s="2203"/>
      <c r="S154" s="2121"/>
    </row>
    <row r="155" spans="1:27" ht="15.95" customHeight="1">
      <c r="C155" s="2331" t="s">
        <v>6893</v>
      </c>
      <c r="J155" s="3977"/>
      <c r="K155" s="3978"/>
      <c r="L155" s="3978"/>
      <c r="M155" s="3979"/>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v>2</v>
      </c>
      <c r="P157" s="2309"/>
      <c r="Q157" s="2242" t="str">
        <f>IF(O157&lt;=M157,"","*CHECK!*")</f>
        <v/>
      </c>
      <c r="R157" s="2305"/>
      <c r="S157" s="2118"/>
      <c r="T157" s="2118"/>
      <c r="U157" s="2118"/>
    </row>
    <row r="158" spans="1:27" ht="15.95" customHeight="1">
      <c r="C158" s="2333" t="s">
        <v>6219</v>
      </c>
      <c r="E158" s="3980" t="s">
        <v>6218</v>
      </c>
      <c r="F158" s="3980"/>
      <c r="G158" s="3980"/>
      <c r="H158" s="3980"/>
      <c r="I158" s="2139" t="s">
        <v>6894</v>
      </c>
      <c r="J158" s="3980" t="s">
        <v>6218</v>
      </c>
      <c r="K158" s="3980"/>
      <c r="L158" s="3980"/>
      <c r="M158" s="3980"/>
      <c r="N158" s="2120"/>
      <c r="O158" s="2120"/>
      <c r="P158" s="2120"/>
    </row>
    <row r="159" spans="1:27" ht="15.95" customHeight="1">
      <c r="C159" s="2121" t="s">
        <v>6217</v>
      </c>
      <c r="E159" s="3967" t="s">
        <v>7119</v>
      </c>
      <c r="F159" s="3968"/>
      <c r="G159" s="3968"/>
      <c r="H159" s="3969"/>
      <c r="I159" s="2441">
        <v>2021</v>
      </c>
      <c r="J159" s="3970"/>
      <c r="K159" s="3971"/>
      <c r="L159" s="3971"/>
      <c r="M159" s="3972"/>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67" t="s">
        <v>7119</v>
      </c>
      <c r="F160" s="3968"/>
      <c r="G160" s="3968"/>
      <c r="H160" s="3969"/>
      <c r="I160" s="2442">
        <v>2021</v>
      </c>
      <c r="J160" s="3970"/>
      <c r="K160" s="3971"/>
      <c r="L160" s="3971"/>
      <c r="M160" s="3972"/>
      <c r="N160" s="2120"/>
      <c r="Q160" s="2132"/>
      <c r="R160" s="2132"/>
      <c r="S160" s="2132"/>
      <c r="T160" s="2132"/>
      <c r="U160" s="2132"/>
      <c r="V160" s="2132"/>
      <c r="W160" s="2132"/>
      <c r="X160" s="2132"/>
      <c r="Y160" s="2132"/>
      <c r="Z160" s="2132"/>
      <c r="AA160" s="2334"/>
    </row>
    <row r="161" spans="1:27" ht="15.95" customHeight="1">
      <c r="C161" s="2121" t="s">
        <v>6215</v>
      </c>
      <c r="E161" s="3959" t="s">
        <v>7118</v>
      </c>
      <c r="F161" s="3960"/>
      <c r="G161" s="3960"/>
      <c r="H161" s="3961"/>
      <c r="I161" s="2443">
        <v>2021</v>
      </c>
      <c r="J161" s="3962"/>
      <c r="K161" s="3963"/>
      <c r="L161" s="3963"/>
      <c r="M161" s="3964"/>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33.75" customHeight="1" thickTop="1" thickBot="1">
      <c r="A165" s="3868" t="s">
        <v>7120</v>
      </c>
      <c r="B165" s="3869"/>
      <c r="C165" s="3869"/>
      <c r="D165" s="3869"/>
      <c r="E165" s="3869"/>
      <c r="F165" s="3869"/>
      <c r="G165" s="3869"/>
      <c r="H165" s="3869"/>
      <c r="I165" s="3869"/>
      <c r="J165" s="3869"/>
      <c r="K165" s="3869"/>
      <c r="L165" s="3869"/>
      <c r="M165" s="3869"/>
      <c r="N165" s="3869"/>
      <c r="O165" s="3869"/>
      <c r="P165" s="3870"/>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1"/>
      <c r="B168" s="3872"/>
      <c r="C168" s="3872"/>
      <c r="D168" s="3872"/>
      <c r="E168" s="3872"/>
      <c r="F168" s="3872"/>
      <c r="G168" s="3872"/>
      <c r="H168" s="3872"/>
      <c r="I168" s="3872"/>
      <c r="J168" s="3872"/>
      <c r="K168" s="3872"/>
      <c r="L168" s="3872"/>
      <c r="M168" s="3872"/>
      <c r="N168" s="3872"/>
      <c r="O168" s="3872"/>
      <c r="P168" s="3873"/>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v>
      </c>
      <c r="K171" s="3965" t="str">
        <f>'Part V-Revenues &amp; Expenses'!$O$53</f>
        <v>Income Averaging</v>
      </c>
      <c r="L171" s="3966"/>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v>1</v>
      </c>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1"/>
      <c r="B176" s="3872"/>
      <c r="C176" s="3872"/>
      <c r="D176" s="3872"/>
      <c r="E176" s="3872"/>
      <c r="F176" s="3872"/>
      <c r="G176" s="3872"/>
      <c r="H176" s="3872"/>
      <c r="I176" s="3872"/>
      <c r="J176" s="3872"/>
      <c r="K176" s="3872"/>
      <c r="L176" s="3872"/>
      <c r="M176" s="3872"/>
      <c r="N176" s="3872"/>
      <c r="O176" s="3872"/>
      <c r="P176" s="3873"/>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57"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3957"/>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8" t="s">
        <v>7070</v>
      </c>
      <c r="B184" s="3869"/>
      <c r="C184" s="3869"/>
      <c r="D184" s="3869"/>
      <c r="E184" s="3869"/>
      <c r="F184" s="3869"/>
      <c r="G184" s="3869"/>
      <c r="H184" s="3869"/>
      <c r="I184" s="3869"/>
      <c r="J184" s="3869"/>
      <c r="K184" s="3869"/>
      <c r="L184" s="3869"/>
      <c r="M184" s="3869"/>
      <c r="N184" s="3869"/>
      <c r="O184" s="3869"/>
      <c r="P184" s="3870"/>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1"/>
      <c r="B186" s="3872"/>
      <c r="C186" s="3872"/>
      <c r="D186" s="3872"/>
      <c r="E186" s="3872"/>
      <c r="F186" s="3872"/>
      <c r="G186" s="3872"/>
      <c r="H186" s="3872"/>
      <c r="I186" s="3872"/>
      <c r="J186" s="3872"/>
      <c r="K186" s="3872"/>
      <c r="L186" s="3872"/>
      <c r="M186" s="3872"/>
      <c r="N186" s="3872"/>
      <c r="O186" s="3872"/>
      <c r="P186" s="3873"/>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6858</v>
      </c>
      <c r="H190" s="3849" t="s">
        <v>574</v>
      </c>
      <c r="I190" s="3849"/>
      <c r="J190" s="3849"/>
      <c r="K190" s="3958" t="s">
        <v>6930</v>
      </c>
      <c r="L190" s="3958"/>
      <c r="M190" s="3958"/>
      <c r="N190" s="2310"/>
      <c r="O190" s="2346"/>
      <c r="P190" s="2347"/>
      <c r="Q190" s="2348"/>
      <c r="R190" s="2158"/>
      <c r="S190" s="2158"/>
      <c r="T190" s="2158"/>
      <c r="W190" s="2158"/>
      <c r="X190" s="2158"/>
      <c r="Y190" s="2158"/>
      <c r="Z190" s="2158"/>
      <c r="AA190" s="2158"/>
    </row>
    <row r="191" spans="1:27" ht="15.95" customHeight="1">
      <c r="A191" s="2285"/>
      <c r="B191" s="2285"/>
      <c r="D191" s="2186" t="s">
        <v>6257</v>
      </c>
      <c r="G191" s="2349"/>
      <c r="H191" s="3954"/>
      <c r="I191" s="3955"/>
      <c r="J191" s="3956"/>
      <c r="K191" s="3950"/>
      <c r="L191" s="3950"/>
      <c r="M191" s="3950"/>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3951"/>
      <c r="I192" s="3952"/>
      <c r="J192" s="3953"/>
      <c r="K192" s="3949"/>
      <c r="L192" s="3949"/>
      <c r="M192" s="3949"/>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28.5" customHeight="1" thickTop="1" thickBot="1">
      <c r="A195" s="3868" t="s">
        <v>7121</v>
      </c>
      <c r="B195" s="3869"/>
      <c r="C195" s="3869"/>
      <c r="D195" s="3869"/>
      <c r="E195" s="3869"/>
      <c r="F195" s="3869"/>
      <c r="G195" s="3869"/>
      <c r="H195" s="3869"/>
      <c r="I195" s="3869"/>
      <c r="J195" s="3869"/>
      <c r="K195" s="3869"/>
      <c r="L195" s="3869"/>
      <c r="M195" s="3869"/>
      <c r="N195" s="3869"/>
      <c r="O195" s="3869"/>
      <c r="P195" s="3870"/>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1"/>
      <c r="B197" s="3872"/>
      <c r="C197" s="3872"/>
      <c r="D197" s="3872"/>
      <c r="E197" s="3872"/>
      <c r="F197" s="3872"/>
      <c r="G197" s="3872"/>
      <c r="H197" s="3872"/>
      <c r="I197" s="3872"/>
      <c r="J197" s="3872"/>
      <c r="K197" s="3872"/>
      <c r="L197" s="3872"/>
      <c r="M197" s="3872"/>
      <c r="N197" s="3872"/>
      <c r="O197" s="3872"/>
      <c r="P197" s="3873"/>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6938</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6936</v>
      </c>
      <c r="M202" s="2123">
        <v>3</v>
      </c>
      <c r="N202" s="2254"/>
      <c r="O202" s="2240"/>
      <c r="P202" s="2241"/>
      <c r="Q202" s="2320" t="str">
        <f>IF(OR($O202=$M202,$O202=$M202-1,$O202=0,$O202=""),"","*CHECK!*")</f>
        <v/>
      </c>
      <c r="R202" s="2305"/>
    </row>
    <row r="203" spans="1:24" ht="15.95" customHeight="1">
      <c r="A203" s="2138" t="s">
        <v>698</v>
      </c>
      <c r="B203" s="2131" t="s">
        <v>6937</v>
      </c>
      <c r="G203" s="2226" t="s">
        <v>6229</v>
      </c>
      <c r="I203" s="2282"/>
      <c r="L203" s="2118"/>
      <c r="M203" s="2123">
        <v>3</v>
      </c>
      <c r="N203" s="2254"/>
      <c r="O203" s="2243">
        <v>3</v>
      </c>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15.95" customHeight="1" thickTop="1" thickBot="1">
      <c r="A205" s="3868" t="s">
        <v>7122</v>
      </c>
      <c r="B205" s="3869"/>
      <c r="C205" s="3869"/>
      <c r="D205" s="3869"/>
      <c r="E205" s="3869"/>
      <c r="F205" s="3869"/>
      <c r="G205" s="3869"/>
      <c r="H205" s="3869"/>
      <c r="I205" s="3869"/>
      <c r="J205" s="3869"/>
      <c r="K205" s="3869"/>
      <c r="L205" s="3869"/>
      <c r="M205" s="3869"/>
      <c r="N205" s="3869"/>
      <c r="O205" s="3869"/>
      <c r="P205" s="3870"/>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1"/>
      <c r="B207" s="3872"/>
      <c r="C207" s="3872"/>
      <c r="D207" s="3872"/>
      <c r="E207" s="3872"/>
      <c r="F207" s="3872"/>
      <c r="G207" s="3872"/>
      <c r="H207" s="3872"/>
      <c r="I207" s="3872"/>
      <c r="J207" s="3872"/>
      <c r="K207" s="3872"/>
      <c r="L207" s="3872"/>
      <c r="M207" s="3872"/>
      <c r="N207" s="3872"/>
      <c r="O207" s="3872"/>
      <c r="P207" s="3873"/>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t="s">
        <v>7045</v>
      </c>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t="s">
        <v>7045</v>
      </c>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2" t="s">
        <v>6895</v>
      </c>
      <c r="C216" s="3942"/>
      <c r="D216" s="3942"/>
      <c r="E216" s="3942"/>
      <c r="F216" s="3942"/>
      <c r="G216" s="3942"/>
      <c r="H216" s="3942"/>
      <c r="I216" s="3942"/>
      <c r="J216" s="3942"/>
      <c r="K216" s="3942"/>
      <c r="L216" s="3942"/>
      <c r="M216" s="2123"/>
      <c r="N216" s="2254"/>
      <c r="O216" s="2358" t="s">
        <v>2652</v>
      </c>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7" t="s">
        <v>6939</v>
      </c>
      <c r="C218" s="3877"/>
      <c r="D218" s="3877"/>
      <c r="E218" s="3877"/>
      <c r="F218" s="3877"/>
      <c r="G218" s="3877"/>
      <c r="H218" s="3877"/>
      <c r="I218" s="3877"/>
      <c r="J218" s="3877"/>
      <c r="K218" s="3877"/>
      <c r="L218" s="3877"/>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1"/>
      <c r="B220" s="3872"/>
      <c r="C220" s="3872"/>
      <c r="D220" s="3872"/>
      <c r="E220" s="3872"/>
      <c r="F220" s="3872"/>
      <c r="G220" s="3872"/>
      <c r="H220" s="3872"/>
      <c r="I220" s="3872"/>
      <c r="J220" s="3872"/>
      <c r="K220" s="3872"/>
      <c r="L220" s="3872"/>
      <c r="M220" s="3872"/>
      <c r="N220" s="3872"/>
      <c r="O220" s="3872"/>
      <c r="P220" s="3873"/>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6859</v>
      </c>
      <c r="D224" s="2184"/>
      <c r="E224" s="2184"/>
      <c r="F224" s="2184"/>
      <c r="G224" s="2184"/>
      <c r="H224" s="2184"/>
      <c r="L224" s="2184"/>
      <c r="M224" s="2139"/>
      <c r="N224" s="2254"/>
      <c r="O224" s="2324" t="s">
        <v>7045</v>
      </c>
      <c r="P224" s="2369"/>
      <c r="Q224" s="2342">
        <f>IF(L224="Yes",1,0)</f>
        <v>0</v>
      </c>
      <c r="R224" s="2118"/>
      <c r="S224" s="2118"/>
      <c r="T224" s="2118"/>
      <c r="U224" s="2118"/>
      <c r="V224" s="2118"/>
    </row>
    <row r="225" spans="1:24" ht="15.75" customHeight="1">
      <c r="B225" s="3932" t="s">
        <v>6896</v>
      </c>
      <c r="C225" s="3932"/>
      <c r="D225" s="3932"/>
      <c r="E225" s="3932"/>
      <c r="F225" s="3932"/>
      <c r="G225" s="3932"/>
      <c r="H225" s="3932"/>
      <c r="I225" s="3932"/>
      <c r="J225" s="3932"/>
      <c r="K225" s="3932"/>
      <c r="L225" s="3932"/>
      <c r="M225" s="2139"/>
      <c r="O225" s="2139"/>
      <c r="P225" s="2139"/>
      <c r="Q225" s="2342"/>
      <c r="R225" s="2118"/>
      <c r="S225" s="2118"/>
      <c r="T225" s="2118"/>
      <c r="U225" s="2118"/>
      <c r="V225" s="2118"/>
    </row>
    <row r="226" spans="1:24" ht="15.95" customHeight="1">
      <c r="B226" s="3892"/>
      <c r="C226" s="3893"/>
      <c r="D226" s="3893"/>
      <c r="E226" s="3893"/>
      <c r="F226" s="3893"/>
      <c r="G226" s="3893"/>
      <c r="H226" s="3893"/>
      <c r="I226" s="3893"/>
      <c r="J226" s="3893"/>
      <c r="K226" s="3893"/>
      <c r="L226" s="3893"/>
      <c r="M226" s="3893"/>
      <c r="N226" s="3893"/>
      <c r="O226" s="3893"/>
      <c r="P226" s="3894"/>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8" t="s">
        <v>7071</v>
      </c>
      <c r="B228" s="3869"/>
      <c r="C228" s="3869"/>
      <c r="D228" s="3869"/>
      <c r="E228" s="3869"/>
      <c r="F228" s="3869"/>
      <c r="G228" s="3869"/>
      <c r="H228" s="3869"/>
      <c r="I228" s="3869"/>
      <c r="J228" s="3869"/>
      <c r="K228" s="3869"/>
      <c r="L228" s="3869"/>
      <c r="M228" s="3869"/>
      <c r="N228" s="3869"/>
      <c r="O228" s="3869"/>
      <c r="P228" s="3870"/>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1"/>
      <c r="B230" s="3872"/>
      <c r="C230" s="3872"/>
      <c r="D230" s="3872"/>
      <c r="E230" s="3872"/>
      <c r="F230" s="3872"/>
      <c r="G230" s="3872"/>
      <c r="H230" s="3872"/>
      <c r="I230" s="3872"/>
      <c r="J230" s="3872"/>
      <c r="K230" s="3872"/>
      <c r="L230" s="3872"/>
      <c r="M230" s="3872"/>
      <c r="N230" s="3872"/>
      <c r="O230" s="3872"/>
      <c r="P230" s="3873"/>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6897</v>
      </c>
      <c r="D234" s="2143"/>
      <c r="E234" s="2143"/>
      <c r="J234" s="2361"/>
      <c r="M234" s="2210"/>
      <c r="O234" s="3943" t="s">
        <v>6898</v>
      </c>
      <c r="P234" s="3943" t="s">
        <v>3150</v>
      </c>
      <c r="Q234" s="2203"/>
      <c r="R234" s="2118"/>
      <c r="S234" s="2118"/>
      <c r="T234" s="2118"/>
      <c r="U234" s="2118"/>
      <c r="V234" s="2118"/>
      <c r="W234" s="2120"/>
      <c r="X234" s="2120"/>
    </row>
    <row r="235" spans="1:24" s="2121" customFormat="1" ht="15.95" customHeight="1">
      <c r="A235" s="2142"/>
      <c r="C235" s="2121" t="s">
        <v>6692</v>
      </c>
      <c r="I235" s="3933"/>
      <c r="J235" s="3934"/>
      <c r="K235" s="3875"/>
      <c r="L235" s="3876"/>
      <c r="M235" s="2210"/>
      <c r="O235" s="3865"/>
      <c r="P235" s="3865"/>
      <c r="Q235" s="2203"/>
      <c r="R235" s="2118"/>
      <c r="S235" s="2118"/>
      <c r="T235" s="2118"/>
      <c r="U235" s="2118"/>
      <c r="V235" s="2118"/>
      <c r="W235" s="2120"/>
      <c r="X235" s="2120"/>
    </row>
    <row r="236" spans="1:24" s="2121" customFormat="1" ht="15.95" customHeight="1">
      <c r="A236" s="2142"/>
      <c r="C236" s="2121" t="s">
        <v>6691</v>
      </c>
      <c r="I236" s="3935"/>
      <c r="J236" s="3936"/>
      <c r="M236" s="2210"/>
      <c r="O236" s="3865"/>
      <c r="P236" s="3865"/>
      <c r="Q236" s="2203"/>
      <c r="R236" s="2118"/>
      <c r="S236" s="2118"/>
      <c r="T236" s="2118"/>
      <c r="U236" s="2118"/>
      <c r="V236" s="2118"/>
      <c r="W236" s="2120"/>
      <c r="X236" s="2120"/>
    </row>
    <row r="237" spans="1:24" s="2121" customFormat="1" ht="15.95" customHeight="1">
      <c r="A237" s="2142"/>
      <c r="C237" s="2121" t="s">
        <v>6693</v>
      </c>
      <c r="I237" s="3940" t="s">
        <v>6694</v>
      </c>
      <c r="J237" s="3941"/>
      <c r="K237" s="3875"/>
      <c r="L237" s="3876"/>
      <c r="M237" s="2210"/>
      <c r="O237" s="3865"/>
      <c r="P237" s="3865"/>
      <c r="Q237" s="2203"/>
      <c r="R237" s="2118"/>
      <c r="S237" s="2118"/>
      <c r="T237" s="2118"/>
      <c r="U237" s="2118"/>
      <c r="V237" s="2118"/>
      <c r="W237" s="2120"/>
      <c r="X237" s="2120"/>
    </row>
    <row r="238" spans="1:24" ht="4.5" customHeight="1">
      <c r="A238" s="2142"/>
      <c r="B238" s="2121"/>
      <c r="H238" s="2131"/>
      <c r="M238" s="2124"/>
      <c r="N238" s="2254"/>
      <c r="O238" s="3866"/>
      <c r="P238" s="3866"/>
      <c r="Q238" s="2203"/>
      <c r="R238" s="2267"/>
      <c r="S238" s="2267"/>
      <c r="T238" s="2267"/>
      <c r="U238" s="2267"/>
    </row>
    <row r="239" spans="1:24" ht="30.75" customHeight="1" thickBot="1">
      <c r="A239" s="2362"/>
      <c r="B239" s="2254"/>
      <c r="C239" s="3942" t="s">
        <v>6860</v>
      </c>
      <c r="D239" s="3942"/>
      <c r="E239" s="3942"/>
      <c r="F239" s="3942"/>
      <c r="G239" s="3942"/>
      <c r="H239" s="3942"/>
      <c r="I239" s="3942"/>
      <c r="J239" s="3942"/>
      <c r="K239" s="3942"/>
      <c r="L239" s="3942"/>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7" t="s">
        <v>6587</v>
      </c>
      <c r="D242" s="3877"/>
      <c r="E242" s="3877"/>
      <c r="F242" s="3877"/>
      <c r="G242" s="3877"/>
      <c r="H242" s="3877"/>
      <c r="I242" s="3877"/>
      <c r="J242" s="3877"/>
      <c r="K242" s="3877"/>
      <c r="L242" s="3877"/>
      <c r="M242" s="3877"/>
      <c r="N242" s="2377"/>
      <c r="O242" s="2256" t="s">
        <v>2649</v>
      </c>
      <c r="P242" s="2257"/>
      <c r="Q242" s="2366"/>
      <c r="R242" s="2367"/>
      <c r="S242" s="2367"/>
      <c r="T242" s="2367"/>
      <c r="U242" s="2367"/>
    </row>
    <row r="243" spans="1:22" s="2157" customFormat="1" ht="29.25" customHeight="1" thickBot="1">
      <c r="A243" s="2365"/>
      <c r="B243" s="2285"/>
      <c r="C243" s="3877" t="s">
        <v>6861</v>
      </c>
      <c r="D243" s="3877"/>
      <c r="E243" s="3877"/>
      <c r="F243" s="3877"/>
      <c r="G243" s="3877"/>
      <c r="H243" s="3877"/>
      <c r="I243" s="3877"/>
      <c r="J243" s="3877"/>
      <c r="K243" s="3877"/>
      <c r="L243" s="3877"/>
      <c r="M243" s="3877"/>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6862</v>
      </c>
      <c r="D245" s="2184"/>
      <c r="L245" s="2184"/>
      <c r="M245" s="2139"/>
      <c r="N245" s="2254"/>
      <c r="O245" s="2256"/>
      <c r="P245" s="2257"/>
      <c r="Q245" s="2364"/>
      <c r="R245" s="2305"/>
      <c r="S245" s="2118"/>
      <c r="T245" s="2118"/>
      <c r="U245" s="2118"/>
      <c r="V245" s="2118"/>
    </row>
    <row r="246" spans="1:22" s="2157" customFormat="1" ht="30" customHeight="1">
      <c r="A246" s="2365"/>
      <c r="B246" s="2285"/>
      <c r="C246" s="3877" t="s">
        <v>6935</v>
      </c>
      <c r="D246" s="3877"/>
      <c r="E246" s="3877"/>
      <c r="F246" s="3877"/>
      <c r="G246" s="3877"/>
      <c r="H246" s="3877"/>
      <c r="I246" s="3877"/>
      <c r="J246" s="3877"/>
      <c r="K246" s="3877"/>
      <c r="L246" s="3877"/>
      <c r="M246" s="3877"/>
      <c r="N246" s="2377"/>
      <c r="O246" s="2325"/>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868" t="s">
        <v>7072</v>
      </c>
      <c r="B248" s="3869"/>
      <c r="C248" s="3869"/>
      <c r="D248" s="3869"/>
      <c r="E248" s="3869"/>
      <c r="F248" s="3869"/>
      <c r="G248" s="3869"/>
      <c r="H248" s="3869"/>
      <c r="I248" s="3869"/>
      <c r="J248" s="3869"/>
      <c r="K248" s="3869"/>
      <c r="L248" s="3869"/>
      <c r="M248" s="3869"/>
      <c r="N248" s="3869"/>
      <c r="O248" s="3869"/>
      <c r="P248" s="3870"/>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1"/>
      <c r="B250" s="3872"/>
      <c r="C250" s="3872"/>
      <c r="D250" s="3872"/>
      <c r="E250" s="3872"/>
      <c r="F250" s="3872"/>
      <c r="G250" s="3872"/>
      <c r="H250" s="3872"/>
      <c r="I250" s="3872"/>
      <c r="J250" s="3872"/>
      <c r="K250" s="3872"/>
      <c r="L250" s="3872"/>
      <c r="M250" s="3872"/>
      <c r="N250" s="3872"/>
      <c r="O250" s="3872"/>
      <c r="P250" s="3873"/>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3937"/>
      <c r="J254" s="3938"/>
      <c r="K254" s="3938"/>
      <c r="L254" s="3939"/>
      <c r="M254" s="2139">
        <v>2</v>
      </c>
      <c r="N254" s="2254"/>
      <c r="O254" s="2314"/>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15.95" customHeight="1" thickTop="1" thickBot="1">
      <c r="A257" s="3868" t="s">
        <v>7073</v>
      </c>
      <c r="B257" s="3869"/>
      <c r="C257" s="3869"/>
      <c r="D257" s="3869"/>
      <c r="E257" s="3869"/>
      <c r="F257" s="3869"/>
      <c r="G257" s="3869"/>
      <c r="H257" s="3869"/>
      <c r="I257" s="3869"/>
      <c r="J257" s="3869"/>
      <c r="K257" s="3869"/>
      <c r="L257" s="3869"/>
      <c r="M257" s="3869"/>
      <c r="N257" s="3869"/>
      <c r="O257" s="3869"/>
      <c r="P257" s="3870"/>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1"/>
      <c r="B259" s="3872"/>
      <c r="C259" s="3872"/>
      <c r="D259" s="3872"/>
      <c r="E259" s="3872"/>
      <c r="F259" s="3872"/>
      <c r="G259" s="3872"/>
      <c r="H259" s="3872"/>
      <c r="I259" s="3872"/>
      <c r="J259" s="3872"/>
      <c r="K259" s="3872"/>
      <c r="L259" s="3872"/>
      <c r="M259" s="3872"/>
      <c r="N259" s="3872"/>
      <c r="O259" s="3872"/>
      <c r="P259" s="3873"/>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6901</v>
      </c>
      <c r="N264" s="2144"/>
      <c r="O264" s="2324"/>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6901</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1"/>
      <c r="B268" s="3872"/>
      <c r="C268" s="3872"/>
      <c r="D268" s="3872"/>
      <c r="E268" s="3872"/>
      <c r="F268" s="3872"/>
      <c r="G268" s="3872"/>
      <c r="H268" s="3872"/>
      <c r="I268" s="3872"/>
      <c r="J268" s="3872"/>
      <c r="K268" s="3872"/>
      <c r="L268" s="3872"/>
      <c r="M268" s="3872"/>
      <c r="N268" s="3872"/>
      <c r="O268" s="3872"/>
      <c r="P268" s="3873"/>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5" customHeight="1">
      <c r="A272" s="2138"/>
      <c r="B272" s="2233" t="s">
        <v>3153</v>
      </c>
      <c r="D272" s="2227"/>
      <c r="E272" s="2227"/>
      <c r="G272" s="2121"/>
      <c r="I272" s="3874" t="s">
        <v>809</v>
      </c>
      <c r="J272" s="3875"/>
      <c r="K272" s="3875"/>
      <c r="L272" s="3876"/>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34.5" customHeight="1" thickTop="1" thickBot="1">
      <c r="A275" s="3868" t="s">
        <v>7123</v>
      </c>
      <c r="B275" s="3869"/>
      <c r="C275" s="3869"/>
      <c r="D275" s="3869"/>
      <c r="E275" s="3869"/>
      <c r="F275" s="3869"/>
      <c r="G275" s="3869"/>
      <c r="H275" s="3869"/>
      <c r="I275" s="3869"/>
      <c r="J275" s="3869"/>
      <c r="K275" s="3869"/>
      <c r="L275" s="3869"/>
      <c r="M275" s="3869"/>
      <c r="N275" s="3869"/>
      <c r="O275" s="3869"/>
      <c r="P275" s="3870"/>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1"/>
      <c r="B277" s="3872"/>
      <c r="C277" s="3872"/>
      <c r="D277" s="3872"/>
      <c r="E277" s="3872"/>
      <c r="F277" s="3872"/>
      <c r="G277" s="3872"/>
      <c r="H277" s="3872"/>
      <c r="I277" s="3872"/>
      <c r="J277" s="3872"/>
      <c r="K277" s="3872"/>
      <c r="L277" s="3872"/>
      <c r="M277" s="3872"/>
      <c r="N277" s="3872"/>
      <c r="O277" s="3872"/>
      <c r="P277" s="3873"/>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3347</v>
      </c>
      <c r="L281" s="2232" t="str">
        <f>IF(O281&lt;=M281,"","* * Check Score! * *")</f>
        <v/>
      </c>
      <c r="M281" s="2123">
        <v>3</v>
      </c>
      <c r="N281" s="2254"/>
      <c r="O281" s="2372"/>
      <c r="P281" s="2373"/>
      <c r="Q281" s="2320" t="str">
        <f>IF(O281&lt;=M281,"","*CHECK!*")</f>
        <v/>
      </c>
      <c r="R281" s="2136"/>
      <c r="S281" s="2136"/>
      <c r="T281" s="2119"/>
    </row>
    <row r="282" spans="1:20" ht="30.95" customHeight="1">
      <c r="A282" s="2313"/>
      <c r="B282" s="3930" t="s">
        <v>6863</v>
      </c>
      <c r="C282" s="3930"/>
      <c r="D282" s="3930"/>
      <c r="E282" s="3930"/>
      <c r="F282" s="3930"/>
      <c r="G282" s="3930"/>
      <c r="H282" s="3930"/>
      <c r="I282" s="3930"/>
      <c r="J282" s="3930"/>
      <c r="K282" s="3930"/>
      <c r="L282" s="3930"/>
      <c r="N282" s="2120"/>
      <c r="O282" s="2374"/>
      <c r="P282" s="2375"/>
      <c r="R282" s="2136"/>
      <c r="S282" s="2136"/>
      <c r="T282" s="2119"/>
    </row>
    <row r="283" spans="1:20" ht="15.95" customHeight="1">
      <c r="A283" s="2313"/>
      <c r="B283" s="2423"/>
      <c r="C283" s="2157"/>
      <c r="D283" s="2157"/>
      <c r="E283" s="2157"/>
      <c r="F283" s="2157"/>
      <c r="G283" s="2157"/>
      <c r="H283" s="2157"/>
      <c r="I283" s="2157"/>
      <c r="J283" s="3931" t="s">
        <v>1848</v>
      </c>
      <c r="K283" s="3931"/>
      <c r="M283" s="3931" t="s">
        <v>1848</v>
      </c>
      <c r="N283" s="3931"/>
      <c r="O283" s="3931"/>
      <c r="P283" s="3931"/>
      <c r="R283" s="2376"/>
      <c r="S283" s="2376"/>
      <c r="T283" s="2119"/>
    </row>
    <row r="284" spans="1:20" ht="15.95" customHeight="1">
      <c r="A284" s="2254"/>
      <c r="B284" s="2377" t="s">
        <v>1844</v>
      </c>
      <c r="C284" s="2121" t="s">
        <v>1388</v>
      </c>
      <c r="I284" s="2254"/>
      <c r="J284" s="3944"/>
      <c r="K284" s="3945"/>
      <c r="L284" s="2254"/>
      <c r="M284" s="3946"/>
      <c r="N284" s="3947"/>
      <c r="O284" s="3947"/>
      <c r="P284" s="3948"/>
      <c r="R284" s="2232"/>
    </row>
    <row r="285" spans="1:20" ht="15.95" customHeight="1">
      <c r="A285" s="2230"/>
      <c r="B285" s="2214" t="s">
        <v>1846</v>
      </c>
      <c r="C285" s="2121" t="s">
        <v>3155</v>
      </c>
      <c r="I285" s="2310"/>
      <c r="J285" s="3878"/>
      <c r="K285" s="3879"/>
      <c r="L285" s="2310"/>
      <c r="M285" s="3880"/>
      <c r="N285" s="3881"/>
      <c r="O285" s="3881"/>
      <c r="P285" s="3882"/>
      <c r="R285" s="2232"/>
    </row>
    <row r="286" spans="1:20" ht="15.95" customHeight="1">
      <c r="B286" s="2377" t="s">
        <v>2332</v>
      </c>
      <c r="C286" s="2121" t="s">
        <v>3953</v>
      </c>
      <c r="I286" s="2254"/>
      <c r="J286" s="3878"/>
      <c r="K286" s="3879"/>
      <c r="L286" s="2254"/>
      <c r="M286" s="3880"/>
      <c r="N286" s="3881"/>
      <c r="O286" s="3881"/>
      <c r="P286" s="3882"/>
      <c r="R286" s="2232"/>
    </row>
    <row r="287" spans="1:20" ht="15.95" customHeight="1">
      <c r="A287" s="2230"/>
      <c r="B287" s="2377" t="s">
        <v>1150</v>
      </c>
      <c r="C287" s="2121" t="s">
        <v>3071</v>
      </c>
      <c r="I287" s="2254"/>
      <c r="J287" s="3878"/>
      <c r="K287" s="3879"/>
      <c r="L287" s="2254"/>
      <c r="M287" s="3880"/>
      <c r="N287" s="3881"/>
      <c r="O287" s="3881"/>
      <c r="P287" s="3882"/>
      <c r="R287" s="2232"/>
    </row>
    <row r="288" spans="1:20" ht="15.95" customHeight="1">
      <c r="A288" s="2254"/>
      <c r="B288" s="2214" t="s">
        <v>1151</v>
      </c>
      <c r="C288" s="2121" t="s">
        <v>2473</v>
      </c>
      <c r="I288" s="2310"/>
      <c r="J288" s="3878"/>
      <c r="K288" s="3879"/>
      <c r="L288" s="2310"/>
      <c r="M288" s="3880"/>
      <c r="N288" s="3881"/>
      <c r="O288" s="3881"/>
      <c r="P288" s="3882"/>
      <c r="R288" s="2232"/>
    </row>
    <row r="289" spans="1:26" ht="15.95" customHeight="1">
      <c r="B289" s="2377" t="s">
        <v>1742</v>
      </c>
      <c r="C289" s="2121" t="s">
        <v>1387</v>
      </c>
      <c r="I289" s="2254"/>
      <c r="J289" s="3878"/>
      <c r="K289" s="3879"/>
      <c r="L289" s="2254"/>
      <c r="M289" s="3880"/>
      <c r="N289" s="3881"/>
      <c r="O289" s="3881"/>
      <c r="P289" s="3882"/>
      <c r="R289" s="2232"/>
    </row>
    <row r="290" spans="1:26" ht="15.95" customHeight="1">
      <c r="B290" s="2377" t="s">
        <v>473</v>
      </c>
      <c r="C290" s="2121" t="s">
        <v>6232</v>
      </c>
      <c r="I290" s="2254"/>
      <c r="J290" s="3878"/>
      <c r="K290" s="3879"/>
      <c r="L290" s="2254"/>
      <c r="M290" s="2378"/>
      <c r="N290" s="2379"/>
      <c r="O290" s="2379"/>
      <c r="P290" s="2380"/>
      <c r="R290" s="2232"/>
    </row>
    <row r="291" spans="1:26" ht="15.95" customHeight="1">
      <c r="A291" s="2230"/>
      <c r="B291" s="2377" t="s">
        <v>474</v>
      </c>
      <c r="C291" s="2121" t="s">
        <v>3154</v>
      </c>
      <c r="I291" s="2254"/>
      <c r="J291" s="3878"/>
      <c r="K291" s="3879"/>
      <c r="L291" s="2254"/>
      <c r="M291" s="3880"/>
      <c r="N291" s="3881"/>
      <c r="O291" s="3881"/>
      <c r="P291" s="3882"/>
      <c r="R291" s="2232"/>
    </row>
    <row r="292" spans="1:26" ht="15.95" customHeight="1">
      <c r="B292" s="2377" t="s">
        <v>3888</v>
      </c>
      <c r="C292" s="2121" t="s">
        <v>6864</v>
      </c>
      <c r="I292" s="2254"/>
      <c r="J292" s="3878"/>
      <c r="K292" s="3879"/>
      <c r="L292" s="2254"/>
      <c r="M292" s="3880"/>
      <c r="N292" s="3881"/>
      <c r="O292" s="3881"/>
      <c r="P292" s="3882"/>
      <c r="R292" s="2232"/>
    </row>
    <row r="293" spans="1:26" ht="15.95" customHeight="1">
      <c r="B293" s="2377" t="s">
        <v>6865</v>
      </c>
      <c r="C293" s="2121" t="s">
        <v>6902</v>
      </c>
      <c r="I293" s="2254"/>
      <c r="J293" s="3878"/>
      <c r="K293" s="3879"/>
      <c r="L293" s="2254"/>
      <c r="M293" s="3880"/>
      <c r="N293" s="3881"/>
      <c r="O293" s="3881"/>
      <c r="P293" s="3882"/>
      <c r="R293" s="2232"/>
    </row>
    <row r="294" spans="1:26" ht="15.95" customHeight="1" thickBot="1">
      <c r="B294" s="2377" t="s">
        <v>6866</v>
      </c>
      <c r="C294" s="2121" t="s">
        <v>6903</v>
      </c>
      <c r="I294" s="2254"/>
      <c r="J294" s="3878"/>
      <c r="K294" s="3879"/>
      <c r="L294" s="2254"/>
      <c r="M294" s="3906"/>
      <c r="N294" s="3907"/>
      <c r="O294" s="3907"/>
      <c r="P294" s="3908"/>
      <c r="R294" s="2232"/>
    </row>
    <row r="295" spans="1:26" ht="15.95" customHeight="1" thickBot="1">
      <c r="B295" s="2121"/>
      <c r="I295" s="2138" t="s">
        <v>2413</v>
      </c>
      <c r="J295" s="3909">
        <f>SUM(J284:K294)</f>
        <v>0</v>
      </c>
      <c r="K295" s="3910"/>
      <c r="M295" s="3909">
        <f>SUM($M284:$M294)</f>
        <v>0</v>
      </c>
      <c r="N295" s="3911"/>
      <c r="O295" s="3911"/>
      <c r="P295" s="3910"/>
      <c r="R295" s="2232"/>
    </row>
    <row r="296" spans="1:26" ht="15.95" customHeight="1">
      <c r="M296" s="2136"/>
      <c r="N296" s="2136"/>
      <c r="O296" s="2120"/>
      <c r="P296" s="2136"/>
      <c r="U296" s="3849" t="s">
        <v>6908</v>
      </c>
      <c r="V296" s="3849"/>
      <c r="W296" s="3849"/>
      <c r="X296" s="3849"/>
      <c r="Y296" s="3849"/>
      <c r="Z296" s="3849"/>
    </row>
    <row r="297" spans="1:26" ht="15.95" customHeight="1">
      <c r="A297" s="2121"/>
      <c r="B297" s="2332"/>
      <c r="C297" s="2227" t="s">
        <v>2412</v>
      </c>
      <c r="D297" s="2255"/>
      <c r="E297" s="2255"/>
      <c r="I297" s="2254" t="s">
        <v>6235</v>
      </c>
      <c r="J297" s="3898">
        <f>'Part V-Revenues &amp; Expenses'!$P$67</f>
        <v>54</v>
      </c>
      <c r="K297" s="3899"/>
      <c r="L297" s="2136"/>
      <c r="M297" s="2136"/>
      <c r="N297" s="2136"/>
      <c r="O297" s="2120"/>
      <c r="P297" s="2136"/>
      <c r="U297" s="2432" t="s">
        <v>6906</v>
      </c>
      <c r="V297" s="2432" t="s">
        <v>6907</v>
      </c>
      <c r="W297" s="2432" t="s">
        <v>6906</v>
      </c>
      <c r="X297" s="2432" t="s">
        <v>6907</v>
      </c>
      <c r="Y297" s="2432" t="s">
        <v>6906</v>
      </c>
      <c r="Z297" s="2432" t="s">
        <v>6907</v>
      </c>
    </row>
    <row r="298" spans="1:26" ht="15.95" customHeight="1">
      <c r="C298" s="2255"/>
      <c r="D298" s="2255"/>
      <c r="E298" s="2255"/>
      <c r="I298" s="2381" t="s">
        <v>6236</v>
      </c>
      <c r="J298" s="3912">
        <f>IF(J297=0,0,J295/J297)</f>
        <v>0</v>
      </c>
      <c r="K298" s="3913"/>
      <c r="M298" s="3914">
        <f>IF(J297=0,0,M295/J297)</f>
        <v>0</v>
      </c>
      <c r="N298" s="3915"/>
      <c r="O298" s="3915"/>
      <c r="P298" s="3916"/>
      <c r="S298" s="2431" t="s">
        <v>6904</v>
      </c>
      <c r="U298" s="2425">
        <v>500000</v>
      </c>
      <c r="V298" s="2426">
        <v>999999.99</v>
      </c>
      <c r="W298" s="2425">
        <v>1000000</v>
      </c>
      <c r="X298" s="2426">
        <v>1999999.99</v>
      </c>
      <c r="Y298" s="2425">
        <v>2000000</v>
      </c>
      <c r="Z298" s="2427"/>
    </row>
    <row r="299" spans="1:26" ht="15.95" customHeight="1">
      <c r="C299" s="2255"/>
      <c r="D299" s="2255"/>
      <c r="E299" s="2255"/>
      <c r="I299" s="2230" t="s">
        <v>6867</v>
      </c>
      <c r="J299" s="3898">
        <f>IF(J295&gt;=$Y$298,$Y$300,IF(J295&gt;=$W$298,$W$300,IF(J295&gt;=$U$298,$U$300,0)))</f>
        <v>0</v>
      </c>
      <c r="K299" s="3899"/>
      <c r="M299" s="3898">
        <f t="shared" ref="M299" si="0">IF(M295&gt;=$Y$298,$Y$300,IF(M295&gt;=$W$298,$W$300,IF(M295&gt;=$U$298,$U$300,0)))</f>
        <v>0</v>
      </c>
      <c r="N299" s="3900"/>
      <c r="O299" s="3900">
        <f t="shared" ref="O299" si="1">IF(O295&gt;=$Y$298,$Y$300,IF(O295&gt;=$W$298,$W$300,IF(O295&gt;=$U$298,$U$300,0)))</f>
        <v>0</v>
      </c>
      <c r="P299" s="3899"/>
      <c r="S299" s="2431" t="s">
        <v>6905</v>
      </c>
      <c r="U299" s="2428">
        <v>10000</v>
      </c>
      <c r="V299" s="2429">
        <v>19999.990000000002</v>
      </c>
      <c r="W299" s="2428">
        <v>20000</v>
      </c>
      <c r="X299" s="2429">
        <v>29999.99</v>
      </c>
      <c r="Y299" s="2428">
        <v>30000</v>
      </c>
      <c r="Z299" s="2430"/>
    </row>
    <row r="300" spans="1:26" ht="15.95" customHeight="1">
      <c r="C300" s="2255"/>
      <c r="D300" s="2255"/>
      <c r="E300" s="2255"/>
      <c r="I300" s="2230" t="s">
        <v>6237</v>
      </c>
      <c r="J300" s="3903">
        <f>IF(J298&gt;=$Y$299,$Y$300,IF(J298&gt;=$W$299,$W$300,IF(J298&gt;=$U$299,$U$300,0)))</f>
        <v>0</v>
      </c>
      <c r="K300" s="3904"/>
      <c r="L300" s="2136"/>
      <c r="M300" s="3903">
        <f>IF(M298&gt;=$Y$299,$Y$300,IF(M298&gt;=$W$299,$W$300,IF(M298&gt;=$U$299,$U$300,0)))</f>
        <v>0</v>
      </c>
      <c r="N300" s="3905"/>
      <c r="O300" s="3905"/>
      <c r="P300" s="3904"/>
      <c r="S300" s="2431" t="s">
        <v>6144</v>
      </c>
      <c r="U300" s="3859">
        <v>1</v>
      </c>
      <c r="V300" s="3860"/>
      <c r="W300" s="3859">
        <v>2</v>
      </c>
      <c r="X300" s="3860"/>
      <c r="Y300" s="3859">
        <v>3</v>
      </c>
      <c r="Z300" s="3860"/>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7" t="s">
        <v>6868</v>
      </c>
      <c r="D303" s="3877"/>
      <c r="E303" s="3877"/>
      <c r="F303" s="3877"/>
      <c r="G303" s="3877"/>
      <c r="H303" s="3877"/>
      <c r="I303" s="3877"/>
      <c r="J303" s="3877"/>
      <c r="K303" s="3877"/>
      <c r="L303" s="3877"/>
      <c r="M303" s="3877"/>
      <c r="N303" s="2413"/>
      <c r="O303" s="2382"/>
      <c r="P303" s="2383"/>
      <c r="V303" s="2355"/>
    </row>
    <row r="304" spans="1:26" ht="15.95" customHeight="1">
      <c r="A304" s="2138"/>
      <c r="B304" s="2313"/>
      <c r="C304" s="2121" t="s">
        <v>6869</v>
      </c>
      <c r="D304" s="2121"/>
      <c r="E304" s="2121"/>
      <c r="F304" s="2121"/>
      <c r="G304" s="2121"/>
      <c r="H304" s="2121"/>
      <c r="I304" s="2121"/>
      <c r="J304" s="2121"/>
      <c r="K304" s="2121"/>
      <c r="M304" s="2121"/>
      <c r="N304" s="2144"/>
      <c r="O304" s="2269"/>
      <c r="P304" s="2270"/>
      <c r="V304" s="2355"/>
    </row>
    <row r="305" spans="1:19" ht="15.95" customHeight="1">
      <c r="B305" s="2313"/>
      <c r="C305" s="2120" t="s">
        <v>6870</v>
      </c>
      <c r="N305" s="2144"/>
      <c r="O305" s="2246"/>
      <c r="P305" s="2247"/>
    </row>
    <row r="306" spans="1:19" ht="15.95" customHeight="1" thickBot="1">
      <c r="B306" s="2260" t="s">
        <v>3240</v>
      </c>
    </row>
    <row r="307" spans="1:19" ht="15.95" customHeight="1" thickTop="1" thickBot="1">
      <c r="A307" s="3868" t="s">
        <v>7074</v>
      </c>
      <c r="B307" s="3869"/>
      <c r="C307" s="3869"/>
      <c r="D307" s="3869"/>
      <c r="E307" s="3869"/>
      <c r="F307" s="3869"/>
      <c r="G307" s="3869"/>
      <c r="H307" s="3869"/>
      <c r="I307" s="3869"/>
      <c r="J307" s="3869"/>
      <c r="K307" s="3869"/>
      <c r="L307" s="3869"/>
      <c r="M307" s="3869"/>
      <c r="N307" s="3869"/>
      <c r="O307" s="3869"/>
      <c r="P307" s="3870"/>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1"/>
      <c r="B309" s="3872"/>
      <c r="C309" s="3872"/>
      <c r="D309" s="3872"/>
      <c r="E309" s="3872"/>
      <c r="F309" s="3872"/>
      <c r="G309" s="3872"/>
      <c r="H309" s="3872"/>
      <c r="I309" s="3872"/>
      <c r="J309" s="3872"/>
      <c r="K309" s="3872"/>
      <c r="L309" s="3872"/>
      <c r="M309" s="3872"/>
      <c r="N309" s="3872"/>
      <c r="O309" s="3872"/>
      <c r="P309" s="3873"/>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4" t="s">
        <v>3885</v>
      </c>
      <c r="H313" s="3875"/>
      <c r="I313" s="3875"/>
      <c r="J313" s="3875"/>
      <c r="K313" s="3875"/>
      <c r="L313" s="3876"/>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3892" t="s">
        <v>3414</v>
      </c>
      <c r="C315" s="3893"/>
      <c r="D315" s="3893"/>
      <c r="E315" s="3893"/>
      <c r="F315" s="3893"/>
      <c r="G315" s="3893"/>
      <c r="H315" s="3893"/>
      <c r="I315" s="3893"/>
      <c r="J315" s="3893"/>
      <c r="K315" s="3893"/>
      <c r="L315" s="3893"/>
      <c r="M315" s="3893"/>
      <c r="N315" s="3893"/>
      <c r="O315" s="3893"/>
      <c r="P315" s="3894"/>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68" t="s">
        <v>7070</v>
      </c>
      <c r="B318" s="3869"/>
      <c r="C318" s="3869"/>
      <c r="D318" s="3869"/>
      <c r="E318" s="3869"/>
      <c r="F318" s="3869"/>
      <c r="G318" s="3869"/>
      <c r="H318" s="3869"/>
      <c r="I318" s="3869"/>
      <c r="J318" s="3869"/>
      <c r="K318" s="3869"/>
      <c r="L318" s="3869"/>
      <c r="M318" s="3869"/>
      <c r="N318" s="3869"/>
      <c r="O318" s="3869"/>
      <c r="P318" s="3870"/>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1"/>
      <c r="B320" s="3872"/>
      <c r="C320" s="3872"/>
      <c r="D320" s="3872"/>
      <c r="E320" s="3872"/>
      <c r="F320" s="3872"/>
      <c r="G320" s="3872"/>
      <c r="H320" s="3872"/>
      <c r="I320" s="3872"/>
      <c r="J320" s="3872"/>
      <c r="K320" s="3872"/>
      <c r="L320" s="3872"/>
      <c r="M320" s="3872"/>
      <c r="N320" s="3872"/>
      <c r="O320" s="3872"/>
      <c r="P320" s="3873"/>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6940</v>
      </c>
      <c r="D326" s="2143"/>
      <c r="E326" s="2143"/>
      <c r="L326" s="2232"/>
      <c r="M326" s="2124"/>
      <c r="N326" s="2123"/>
      <c r="O326" s="2387"/>
      <c r="P326" s="2354"/>
      <c r="Q326" s="2203"/>
    </row>
    <row r="327" spans="1:18" s="2121" customFormat="1" ht="15.95" customHeight="1">
      <c r="A327" s="2124" t="s">
        <v>1843</v>
      </c>
      <c r="B327" s="2131" t="s">
        <v>6941</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1"/>
      <c r="B329" s="3872"/>
      <c r="C329" s="3872"/>
      <c r="D329" s="3872"/>
      <c r="E329" s="3872"/>
      <c r="F329" s="3872"/>
      <c r="G329" s="3872"/>
      <c r="H329" s="3872"/>
      <c r="I329" s="3872"/>
      <c r="J329" s="3872"/>
      <c r="K329" s="3872"/>
      <c r="L329" s="3872"/>
      <c r="M329" s="3872"/>
      <c r="N329" s="3872"/>
      <c r="O329" s="3872"/>
      <c r="P329" s="3873"/>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36" customHeight="1" thickTop="1" thickBot="1">
      <c r="A340" s="3868" t="s">
        <v>7075</v>
      </c>
      <c r="B340" s="3869"/>
      <c r="C340" s="3869"/>
      <c r="D340" s="3869"/>
      <c r="E340" s="3869"/>
      <c r="F340" s="3869"/>
      <c r="G340" s="3869"/>
      <c r="H340" s="3869"/>
      <c r="I340" s="3869"/>
      <c r="J340" s="3869"/>
      <c r="K340" s="3869"/>
      <c r="L340" s="3869"/>
      <c r="M340" s="3869"/>
      <c r="N340" s="3869"/>
      <c r="O340" s="3869"/>
      <c r="P340" s="3870"/>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1"/>
      <c r="B342" s="3872"/>
      <c r="C342" s="3872"/>
      <c r="D342" s="3872"/>
      <c r="E342" s="3872"/>
      <c r="F342" s="3872"/>
      <c r="G342" s="3872"/>
      <c r="H342" s="3872"/>
      <c r="I342" s="3872"/>
      <c r="J342" s="3872"/>
      <c r="K342" s="3872"/>
      <c r="L342" s="3872"/>
      <c r="M342" s="3872"/>
      <c r="N342" s="3872"/>
      <c r="O342" s="3872"/>
      <c r="P342" s="3873"/>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868" t="s">
        <v>7076</v>
      </c>
      <c r="B347" s="3869"/>
      <c r="C347" s="3869"/>
      <c r="D347" s="3869"/>
      <c r="E347" s="3869"/>
      <c r="F347" s="3869"/>
      <c r="G347" s="3869"/>
      <c r="H347" s="3869"/>
      <c r="I347" s="3869"/>
      <c r="J347" s="3869"/>
      <c r="K347" s="3869"/>
      <c r="L347" s="3869"/>
      <c r="M347" s="3869"/>
      <c r="N347" s="3869"/>
      <c r="O347" s="3869"/>
      <c r="P347" s="3870"/>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1"/>
      <c r="B349" s="3872"/>
      <c r="C349" s="3872"/>
      <c r="D349" s="3872"/>
      <c r="E349" s="3872"/>
      <c r="F349" s="3872"/>
      <c r="G349" s="3872"/>
      <c r="H349" s="3872"/>
      <c r="I349" s="3872"/>
      <c r="J349" s="3872"/>
      <c r="K349" s="3872"/>
      <c r="L349" s="3872"/>
      <c r="M349" s="3872"/>
      <c r="N349" s="3872"/>
      <c r="O349" s="3872"/>
      <c r="P349" s="3873"/>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6916</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6871</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1"/>
      <c r="B355" s="3872"/>
      <c r="C355" s="3872"/>
      <c r="D355" s="3872"/>
      <c r="E355" s="3872"/>
      <c r="F355" s="3872"/>
      <c r="G355" s="3872"/>
      <c r="H355" s="3872"/>
      <c r="I355" s="3872"/>
      <c r="J355" s="3872"/>
      <c r="K355" s="3872"/>
      <c r="L355" s="3872"/>
      <c r="M355" s="3872"/>
      <c r="N355" s="3872"/>
      <c r="O355" s="3872"/>
      <c r="P355" s="3873"/>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68" t="s">
        <v>7076</v>
      </c>
      <c r="B360" s="3869"/>
      <c r="C360" s="3869"/>
      <c r="D360" s="3869"/>
      <c r="E360" s="3869"/>
      <c r="F360" s="3869"/>
      <c r="G360" s="3869"/>
      <c r="H360" s="3869"/>
      <c r="I360" s="3869"/>
      <c r="J360" s="3869"/>
      <c r="K360" s="3869"/>
      <c r="L360" s="3869"/>
      <c r="M360" s="3869"/>
      <c r="N360" s="3869"/>
      <c r="O360" s="3869"/>
      <c r="P360" s="3870"/>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1"/>
      <c r="B362" s="3872"/>
      <c r="C362" s="3872"/>
      <c r="D362" s="3872"/>
      <c r="E362" s="3872"/>
      <c r="F362" s="3872"/>
      <c r="G362" s="3872"/>
      <c r="H362" s="3872"/>
      <c r="I362" s="3872"/>
      <c r="J362" s="3872"/>
      <c r="K362" s="3872"/>
      <c r="L362" s="3872"/>
      <c r="M362" s="3872"/>
      <c r="N362" s="3872"/>
      <c r="O362" s="3872"/>
      <c r="P362" s="3873"/>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68" t="s">
        <v>7076</v>
      </c>
      <c r="B369" s="3869"/>
      <c r="C369" s="3869"/>
      <c r="D369" s="3869"/>
      <c r="E369" s="3869"/>
      <c r="F369" s="3869"/>
      <c r="G369" s="3869"/>
      <c r="H369" s="3869"/>
      <c r="I369" s="3869"/>
      <c r="J369" s="3869"/>
      <c r="K369" s="3869"/>
      <c r="L369" s="3869"/>
      <c r="M369" s="3869"/>
      <c r="N369" s="3869"/>
      <c r="O369" s="3869"/>
      <c r="P369" s="3870"/>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1"/>
      <c r="B371" s="3872"/>
      <c r="C371" s="3872"/>
      <c r="D371" s="3872"/>
      <c r="E371" s="3872"/>
      <c r="F371" s="3872"/>
      <c r="G371" s="3872"/>
      <c r="H371" s="3872"/>
      <c r="I371" s="3872"/>
      <c r="J371" s="3872"/>
      <c r="K371" s="3872"/>
      <c r="L371" s="3872"/>
      <c r="M371" s="3872"/>
      <c r="N371" s="3872"/>
      <c r="O371" s="3872"/>
      <c r="P371" s="3873"/>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6931</v>
      </c>
      <c r="E376" s="2121"/>
      <c r="F376" s="2121"/>
      <c r="G376" s="2121" t="s">
        <v>6222</v>
      </c>
      <c r="H376" s="2121"/>
      <c r="I376" s="2121"/>
      <c r="J376" s="2121" t="s">
        <v>575</v>
      </c>
      <c r="L376" s="2139" t="s">
        <v>6932</v>
      </c>
      <c r="M376" s="3849" t="s">
        <v>6942</v>
      </c>
      <c r="N376" s="3849"/>
      <c r="O376" s="3849"/>
      <c r="P376" s="3849"/>
      <c r="Q376" s="2320"/>
    </row>
    <row r="377" spans="1:18" ht="15.95" customHeight="1">
      <c r="A377" s="2121">
        <v>1</v>
      </c>
      <c r="B377" s="3917"/>
      <c r="C377" s="3917"/>
      <c r="D377" s="3917"/>
      <c r="E377" s="3917"/>
      <c r="F377" s="3917"/>
      <c r="G377" s="3917"/>
      <c r="H377" s="3917"/>
      <c r="I377" s="3917"/>
      <c r="J377" s="3917"/>
      <c r="K377" s="3917"/>
      <c r="L377" s="2451"/>
      <c r="M377" s="3846"/>
      <c r="N377" s="3847"/>
      <c r="O377" s="3847"/>
      <c r="P377" s="3848"/>
      <c r="Q377" s="2320"/>
    </row>
    <row r="378" spans="1:18" ht="15.95" customHeight="1">
      <c r="A378" s="2121">
        <v>2</v>
      </c>
      <c r="B378" s="3883"/>
      <c r="C378" s="3883"/>
      <c r="D378" s="3883"/>
      <c r="E378" s="3883"/>
      <c r="F378" s="3883"/>
      <c r="G378" s="3883"/>
      <c r="H378" s="3883"/>
      <c r="I378" s="3883"/>
      <c r="J378" s="3883"/>
      <c r="K378" s="3883"/>
      <c r="L378" s="2452"/>
      <c r="M378" s="3850"/>
      <c r="N378" s="3851"/>
      <c r="O378" s="3851"/>
      <c r="P378" s="3852"/>
      <c r="Q378" s="2320"/>
    </row>
    <row r="379" spans="1:18" ht="15.95" customHeight="1">
      <c r="A379" s="2121">
        <v>3</v>
      </c>
      <c r="B379" s="3883"/>
      <c r="C379" s="3883"/>
      <c r="D379" s="3883"/>
      <c r="E379" s="3883"/>
      <c r="F379" s="3883"/>
      <c r="G379" s="3883"/>
      <c r="H379" s="3883"/>
      <c r="I379" s="3883"/>
      <c r="J379" s="3883"/>
      <c r="K379" s="3883"/>
      <c r="L379" s="2452"/>
      <c r="M379" s="3850"/>
      <c r="N379" s="3851"/>
      <c r="O379" s="3851"/>
      <c r="P379" s="3852"/>
      <c r="Q379" s="2320"/>
    </row>
    <row r="380" spans="1:18" ht="15.95" customHeight="1">
      <c r="A380" s="2121">
        <v>4</v>
      </c>
      <c r="B380" s="3883"/>
      <c r="C380" s="3883"/>
      <c r="D380" s="3883"/>
      <c r="E380" s="3883"/>
      <c r="F380" s="3883"/>
      <c r="G380" s="3883"/>
      <c r="H380" s="3883"/>
      <c r="I380" s="3883"/>
      <c r="J380" s="3883"/>
      <c r="K380" s="3883"/>
      <c r="L380" s="2452"/>
      <c r="M380" s="3850"/>
      <c r="N380" s="3851"/>
      <c r="O380" s="3851"/>
      <c r="P380" s="3852"/>
      <c r="Q380" s="2320"/>
    </row>
    <row r="381" spans="1:18" ht="15.95" customHeight="1">
      <c r="A381" s="2121">
        <v>5</v>
      </c>
      <c r="B381" s="3883"/>
      <c r="C381" s="3883"/>
      <c r="D381" s="3883"/>
      <c r="E381" s="3883"/>
      <c r="F381" s="3883"/>
      <c r="G381" s="3883"/>
      <c r="H381" s="3883"/>
      <c r="I381" s="3883"/>
      <c r="J381" s="3883"/>
      <c r="K381" s="3883"/>
      <c r="L381" s="2452"/>
      <c r="M381" s="3850"/>
      <c r="N381" s="3851"/>
      <c r="O381" s="3851"/>
      <c r="P381" s="3852"/>
      <c r="Q381" s="2320"/>
    </row>
    <row r="382" spans="1:18" ht="15.95" customHeight="1">
      <c r="A382" s="2121">
        <v>6</v>
      </c>
      <c r="B382" s="3883"/>
      <c r="C382" s="3883"/>
      <c r="D382" s="3883"/>
      <c r="E382" s="3883"/>
      <c r="F382" s="3883"/>
      <c r="G382" s="3883"/>
      <c r="H382" s="3883"/>
      <c r="I382" s="3883"/>
      <c r="J382" s="3883"/>
      <c r="K382" s="3883"/>
      <c r="L382" s="2452"/>
      <c r="M382" s="3850"/>
      <c r="N382" s="3851"/>
      <c r="O382" s="3851"/>
      <c r="P382" s="3852"/>
      <c r="Q382" s="2320"/>
    </row>
    <row r="383" spans="1:18" ht="15.95" customHeight="1">
      <c r="A383" s="2121">
        <v>7</v>
      </c>
      <c r="B383" s="3883"/>
      <c r="C383" s="3883"/>
      <c r="D383" s="3883"/>
      <c r="E383" s="3883"/>
      <c r="F383" s="3883"/>
      <c r="G383" s="3883"/>
      <c r="H383" s="3883"/>
      <c r="I383" s="3883"/>
      <c r="J383" s="3883"/>
      <c r="K383" s="3883"/>
      <c r="L383" s="2452"/>
      <c r="M383" s="3850"/>
      <c r="N383" s="3851"/>
      <c r="O383" s="3851"/>
      <c r="P383" s="3852"/>
      <c r="Q383" s="2320"/>
    </row>
    <row r="384" spans="1:18" ht="15.95" customHeight="1">
      <c r="A384" s="2121">
        <v>8</v>
      </c>
      <c r="B384" s="3883"/>
      <c r="C384" s="3883"/>
      <c r="D384" s="3883"/>
      <c r="E384" s="3883"/>
      <c r="F384" s="3883"/>
      <c r="G384" s="3883"/>
      <c r="H384" s="3883"/>
      <c r="I384" s="3883"/>
      <c r="J384" s="3883"/>
      <c r="K384" s="3883"/>
      <c r="L384" s="2452"/>
      <c r="M384" s="3850"/>
      <c r="N384" s="3851"/>
      <c r="O384" s="3851"/>
      <c r="P384" s="3852"/>
      <c r="Q384" s="2320"/>
    </row>
    <row r="385" spans="1:19" ht="14.25">
      <c r="A385" s="2120">
        <v>9</v>
      </c>
      <c r="B385" s="3883"/>
      <c r="C385" s="3883"/>
      <c r="D385" s="3883"/>
      <c r="E385" s="3883"/>
      <c r="F385" s="3883"/>
      <c r="G385" s="3883"/>
      <c r="H385" s="3883"/>
      <c r="I385" s="3883"/>
      <c r="J385" s="3883"/>
      <c r="K385" s="3883"/>
      <c r="L385" s="2452"/>
      <c r="M385" s="3850"/>
      <c r="N385" s="3851"/>
      <c r="O385" s="3851"/>
      <c r="P385" s="3852"/>
    </row>
    <row r="386" spans="1:19" ht="15.95" customHeight="1">
      <c r="A386" s="2121">
        <v>10</v>
      </c>
      <c r="B386" s="4101"/>
      <c r="C386" s="4101"/>
      <c r="D386" s="4101"/>
      <c r="E386" s="4101"/>
      <c r="F386" s="4101"/>
      <c r="G386" s="4101"/>
      <c r="H386" s="4101"/>
      <c r="I386" s="4101"/>
      <c r="J386" s="4101"/>
      <c r="K386" s="4101"/>
      <c r="L386" s="2453"/>
      <c r="M386" s="3895"/>
      <c r="N386" s="3896"/>
      <c r="O386" s="3896"/>
      <c r="P386" s="3897"/>
      <c r="Q386" s="2320"/>
    </row>
    <row r="387" spans="1:19" s="2157" customFormat="1" ht="15.95"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68" t="s">
        <v>7076</v>
      </c>
      <c r="B389" s="3869"/>
      <c r="C389" s="3869"/>
      <c r="D389" s="3869"/>
      <c r="E389" s="3869"/>
      <c r="F389" s="3869"/>
      <c r="G389" s="3869"/>
      <c r="H389" s="3869"/>
      <c r="I389" s="3869"/>
      <c r="J389" s="3869"/>
      <c r="K389" s="3869"/>
      <c r="L389" s="3869"/>
      <c r="M389" s="3869"/>
      <c r="N389" s="3869"/>
      <c r="O389" s="3869"/>
      <c r="P389" s="3870"/>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1"/>
      <c r="B391" s="3872"/>
      <c r="C391" s="3872"/>
      <c r="D391" s="3872"/>
      <c r="E391" s="3872"/>
      <c r="F391" s="3872"/>
      <c r="G391" s="3872"/>
      <c r="H391" s="3872"/>
      <c r="I391" s="3872"/>
      <c r="J391" s="3872"/>
      <c r="K391" s="3872"/>
      <c r="L391" s="3872"/>
      <c r="M391" s="3872"/>
      <c r="N391" s="3872"/>
      <c r="O391" s="3872"/>
      <c r="P391" s="3873"/>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6924</v>
      </c>
      <c r="Q395" s="2320" t="str">
        <f>IF(OR($O395=$M395,$O395=0,$O395=""),"","*CHECK!*")</f>
        <v/>
      </c>
      <c r="R395" s="2305"/>
    </row>
    <row r="396" spans="1:19" ht="147" customHeight="1">
      <c r="A396" s="2345"/>
      <c r="B396" s="3892" t="s">
        <v>7077</v>
      </c>
      <c r="C396" s="3893"/>
      <c r="D396" s="3893"/>
      <c r="E396" s="3893"/>
      <c r="F396" s="3893"/>
      <c r="G396" s="3893"/>
      <c r="H396" s="3893"/>
      <c r="I396" s="3893"/>
      <c r="J396" s="3893"/>
      <c r="K396" s="3893"/>
      <c r="L396" s="3893"/>
      <c r="M396" s="3893"/>
      <c r="N396" s="3893"/>
      <c r="O396" s="3893"/>
      <c r="P396" s="3894"/>
      <c r="Q396" s="2252"/>
      <c r="R396" s="2209"/>
      <c r="S396" s="2209"/>
    </row>
    <row r="397" spans="1:19" s="2157" customFormat="1" ht="15.95" customHeight="1">
      <c r="A397" s="2385" t="s">
        <v>1843</v>
      </c>
      <c r="B397" s="2289" t="s">
        <v>6925</v>
      </c>
      <c r="Q397" s="2320" t="str">
        <f>IF(OR($O397=$M397,$O397=0,$O397=""),"","*CHECK!*")</f>
        <v/>
      </c>
      <c r="R397" s="2305"/>
    </row>
    <row r="398" spans="1:19" ht="147" customHeight="1">
      <c r="A398" s="2345"/>
      <c r="B398" s="3892" t="s">
        <v>7078</v>
      </c>
      <c r="C398" s="3893"/>
      <c r="D398" s="3893"/>
      <c r="E398" s="3893"/>
      <c r="F398" s="3893"/>
      <c r="G398" s="3893"/>
      <c r="H398" s="3893"/>
      <c r="I398" s="3893"/>
      <c r="J398" s="3893"/>
      <c r="K398" s="3893"/>
      <c r="L398" s="3893"/>
      <c r="M398" s="3893"/>
      <c r="N398" s="3893"/>
      <c r="O398" s="3893"/>
      <c r="P398" s="3894"/>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36.75" customHeight="1" thickTop="1" thickBot="1">
      <c r="A400" s="3868" t="s">
        <v>7080</v>
      </c>
      <c r="B400" s="3869"/>
      <c r="C400" s="3869"/>
      <c r="D400" s="3869"/>
      <c r="E400" s="3869"/>
      <c r="F400" s="3869"/>
      <c r="G400" s="3869"/>
      <c r="H400" s="3869"/>
      <c r="I400" s="3869"/>
      <c r="J400" s="3869"/>
      <c r="K400" s="3869"/>
      <c r="L400" s="3869"/>
      <c r="M400" s="3869"/>
      <c r="N400" s="3869"/>
      <c r="O400" s="3869"/>
      <c r="P400" s="3870"/>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1"/>
      <c r="B402" s="3872"/>
      <c r="C402" s="3872"/>
      <c r="D402" s="3872"/>
      <c r="E402" s="3872"/>
      <c r="F402" s="3872"/>
      <c r="G402" s="3872"/>
      <c r="H402" s="3872"/>
      <c r="I402" s="3872"/>
      <c r="J402" s="3872"/>
      <c r="K402" s="3872"/>
      <c r="L402" s="3872"/>
      <c r="M402" s="3872"/>
      <c r="N402" s="3872"/>
      <c r="O402" s="3872"/>
      <c r="P402" s="3873"/>
      <c r="Q402" s="2252"/>
    </row>
    <row r="403" spans="1:66" ht="15.95" customHeight="1" thickBot="1">
      <c r="Q403" s="3901" t="s">
        <v>6948</v>
      </c>
      <c r="R403" s="3901"/>
      <c r="S403" s="3901"/>
      <c r="T403" s="3901"/>
      <c r="U403" s="3901"/>
      <c r="V403" s="3901"/>
      <c r="W403" s="3901"/>
      <c r="X403" s="3901"/>
      <c r="Y403" s="3901"/>
      <c r="Z403" s="3901"/>
      <c r="AA403" s="3901"/>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69</v>
      </c>
      <c r="P404" s="2135">
        <f>IF(AND($O$36="4%",($D$36-$A$36)&gt;0),((-P10+P40+P66+P77+P86+P106+P122+P142+P152+P171+P179+P189+P200+P210+P223+P233+P253+P262+P271+P280+P312+P323+P332+P345+P352+P358+P365+P374)-($D$36-$A$36)),-P10+P40+P66+P77+P86+P106+P122+P142+P152+P171+P179+P189+P200+P210+P223+P233+P253+P262+P271+P280+P312+P323+P332+P345+P352+P358+P365+P374)</f>
        <v>22</v>
      </c>
      <c r="Q404" s="3901"/>
      <c r="R404" s="3901"/>
      <c r="S404" s="3901"/>
      <c r="T404" s="3901"/>
      <c r="U404" s="3901"/>
      <c r="V404" s="3901"/>
      <c r="W404" s="3901"/>
      <c r="X404" s="3901"/>
      <c r="Y404" s="3901"/>
      <c r="Z404" s="3901"/>
      <c r="AA404" s="3901"/>
    </row>
    <row r="405" spans="1:66" ht="7.5" customHeight="1" thickTop="1">
      <c r="A405" s="2121"/>
      <c r="C405" s="2161"/>
      <c r="D405" s="2161"/>
      <c r="E405" s="2161"/>
      <c r="F405" s="2161"/>
      <c r="G405" s="2161"/>
      <c r="H405" s="2161"/>
      <c r="I405" s="2161"/>
      <c r="J405" s="2161"/>
      <c r="K405" s="2161"/>
      <c r="L405" s="2161"/>
      <c r="M405" s="2161"/>
      <c r="N405" s="2161"/>
      <c r="O405" s="2161"/>
      <c r="P405" s="2161"/>
      <c r="Q405" s="3901"/>
      <c r="R405" s="3901"/>
      <c r="S405" s="3901"/>
      <c r="T405" s="3901"/>
      <c r="U405" s="3901"/>
      <c r="V405" s="3901"/>
      <c r="W405" s="3901"/>
      <c r="X405" s="3901"/>
      <c r="Y405" s="3901"/>
      <c r="Z405" s="3901"/>
      <c r="AA405" s="3901"/>
    </row>
    <row r="406" spans="1:66" ht="7.5" customHeight="1">
      <c r="F406" s="2226"/>
      <c r="G406" s="2226"/>
      <c r="H406" s="2124"/>
      <c r="I406" s="2124"/>
      <c r="N406" s="2124"/>
      <c r="O406" s="2124"/>
      <c r="P406" s="2133"/>
      <c r="Q406" s="3901"/>
      <c r="R406" s="3901"/>
      <c r="S406" s="3901"/>
      <c r="T406" s="3901"/>
      <c r="U406" s="3901"/>
      <c r="V406" s="3901"/>
      <c r="W406" s="3901"/>
      <c r="X406" s="3901"/>
      <c r="Y406" s="3901"/>
      <c r="Z406" s="3901"/>
      <c r="AA406" s="3901"/>
    </row>
    <row r="407" spans="1:66" ht="45.6" customHeight="1">
      <c r="A407" s="3902" t="s">
        <v>6872</v>
      </c>
      <c r="B407" s="3902"/>
      <c r="C407" s="3902"/>
      <c r="D407" s="3902"/>
      <c r="E407" s="3902"/>
      <c r="F407" s="3902"/>
      <c r="G407" s="3902"/>
      <c r="H407" s="3902"/>
      <c r="I407" s="3902"/>
      <c r="J407" s="3902"/>
      <c r="K407" s="3902"/>
      <c r="L407" s="3902"/>
      <c r="M407" s="3902"/>
      <c r="N407" s="3902"/>
      <c r="O407" s="3902"/>
      <c r="P407" s="3902"/>
      <c r="Q407" s="3901"/>
      <c r="R407" s="3901"/>
      <c r="S407" s="3901"/>
      <c r="T407" s="3901"/>
      <c r="U407" s="3901"/>
      <c r="V407" s="3901"/>
      <c r="W407" s="3901"/>
      <c r="X407" s="3901"/>
      <c r="Y407" s="3901"/>
      <c r="Z407" s="3901"/>
      <c r="AA407" s="3901"/>
    </row>
    <row r="408" spans="1:66" ht="409.15" customHeight="1">
      <c r="A408" s="3892" t="s">
        <v>7079</v>
      </c>
      <c r="B408" s="3893"/>
      <c r="C408" s="3893"/>
      <c r="D408" s="3893"/>
      <c r="E408" s="3893"/>
      <c r="F408" s="3893"/>
      <c r="G408" s="3893"/>
      <c r="H408" s="3893"/>
      <c r="I408" s="3893"/>
      <c r="J408" s="3893"/>
      <c r="K408" s="3893"/>
      <c r="L408" s="3893"/>
      <c r="M408" s="3893"/>
      <c r="N408" s="3893"/>
      <c r="O408" s="3893"/>
      <c r="P408" s="3894"/>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1" t="s">
        <v>6562</v>
      </c>
      <c r="BC415" s="3891"/>
      <c r="BD415" s="3891"/>
      <c r="BE415" s="3891"/>
      <c r="BF415" s="3891"/>
      <c r="BG415" s="3891"/>
      <c r="BH415" s="3891"/>
      <c r="BI415" s="3891"/>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7" t="s">
        <v>6563</v>
      </c>
      <c r="AZ416" s="3888"/>
      <c r="BA416" s="3888"/>
      <c r="BB416" s="3888"/>
      <c r="BC416" s="3888"/>
      <c r="BD416" s="3888"/>
      <c r="BE416" s="3889"/>
      <c r="BF416" s="3887" t="s">
        <v>6564</v>
      </c>
      <c r="BG416" s="3888"/>
      <c r="BH416" s="3888"/>
      <c r="BI416" s="3888"/>
      <c r="BJ416" s="3888"/>
      <c r="BK416" s="3888"/>
      <c r="BL416" s="3889"/>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40" t="s">
        <v>6124</v>
      </c>
      <c r="AH418" s="4041"/>
      <c r="AI418" s="3884" t="s">
        <v>6505</v>
      </c>
      <c r="AJ418" s="3885"/>
      <c r="AK418" s="3885"/>
      <c r="AL418" s="3885"/>
      <c r="AM418" s="3886"/>
      <c r="AN418" s="4042" t="s">
        <v>6137</v>
      </c>
      <c r="AO418" s="4042"/>
      <c r="AP418" s="4042"/>
      <c r="AQ418" s="4042"/>
      <c r="AR418" s="2397"/>
      <c r="AS418" s="2466"/>
      <c r="AT418" s="2465" t="s">
        <v>6136</v>
      </c>
      <c r="AU418" s="2466"/>
      <c r="AV418" s="2466"/>
      <c r="AW418" s="2466"/>
      <c r="AX418" s="2397"/>
      <c r="AY418" s="3884" t="s">
        <v>6124</v>
      </c>
      <c r="AZ418" s="3886"/>
      <c r="BA418" s="3884" t="s">
        <v>6505</v>
      </c>
      <c r="BB418" s="3885"/>
      <c r="BC418" s="3885"/>
      <c r="BD418" s="3885"/>
      <c r="BE418" s="3886"/>
      <c r="BF418" s="3890" t="s">
        <v>6124</v>
      </c>
      <c r="BG418" s="3890"/>
      <c r="BH418" s="3890" t="s">
        <v>6505</v>
      </c>
      <c r="BI418" s="3890"/>
      <c r="BJ418" s="3890"/>
      <c r="BK418" s="3890"/>
      <c r="BL418" s="3890"/>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6944</v>
      </c>
      <c r="AI419" s="2467" t="s">
        <v>6944</v>
      </c>
      <c r="AJ419" s="2467" t="s">
        <v>6914</v>
      </c>
      <c r="AK419" s="2467" t="s">
        <v>6545</v>
      </c>
      <c r="AL419" s="2467" t="s">
        <v>6546</v>
      </c>
      <c r="AM419" s="2467" t="s">
        <v>6547</v>
      </c>
      <c r="AN419" s="3884" t="str">
        <f>'Part I-Project Identification'!F12</f>
        <v>9% Credit Competitive Round only</v>
      </c>
      <c r="AO419" s="3885"/>
      <c r="AP419" s="3885"/>
      <c r="AQ419" s="3886"/>
      <c r="AR419" s="2397"/>
      <c r="AS419" s="2397"/>
      <c r="AT419" s="2199"/>
      <c r="AU419" s="2397"/>
      <c r="AV419" s="2397"/>
      <c r="AW419" s="2397"/>
      <c r="AX419" s="2397"/>
      <c r="AY419" s="2467">
        <v>0.09</v>
      </c>
      <c r="AZ419" s="2467" t="s">
        <v>6944</v>
      </c>
      <c r="BA419" s="2467" t="s">
        <v>6944</v>
      </c>
      <c r="BB419" s="2467" t="s">
        <v>6928</v>
      </c>
      <c r="BC419" s="2467" t="s">
        <v>6545</v>
      </c>
      <c r="BD419" s="2467" t="s">
        <v>6546</v>
      </c>
      <c r="BE419" s="2467" t="s">
        <v>6547</v>
      </c>
      <c r="BF419" s="2467">
        <v>0.09</v>
      </c>
      <c r="BG419" s="2467" t="s">
        <v>6944</v>
      </c>
      <c r="BH419" s="2467" t="s">
        <v>6944</v>
      </c>
      <c r="BI419" s="2467" t="s">
        <v>6928</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30" t="s">
        <v>6561</v>
      </c>
      <c r="AO425" s="4031"/>
      <c r="AP425" s="4031"/>
      <c r="AQ425" s="4031"/>
      <c r="AR425" s="2397"/>
      <c r="AS425" s="2468" t="s">
        <v>720</v>
      </c>
      <c r="AT425" s="2492" t="s">
        <v>3338</v>
      </c>
      <c r="AU425" s="2493"/>
      <c r="AV425" s="2493"/>
      <c r="AW425" s="2493"/>
      <c r="AX425" s="2493"/>
      <c r="AY425" s="2494">
        <f>O106</f>
        <v>1</v>
      </c>
      <c r="AZ425" s="2486">
        <f>O106</f>
        <v>1</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30"/>
      <c r="AO426" s="4031"/>
      <c r="AP426" s="4031"/>
      <c r="AQ426" s="4031"/>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8" t="s">
        <v>1407</v>
      </c>
      <c r="H428" s="3918"/>
      <c r="I428" s="3918"/>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7</v>
      </c>
      <c r="AZ428" s="2491">
        <f>O152</f>
        <v>7</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6946</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6917</v>
      </c>
      <c r="AB447" s="2527" t="s">
        <v>6926</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6926</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69</v>
      </c>
      <c r="AZ449" s="2542">
        <f>IF(AND($O$36="4%",($C$36-$A$36)&gt;0),(SUM(AZ420:AZ447)-($C$36-$A$36)),SUM(AZ420:AZ447))</f>
        <v>61</v>
      </c>
      <c r="BA449" s="2542">
        <f t="shared" ref="BA449:BB449" si="3">IF(AND($O$36="4%",($C$36-$A$36)&gt;0),(SUM(BA420:BA447)-($C$36-$A$36)),SUM(BA420:BA447))</f>
        <v>29</v>
      </c>
      <c r="BB449" s="2542">
        <f t="shared" si="3"/>
        <v>29</v>
      </c>
      <c r="BC449" s="2542">
        <f t="shared" ref="BC449:BL449" si="4">SUM(BC420:BC447)</f>
        <v>33</v>
      </c>
      <c r="BD449" s="2542">
        <f t="shared" si="4"/>
        <v>33</v>
      </c>
      <c r="BE449" s="2542">
        <f t="shared" si="4"/>
        <v>33</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C42" sqref="C42"/>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3" t="s">
        <v>2480</v>
      </c>
      <c r="B5" s="4103"/>
      <c r="C5" s="4103"/>
      <c r="D5" s="4103"/>
      <c r="E5" s="4103"/>
      <c r="F5" s="4103"/>
      <c r="G5" s="4103"/>
      <c r="H5" s="4103"/>
      <c r="I5" s="4103"/>
      <c r="J5" s="4103"/>
      <c r="K5" s="4103"/>
      <c r="L5" s="4103"/>
      <c r="M5" s="4103"/>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4" t="s">
        <v>1767</v>
      </c>
      <c r="B9" s="4104"/>
      <c r="C9" s="4104"/>
      <c r="D9" s="4104"/>
      <c r="E9" s="4104"/>
      <c r="F9" s="4104"/>
      <c r="G9" s="4104"/>
      <c r="H9" s="4104"/>
      <c r="I9" s="4104"/>
      <c r="J9" s="4104"/>
      <c r="K9" s="4104"/>
      <c r="L9" s="4104"/>
      <c r="M9" s="4104"/>
    </row>
    <row r="10" spans="1:26" ht="6.75" customHeight="1">
      <c r="A10" s="4104"/>
      <c r="B10" s="4104"/>
      <c r="C10" s="4104"/>
      <c r="D10" s="4104"/>
      <c r="E10" s="4104"/>
      <c r="F10" s="4104"/>
      <c r="G10" s="4104"/>
      <c r="H10" s="4104"/>
      <c r="I10" s="4104"/>
      <c r="J10" s="4104"/>
      <c r="K10" s="4104"/>
      <c r="L10" s="4104"/>
      <c r="M10" s="4104"/>
    </row>
    <row r="11" spans="1:26" ht="44.25" customHeight="1">
      <c r="A11" s="4105" t="s">
        <v>6927</v>
      </c>
      <c r="B11" s="4105"/>
      <c r="C11" s="4105"/>
      <c r="D11" s="4105"/>
      <c r="E11" s="4105"/>
      <c r="F11" s="4105"/>
      <c r="G11" s="4105"/>
      <c r="H11" s="4105"/>
      <c r="I11" s="4105"/>
      <c r="J11" s="4105"/>
      <c r="K11" s="4105"/>
      <c r="L11" s="4105"/>
      <c r="M11" s="4105"/>
    </row>
    <row r="12" spans="1:26" ht="3" customHeight="1">
      <c r="A12" s="4104"/>
      <c r="B12" s="4104"/>
      <c r="C12" s="4104"/>
      <c r="D12" s="4104"/>
      <c r="E12" s="4104"/>
      <c r="F12" s="4104"/>
      <c r="G12" s="4104"/>
      <c r="H12" s="4104"/>
      <c r="I12" s="4104"/>
      <c r="J12" s="4104"/>
      <c r="K12" s="4104"/>
      <c r="L12" s="4104"/>
      <c r="M12" s="4104"/>
    </row>
    <row r="13" spans="1:26" ht="101.25" customHeight="1">
      <c r="A13" s="815" t="s">
        <v>1614</v>
      </c>
      <c r="B13" s="4106" t="s">
        <v>3188</v>
      </c>
      <c r="C13" s="4106"/>
      <c r="D13" s="4106"/>
      <c r="E13" s="4106"/>
      <c r="F13" s="4106"/>
      <c r="G13" s="4106"/>
      <c r="H13" s="4106"/>
      <c r="I13" s="4106"/>
      <c r="J13" s="4106"/>
      <c r="K13" s="4106"/>
      <c r="L13" s="4106"/>
      <c r="M13" s="4106"/>
      <c r="U13" s="809" t="s">
        <v>6270</v>
      </c>
    </row>
    <row r="14" spans="1:26" ht="47.25" customHeight="1">
      <c r="A14" s="815" t="s">
        <v>1615</v>
      </c>
      <c r="B14" s="4106" t="s">
        <v>3189</v>
      </c>
      <c r="C14" s="4106"/>
      <c r="D14" s="4106"/>
      <c r="E14" s="4106"/>
      <c r="F14" s="4106"/>
      <c r="G14" s="4106"/>
      <c r="H14" s="4106"/>
      <c r="I14" s="4106"/>
      <c r="J14" s="4106"/>
      <c r="K14" s="4106"/>
      <c r="L14" s="4106"/>
      <c r="M14" s="4106"/>
    </row>
    <row r="15" spans="1:26" ht="117" customHeight="1">
      <c r="A15" s="815" t="s">
        <v>1616</v>
      </c>
      <c r="B15" s="4106" t="s">
        <v>3190</v>
      </c>
      <c r="C15" s="4106"/>
      <c r="D15" s="4106"/>
      <c r="E15" s="4106"/>
      <c r="F15" s="4106"/>
      <c r="G15" s="4106"/>
      <c r="H15" s="4106"/>
      <c r="I15" s="4106"/>
      <c r="J15" s="4106"/>
      <c r="K15" s="4106"/>
      <c r="L15" s="4106"/>
      <c r="M15" s="4106"/>
    </row>
    <row r="16" spans="1:26" ht="147" customHeight="1">
      <c r="A16" s="815" t="s">
        <v>2182</v>
      </c>
      <c r="B16" s="4106" t="s">
        <v>3069</v>
      </c>
      <c r="C16" s="4106"/>
      <c r="D16" s="4106"/>
      <c r="E16" s="4106"/>
      <c r="F16" s="4106"/>
      <c r="G16" s="4106"/>
      <c r="H16" s="4106"/>
      <c r="I16" s="4106"/>
      <c r="J16" s="4106"/>
      <c r="K16" s="4106"/>
      <c r="L16" s="4106"/>
      <c r="M16" s="4106"/>
    </row>
    <row r="17" spans="1:13" ht="48.75" customHeight="1">
      <c r="A17" s="815" t="s">
        <v>1448</v>
      </c>
      <c r="B17" s="4106" t="s">
        <v>637</v>
      </c>
      <c r="C17" s="4106"/>
      <c r="D17" s="4106"/>
      <c r="E17" s="4106"/>
      <c r="F17" s="4106"/>
      <c r="G17" s="4106"/>
      <c r="H17" s="4106"/>
      <c r="I17" s="4106"/>
      <c r="J17" s="4106"/>
      <c r="K17" s="4106"/>
      <c r="L17" s="4106"/>
      <c r="M17" s="4106"/>
    </row>
    <row r="18" spans="1:13" ht="165" customHeight="1">
      <c r="A18" s="815" t="s">
        <v>1449</v>
      </c>
      <c r="B18" s="4106" t="s">
        <v>3068</v>
      </c>
      <c r="C18" s="4106"/>
      <c r="D18" s="4106"/>
      <c r="E18" s="4106"/>
      <c r="F18" s="4106"/>
      <c r="G18" s="4106"/>
      <c r="H18" s="4106"/>
      <c r="I18" s="4106"/>
      <c r="J18" s="4106"/>
      <c r="K18" s="4106"/>
      <c r="L18" s="4106"/>
      <c r="M18" s="4106"/>
    </row>
    <row r="19" spans="1:13" ht="48.75" customHeight="1">
      <c r="A19" s="815" t="s">
        <v>93</v>
      </c>
      <c r="B19" s="4102" t="s">
        <v>3191</v>
      </c>
      <c r="C19" s="4102"/>
      <c r="D19" s="4102"/>
      <c r="E19" s="4102"/>
      <c r="F19" s="4102"/>
      <c r="G19" s="4102"/>
      <c r="H19" s="4102"/>
      <c r="I19" s="4102"/>
      <c r="J19" s="4102"/>
      <c r="K19" s="4102"/>
      <c r="L19" s="4102"/>
      <c r="M19" s="4102"/>
    </row>
    <row r="20" spans="1:13" ht="50.25" customHeight="1">
      <c r="A20" s="815" t="s">
        <v>481</v>
      </c>
      <c r="B20" s="4106" t="s">
        <v>3070</v>
      </c>
      <c r="C20" s="4106"/>
      <c r="D20" s="4106"/>
      <c r="E20" s="4106"/>
      <c r="F20" s="4106"/>
      <c r="G20" s="4106"/>
      <c r="H20" s="4106"/>
      <c r="I20" s="4106"/>
      <c r="J20" s="4106"/>
      <c r="K20" s="4106"/>
      <c r="L20" s="4106"/>
      <c r="M20" s="4106"/>
    </row>
    <row r="21" spans="1:13" ht="31.5" customHeight="1">
      <c r="A21" s="815" t="s">
        <v>482</v>
      </c>
      <c r="B21" s="4106" t="s">
        <v>3087</v>
      </c>
      <c r="C21" s="4106"/>
      <c r="D21" s="4106"/>
      <c r="E21" s="4106"/>
      <c r="F21" s="4106"/>
      <c r="G21" s="4106"/>
      <c r="H21" s="4106"/>
      <c r="I21" s="4106"/>
      <c r="J21" s="4106"/>
      <c r="K21" s="4106"/>
      <c r="L21" s="4106"/>
      <c r="M21" s="4106"/>
    </row>
    <row r="22" spans="1:13" ht="1.5" customHeight="1">
      <c r="A22" s="4104"/>
      <c r="B22" s="4104"/>
      <c r="C22" s="4104"/>
      <c r="D22" s="4104"/>
      <c r="E22" s="4104"/>
      <c r="F22" s="4104"/>
      <c r="G22" s="4104"/>
      <c r="H22" s="4104"/>
      <c r="I22" s="4104"/>
      <c r="J22" s="4104"/>
      <c r="K22" s="4104"/>
      <c r="L22" s="4104"/>
      <c r="M22" s="4104"/>
    </row>
    <row r="23" spans="1:13" ht="3" customHeight="1">
      <c r="A23" s="4104"/>
      <c r="B23" s="4104"/>
      <c r="C23" s="4104"/>
      <c r="D23" s="4104"/>
      <c r="E23" s="4104"/>
      <c r="F23" s="4104"/>
      <c r="G23" s="4104"/>
      <c r="H23" s="4104"/>
      <c r="I23" s="4104"/>
      <c r="J23" s="4104"/>
      <c r="K23" s="4104"/>
      <c r="L23" s="4104"/>
      <c r="M23" s="4104"/>
    </row>
    <row r="24" spans="1:13" ht="13.5" customHeight="1">
      <c r="A24" s="4104" t="s">
        <v>1374</v>
      </c>
      <c r="B24" s="4104"/>
      <c r="C24" s="4104"/>
      <c r="D24" s="4104"/>
      <c r="E24" s="4104"/>
      <c r="F24" s="4104"/>
      <c r="G24" s="4104"/>
      <c r="H24" s="4104"/>
      <c r="I24" s="4104"/>
      <c r="J24" s="4104"/>
      <c r="K24" s="4104"/>
      <c r="L24" s="4104"/>
      <c r="M24" s="4104"/>
    </row>
    <row r="25" spans="1:13" ht="32.25" customHeight="1">
      <c r="A25" s="815" t="s">
        <v>1375</v>
      </c>
      <c r="B25" s="4106" t="s">
        <v>3088</v>
      </c>
      <c r="C25" s="4106"/>
      <c r="D25" s="4106"/>
      <c r="E25" s="4106"/>
      <c r="F25" s="4106"/>
      <c r="G25" s="4106"/>
      <c r="H25" s="4106"/>
      <c r="I25" s="4106"/>
      <c r="J25" s="4106"/>
      <c r="K25" s="4106"/>
      <c r="L25" s="4106"/>
      <c r="M25" s="4106"/>
    </row>
    <row r="26" spans="1:13" ht="31.5" customHeight="1">
      <c r="A26" s="815" t="s">
        <v>1375</v>
      </c>
      <c r="B26" s="4106" t="s">
        <v>3089</v>
      </c>
      <c r="C26" s="4106"/>
      <c r="D26" s="4106"/>
      <c r="E26" s="4106"/>
      <c r="F26" s="4106"/>
      <c r="G26" s="4106"/>
      <c r="H26" s="4106"/>
      <c r="I26" s="4106"/>
      <c r="J26" s="4106"/>
      <c r="K26" s="4106"/>
      <c r="L26" s="4106"/>
      <c r="M26" s="4106"/>
    </row>
    <row r="27" spans="1:13" ht="78.75" customHeight="1">
      <c r="A27" s="815" t="s">
        <v>1375</v>
      </c>
      <c r="B27" s="4106" t="s">
        <v>2481</v>
      </c>
      <c r="C27" s="4106"/>
      <c r="D27" s="4106"/>
      <c r="E27" s="4106"/>
      <c r="F27" s="4106"/>
      <c r="G27" s="4106"/>
      <c r="H27" s="4106"/>
      <c r="I27" s="4106"/>
      <c r="J27" s="4106"/>
      <c r="K27" s="4106"/>
      <c r="L27" s="4106"/>
      <c r="M27" s="4106"/>
    </row>
    <row r="28" spans="1:13" ht="7.5" customHeight="1">
      <c r="A28" s="4104"/>
      <c r="B28" s="4104"/>
      <c r="C28" s="4104"/>
      <c r="D28" s="4104"/>
      <c r="E28" s="4104"/>
      <c r="F28" s="4104"/>
      <c r="G28" s="4104"/>
      <c r="H28" s="4104"/>
      <c r="I28" s="4104"/>
      <c r="J28" s="4104"/>
      <c r="K28" s="4104"/>
      <c r="L28" s="4104"/>
      <c r="M28" s="4104"/>
    </row>
    <row r="29" spans="1:13" ht="43.5" customHeight="1">
      <c r="A29" s="4106" t="s">
        <v>887</v>
      </c>
      <c r="B29" s="4106"/>
      <c r="C29" s="4106"/>
      <c r="D29" s="4106"/>
      <c r="E29" s="4106"/>
      <c r="F29" s="4106"/>
      <c r="G29" s="4106"/>
      <c r="H29" s="4106"/>
      <c r="I29" s="4106"/>
      <c r="J29" s="4106"/>
      <c r="K29" s="4106"/>
      <c r="L29" s="4106"/>
      <c r="M29" s="4106"/>
    </row>
    <row r="30" spans="1:13" ht="3" customHeight="1">
      <c r="A30" s="4104"/>
      <c r="B30" s="4104"/>
      <c r="C30" s="4104"/>
      <c r="D30" s="4104"/>
      <c r="E30" s="4104"/>
      <c r="F30" s="4104"/>
      <c r="G30" s="4104"/>
      <c r="H30" s="4104"/>
      <c r="I30" s="4104"/>
      <c r="J30" s="4104"/>
      <c r="K30" s="4104"/>
      <c r="L30" s="4104"/>
      <c r="M30" s="4104"/>
    </row>
    <row r="31" spans="1:13" ht="32.25" customHeight="1">
      <c r="A31" s="4106" t="s">
        <v>2482</v>
      </c>
      <c r="B31" s="4106"/>
      <c r="C31" s="4106"/>
      <c r="D31" s="4106"/>
      <c r="E31" s="4106"/>
      <c r="F31" s="4106"/>
      <c r="G31" s="4106"/>
      <c r="H31" s="4106"/>
      <c r="I31" s="4106"/>
      <c r="J31" s="4106"/>
      <c r="K31" s="4106"/>
      <c r="L31" s="4106"/>
      <c r="M31" s="4106"/>
    </row>
    <row r="32" spans="1:13" ht="4.5" customHeight="1">
      <c r="A32" s="4104"/>
      <c r="B32" s="4104"/>
      <c r="C32" s="4104"/>
      <c r="D32" s="4104"/>
      <c r="E32" s="4104"/>
      <c r="F32" s="4104"/>
      <c r="G32" s="4104"/>
      <c r="H32" s="4104"/>
      <c r="I32" s="4104"/>
      <c r="J32" s="4104"/>
      <c r="K32" s="4104"/>
      <c r="L32" s="4104"/>
      <c r="M32" s="4104"/>
    </row>
    <row r="33" spans="1:13" ht="16.5">
      <c r="A33" s="4104" t="s">
        <v>864</v>
      </c>
      <c r="B33" s="4104"/>
      <c r="C33" s="4104"/>
      <c r="D33" s="4104"/>
      <c r="E33" s="4104"/>
      <c r="F33" s="4104"/>
      <c r="G33" s="4104"/>
      <c r="H33" s="4104"/>
      <c r="I33" s="4104"/>
      <c r="J33" s="4104"/>
      <c r="K33" s="4104"/>
      <c r="L33" s="4104"/>
      <c r="M33" s="4104"/>
    </row>
    <row r="34" spans="1:13" ht="6" customHeight="1">
      <c r="A34" s="835"/>
      <c r="B34" s="835"/>
      <c r="C34" s="835"/>
      <c r="D34" s="835"/>
      <c r="E34" s="835"/>
      <c r="F34" s="835"/>
      <c r="G34" s="835"/>
      <c r="H34" s="835"/>
      <c r="I34" s="835"/>
      <c r="J34" s="835"/>
      <c r="K34" s="835"/>
      <c r="L34" s="835"/>
      <c r="M34" s="835"/>
    </row>
    <row r="35" spans="1:13" ht="16.5">
      <c r="A35" s="4107" t="s">
        <v>7084</v>
      </c>
      <c r="B35" s="4107"/>
      <c r="C35" s="4107"/>
      <c r="D35" s="4107"/>
      <c r="E35" s="4107"/>
      <c r="F35" s="4107"/>
      <c r="G35" s="813"/>
      <c r="H35" s="4107" t="s">
        <v>7081</v>
      </c>
      <c r="I35" s="4107"/>
      <c r="J35" s="4107"/>
      <c r="K35" s="4107"/>
      <c r="L35" s="4107"/>
      <c r="M35" s="4107"/>
    </row>
    <row r="36" spans="1:13" ht="12" customHeight="1">
      <c r="A36" s="4108" t="s">
        <v>865</v>
      </c>
      <c r="B36" s="4108"/>
      <c r="C36" s="4108"/>
      <c r="D36" s="4108"/>
      <c r="E36" s="4108"/>
      <c r="F36" s="4108"/>
      <c r="G36" s="813"/>
      <c r="H36" s="4108" t="s">
        <v>1839</v>
      </c>
      <c r="I36" s="4108"/>
      <c r="J36" s="4108"/>
      <c r="K36" s="4108"/>
      <c r="L36" s="4108"/>
      <c r="M36" s="4108"/>
    </row>
    <row r="37" spans="1:13" ht="6" customHeight="1">
      <c r="A37" s="813"/>
      <c r="B37" s="813"/>
      <c r="C37" s="813"/>
      <c r="D37" s="813"/>
      <c r="E37" s="813"/>
      <c r="F37" s="813"/>
      <c r="G37" s="813"/>
      <c r="H37" s="813"/>
      <c r="I37" s="813"/>
      <c r="J37" s="813"/>
      <c r="K37" s="813"/>
      <c r="L37" s="813"/>
      <c r="M37" s="813"/>
    </row>
    <row r="38" spans="1:13" ht="16.5">
      <c r="A38" s="4109"/>
      <c r="B38" s="4109"/>
      <c r="C38" s="4109"/>
      <c r="D38" s="4109"/>
      <c r="E38" s="4109"/>
      <c r="F38" s="4109"/>
      <c r="G38" s="813"/>
      <c r="H38" s="4110">
        <v>45054</v>
      </c>
      <c r="I38" s="4110"/>
      <c r="J38" s="4110"/>
      <c r="K38" s="4110"/>
      <c r="L38" s="4110"/>
      <c r="M38" s="4110"/>
    </row>
    <row r="39" spans="1:13" ht="12" customHeight="1">
      <c r="A39" s="4108" t="s">
        <v>866</v>
      </c>
      <c r="B39" s="4108"/>
      <c r="C39" s="4108"/>
      <c r="D39" s="4108"/>
      <c r="E39" s="4108"/>
      <c r="F39" s="4108"/>
      <c r="G39" s="813"/>
      <c r="H39" s="4108" t="s">
        <v>867</v>
      </c>
      <c r="I39" s="4108"/>
      <c r="J39" s="4108"/>
      <c r="K39" s="4108"/>
      <c r="L39" s="4108"/>
      <c r="M39" s="4108"/>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1" t="s">
        <v>868</v>
      </c>
      <c r="I41" s="4111"/>
      <c r="J41" s="4111"/>
      <c r="K41" s="4111"/>
      <c r="L41" s="4111"/>
      <c r="M41" s="4111"/>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7" t="str">
        <f>'Part I-Project Identification'!F25</f>
        <v>The Bridges at Lincom</v>
      </c>
      <c r="E3" s="4168"/>
      <c r="F3" s="4168"/>
      <c r="G3" s="4168"/>
      <c r="H3" s="4168"/>
      <c r="I3" s="4168"/>
      <c r="J3" s="4169" t="s">
        <v>6170</v>
      </c>
      <c r="K3" s="4170"/>
    </row>
    <row r="4" spans="1:11" ht="15" customHeight="1">
      <c r="A4" s="1332" t="s">
        <v>3968</v>
      </c>
      <c r="B4" s="1333"/>
      <c r="C4" s="1334"/>
      <c r="D4" s="4171"/>
      <c r="E4" s="4172"/>
      <c r="F4" s="4172"/>
      <c r="G4" s="4172"/>
      <c r="H4" s="4172"/>
      <c r="I4" s="4172"/>
      <c r="J4" s="4173" t="s">
        <v>4009</v>
      </c>
      <c r="K4" s="4174"/>
    </row>
    <row r="5" spans="1:11" ht="15" customHeight="1" thickBot="1">
      <c r="A5" s="1335" t="s">
        <v>3969</v>
      </c>
      <c r="B5" s="1336"/>
      <c r="C5" s="1337"/>
      <c r="D5" s="4177"/>
      <c r="E5" s="4178"/>
      <c r="F5" s="4178"/>
      <c r="G5" s="4178"/>
      <c r="H5" s="4178"/>
      <c r="I5" s="4178"/>
      <c r="J5" s="4175"/>
      <c r="K5" s="4176"/>
    </row>
    <row r="6" spans="1:11" ht="9" customHeight="1" thickBot="1">
      <c r="E6" s="1327"/>
    </row>
    <row r="7" spans="1:11">
      <c r="A7" s="4185" t="s">
        <v>3971</v>
      </c>
      <c r="B7" s="4186"/>
      <c r="C7" s="4186"/>
      <c r="D7" s="4186"/>
      <c r="E7" s="4186"/>
      <c r="F7" s="4186"/>
      <c r="G7" s="4186"/>
      <c r="H7" s="4186"/>
      <c r="I7" s="4186"/>
      <c r="J7" s="4186"/>
      <c r="K7" s="4187"/>
    </row>
    <row r="8" spans="1:11" ht="14.25" customHeight="1">
      <c r="A8" s="1333"/>
      <c r="B8" s="1333"/>
      <c r="C8" s="1567">
        <v>1</v>
      </c>
      <c r="D8" s="1352" t="s">
        <v>3972</v>
      </c>
      <c r="E8" s="1352"/>
      <c r="F8" s="1352"/>
      <c r="G8" s="1352"/>
      <c r="H8" s="1352"/>
      <c r="I8" s="1352"/>
      <c r="J8" s="4183"/>
      <c r="K8" s="4184"/>
    </row>
    <row r="9" spans="1:11" ht="7.15" customHeight="1">
      <c r="A9" s="4122"/>
      <c r="B9" s="4122"/>
      <c r="C9" s="4122"/>
      <c r="D9" s="4123"/>
      <c r="E9" s="4123"/>
      <c r="F9" s="4123"/>
      <c r="G9" s="4123"/>
      <c r="H9" s="4123"/>
      <c r="I9" s="4123"/>
      <c r="J9" s="4123"/>
      <c r="K9" s="1353"/>
    </row>
    <row r="10" spans="1:11">
      <c r="A10" s="4188" t="s">
        <v>3973</v>
      </c>
      <c r="B10" s="4189"/>
      <c r="C10" s="4189"/>
      <c r="D10" s="4189"/>
      <c r="E10" s="4189"/>
      <c r="F10" s="4189"/>
      <c r="G10" s="4189"/>
      <c r="H10" s="4189"/>
      <c r="I10" s="4189"/>
      <c r="J10" s="4189"/>
      <c r="K10" s="4190"/>
    </row>
    <row r="11" spans="1:11" ht="14.25" customHeight="1">
      <c r="A11" s="1333"/>
      <c r="B11" s="1333"/>
      <c r="C11" s="1567">
        <v>2</v>
      </c>
      <c r="D11" s="1352" t="s">
        <v>3974</v>
      </c>
      <c r="E11" s="1354"/>
      <c r="F11" s="1354"/>
      <c r="G11" s="1354"/>
      <c r="H11" s="1354"/>
      <c r="I11" s="1354"/>
      <c r="J11" s="4181"/>
      <c r="K11" s="4182"/>
    </row>
    <row r="12" spans="1:11" ht="7.15" customHeight="1">
      <c r="A12" s="4122"/>
      <c r="B12" s="4122"/>
      <c r="C12" s="4122"/>
      <c r="D12" s="4123"/>
      <c r="E12" s="4123"/>
      <c r="F12" s="4123"/>
      <c r="G12" s="4123"/>
      <c r="H12" s="4123"/>
      <c r="I12" s="4123"/>
      <c r="J12" s="4123"/>
      <c r="K12" s="1355"/>
    </row>
    <row r="13" spans="1:11">
      <c r="A13" s="4188" t="s">
        <v>3975</v>
      </c>
      <c r="B13" s="4189"/>
      <c r="C13" s="4189"/>
      <c r="D13" s="4189"/>
      <c r="E13" s="4189"/>
      <c r="F13" s="4189"/>
      <c r="G13" s="4189"/>
      <c r="H13" s="4189"/>
      <c r="I13" s="4189"/>
      <c r="J13" s="4189"/>
      <c r="K13" s="4190"/>
    </row>
    <row r="14" spans="1:11" ht="14.25" customHeight="1">
      <c r="A14" s="1333"/>
      <c r="B14" s="1333"/>
      <c r="C14" s="1568">
        <v>3</v>
      </c>
      <c r="D14" s="1356" t="s">
        <v>3976</v>
      </c>
      <c r="E14" s="1356"/>
      <c r="F14" s="1356"/>
      <c r="G14" s="1356"/>
      <c r="H14" s="1356"/>
      <c r="I14" s="1356"/>
      <c r="J14" s="4179"/>
      <c r="K14" s="4180"/>
    </row>
    <row r="15" spans="1:11" ht="14.25" customHeight="1">
      <c r="A15" s="1333"/>
      <c r="B15" s="1333"/>
      <c r="C15" s="1569">
        <v>4</v>
      </c>
      <c r="D15" s="1333" t="s">
        <v>3977</v>
      </c>
      <c r="E15" s="1333"/>
      <c r="F15" s="1333"/>
      <c r="G15" s="1333"/>
      <c r="H15" s="1333"/>
      <c r="I15" s="1333"/>
      <c r="J15" s="4120"/>
      <c r="K15" s="4121"/>
    </row>
    <row r="16" spans="1:11" ht="14.25" customHeight="1">
      <c r="A16" s="1333"/>
      <c r="B16" s="1333"/>
      <c r="C16" s="1569">
        <v>5</v>
      </c>
      <c r="D16" s="1333" t="s">
        <v>3978</v>
      </c>
      <c r="E16" s="1333"/>
      <c r="F16" s="1333"/>
      <c r="G16" s="1333"/>
      <c r="H16" s="1333"/>
      <c r="I16" s="1333"/>
      <c r="J16" s="4120"/>
      <c r="K16" s="4121"/>
    </row>
    <row r="17" spans="1:13" ht="14.25" customHeight="1">
      <c r="A17" s="1333"/>
      <c r="B17" s="1333"/>
      <c r="C17" s="1570">
        <v>6</v>
      </c>
      <c r="D17" s="1336" t="s">
        <v>3979</v>
      </c>
      <c r="E17" s="1336"/>
      <c r="F17" s="1336"/>
      <c r="G17" s="1336"/>
      <c r="H17" s="1336"/>
      <c r="I17" s="1336"/>
      <c r="J17" s="4118"/>
      <c r="K17" s="4119"/>
    </row>
    <row r="18" spans="1:13" ht="7.15" customHeight="1">
      <c r="A18" s="4122"/>
      <c r="B18" s="4122"/>
      <c r="C18" s="4122"/>
      <c r="D18" s="4123"/>
      <c r="E18" s="4123"/>
      <c r="F18" s="4123"/>
      <c r="G18" s="4123"/>
      <c r="H18" s="4123"/>
      <c r="I18" s="4123"/>
      <c r="J18" s="4123"/>
      <c r="K18" s="1355"/>
    </row>
    <row r="19" spans="1:13" ht="14.25" customHeight="1">
      <c r="A19" s="1333"/>
      <c r="B19" s="1333"/>
      <c r="C19" s="1568">
        <v>7</v>
      </c>
      <c r="D19" s="1356" t="s">
        <v>3980</v>
      </c>
      <c r="E19" s="1356"/>
      <c r="F19" s="1356"/>
      <c r="G19" s="1356"/>
      <c r="H19" s="1356"/>
      <c r="I19" s="1356"/>
      <c r="J19" s="4116" t="str">
        <f>IF(J17="No",J14-J15,IF(J17="Yes",J14-J15-J16,"Error"))</f>
        <v>Error</v>
      </c>
      <c r="K19" s="4117"/>
    </row>
    <row r="20" spans="1:13" ht="14.25" customHeight="1">
      <c r="A20" s="1333"/>
      <c r="B20" s="1333"/>
      <c r="C20" s="1570">
        <v>8</v>
      </c>
      <c r="D20" s="1336" t="s">
        <v>3981</v>
      </c>
      <c r="E20" s="1336"/>
      <c r="F20" s="1336"/>
      <c r="G20" s="1336"/>
      <c r="H20" s="1336"/>
      <c r="I20" s="1336"/>
      <c r="J20" s="4114" t="e">
        <f>ROUNDDOWN(J19/J8,2)</f>
        <v>#VALUE!</v>
      </c>
      <c r="K20" s="4115"/>
    </row>
    <row r="21" spans="1:13" ht="7.15" customHeight="1">
      <c r="A21" s="4122"/>
      <c r="B21" s="4122"/>
      <c r="C21" s="4122"/>
      <c r="D21" s="4123"/>
      <c r="E21" s="4123"/>
      <c r="F21" s="4123"/>
      <c r="G21" s="4123"/>
      <c r="H21" s="4123"/>
      <c r="I21" s="4123"/>
      <c r="J21" s="4123"/>
      <c r="K21" s="1355"/>
    </row>
    <row r="22" spans="1:13" ht="14.25" customHeight="1" thickBot="1">
      <c r="A22" s="1333"/>
      <c r="B22" s="1333"/>
      <c r="C22" s="1567">
        <v>9</v>
      </c>
      <c r="D22" s="1357" t="s">
        <v>3982</v>
      </c>
      <c r="E22" s="1357"/>
      <c r="F22" s="1357"/>
      <c r="G22" s="1357"/>
      <c r="H22" s="1357"/>
      <c r="I22" s="1357"/>
      <c r="J22" s="4112" t="e">
        <f>J11/J19</f>
        <v>#VALUE!</v>
      </c>
      <c r="K22" s="4113"/>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5" t="s">
        <v>4013</v>
      </c>
      <c r="B30" s="4156"/>
      <c r="C30" s="4156"/>
      <c r="D30" s="4156"/>
      <c r="E30" s="4156"/>
      <c r="F30" s="4156"/>
      <c r="G30" s="4156"/>
      <c r="H30" s="4156"/>
      <c r="I30" s="4156"/>
      <c r="J30" s="4156"/>
      <c r="K30" s="4157"/>
    </row>
    <row r="31" spans="1:13">
      <c r="B31" s="4158" t="s">
        <v>6170</v>
      </c>
      <c r="C31" s="4158"/>
      <c r="D31" s="4158"/>
      <c r="E31" s="4158"/>
      <c r="F31" s="4158"/>
      <c r="G31" s="4159" t="s">
        <v>3984</v>
      </c>
      <c r="H31" s="4160"/>
      <c r="I31" s="4160"/>
      <c r="J31" s="4160"/>
      <c r="K31" s="4161"/>
    </row>
    <row r="32" spans="1:13" ht="56.25" customHeight="1">
      <c r="A32" s="1351"/>
      <c r="B32" s="1369" t="s">
        <v>4012</v>
      </c>
      <c r="C32" s="1370" t="s">
        <v>4008</v>
      </c>
      <c r="D32" s="1370" t="s">
        <v>4007</v>
      </c>
      <c r="E32" s="4162" t="s">
        <v>6098</v>
      </c>
      <c r="F32" s="4163"/>
      <c r="G32" s="1371" t="s">
        <v>3985</v>
      </c>
      <c r="H32" s="1371" t="s">
        <v>3986</v>
      </c>
      <c r="J32" s="1371" t="s">
        <v>3987</v>
      </c>
      <c r="K32" s="1371" t="s">
        <v>3988</v>
      </c>
      <c r="L32" s="4164" t="s">
        <v>3989</v>
      </c>
      <c r="M32" s="4164"/>
    </row>
    <row r="33" spans="2:14" ht="12.75" customHeight="1">
      <c r="B33" s="1558"/>
      <c r="C33" s="1559"/>
      <c r="D33" s="1560"/>
      <c r="E33" s="4165"/>
      <c r="F33" s="4166"/>
      <c r="G33" s="1387" t="e">
        <f t="shared" ref="G33:G51" si="0">$J$22*B33</f>
        <v>#VALUE!</v>
      </c>
      <c r="H33" s="1388" t="e">
        <f>ROUNDUP(G33,0)</f>
        <v>#VALUE!</v>
      </c>
      <c r="I33" s="1389"/>
      <c r="J33" s="1390" t="e">
        <f t="shared" ref="J33:J51" si="1">$J$20*E33</f>
        <v>#VALUE!</v>
      </c>
      <c r="K33" s="1390" t="e">
        <f t="shared" ref="K33:K51" si="2">ROUNDDOWN(J33*H33,0)</f>
        <v>#VALUE!</v>
      </c>
      <c r="L33" s="4164"/>
      <c r="M33" s="4164"/>
    </row>
    <row r="34" spans="2:14" ht="12.75" customHeight="1">
      <c r="B34" s="1561"/>
      <c r="C34" s="1562"/>
      <c r="D34" s="1563"/>
      <c r="E34" s="4146"/>
      <c r="F34" s="4147"/>
      <c r="G34" s="1391" t="e">
        <f t="shared" si="0"/>
        <v>#VALUE!</v>
      </c>
      <c r="H34" s="1392" t="e">
        <f t="shared" ref="H34:H51" si="3">ROUNDUP(G34,0)</f>
        <v>#VALUE!</v>
      </c>
      <c r="I34" s="1389"/>
      <c r="J34" s="1393" t="e">
        <f t="shared" si="1"/>
        <v>#VALUE!</v>
      </c>
      <c r="K34" s="1393" t="e">
        <f t="shared" si="2"/>
        <v>#VALUE!</v>
      </c>
      <c r="L34" s="4164"/>
      <c r="M34" s="4164"/>
    </row>
    <row r="35" spans="2:14" ht="12.75" customHeight="1">
      <c r="B35" s="1561"/>
      <c r="C35" s="1562"/>
      <c r="D35" s="1563"/>
      <c r="E35" s="4146"/>
      <c r="F35" s="4147"/>
      <c r="G35" s="1391" t="e">
        <f t="shared" si="0"/>
        <v>#VALUE!</v>
      </c>
      <c r="H35" s="1392" t="e">
        <f t="shared" si="3"/>
        <v>#VALUE!</v>
      </c>
      <c r="I35" s="1389"/>
      <c r="J35" s="1393" t="e">
        <f t="shared" si="1"/>
        <v>#VALUE!</v>
      </c>
      <c r="K35" s="1393" t="e">
        <f t="shared" si="2"/>
        <v>#VALUE!</v>
      </c>
      <c r="L35" s="4164"/>
      <c r="M35" s="4164"/>
    </row>
    <row r="36" spans="2:14" ht="12.75" customHeight="1">
      <c r="B36" s="1561"/>
      <c r="C36" s="1562"/>
      <c r="D36" s="1563"/>
      <c r="E36" s="4146"/>
      <c r="F36" s="4147"/>
      <c r="G36" s="1391" t="e">
        <f t="shared" si="0"/>
        <v>#VALUE!</v>
      </c>
      <c r="H36" s="1392" t="e">
        <f t="shared" si="3"/>
        <v>#VALUE!</v>
      </c>
      <c r="I36" s="1389"/>
      <c r="J36" s="1393" t="e">
        <f t="shared" si="1"/>
        <v>#VALUE!</v>
      </c>
      <c r="K36" s="1393" t="e">
        <f t="shared" si="2"/>
        <v>#VALUE!</v>
      </c>
      <c r="L36" s="4164"/>
      <c r="M36" s="4164"/>
      <c r="N36" s="1346"/>
    </row>
    <row r="37" spans="2:14" ht="12.75" customHeight="1">
      <c r="B37" s="1561"/>
      <c r="C37" s="1562"/>
      <c r="D37" s="1563"/>
      <c r="E37" s="4146"/>
      <c r="F37" s="4147"/>
      <c r="G37" s="1391" t="e">
        <f t="shared" si="0"/>
        <v>#VALUE!</v>
      </c>
      <c r="H37" s="1392" t="e">
        <f t="shared" si="3"/>
        <v>#VALUE!</v>
      </c>
      <c r="I37" s="1389"/>
      <c r="J37" s="1393" t="e">
        <f t="shared" si="1"/>
        <v>#VALUE!</v>
      </c>
      <c r="K37" s="1393" t="e">
        <f t="shared" si="2"/>
        <v>#VALUE!</v>
      </c>
      <c r="L37" s="4164"/>
      <c r="M37" s="4164"/>
    </row>
    <row r="38" spans="2:14" ht="12.75" customHeight="1">
      <c r="B38" s="1561"/>
      <c r="C38" s="1562"/>
      <c r="D38" s="1563"/>
      <c r="E38" s="4146"/>
      <c r="F38" s="4147"/>
      <c r="G38" s="1391" t="e">
        <f t="shared" si="0"/>
        <v>#VALUE!</v>
      </c>
      <c r="H38" s="1392" t="e">
        <f t="shared" si="3"/>
        <v>#VALUE!</v>
      </c>
      <c r="I38" s="1389"/>
      <c r="J38" s="1393" t="e">
        <f t="shared" si="1"/>
        <v>#VALUE!</v>
      </c>
      <c r="K38" s="1393" t="e">
        <f t="shared" si="2"/>
        <v>#VALUE!</v>
      </c>
      <c r="L38" s="4164"/>
      <c r="M38" s="4164"/>
    </row>
    <row r="39" spans="2:14" ht="12.75" customHeight="1">
      <c r="B39" s="1561"/>
      <c r="C39" s="1562"/>
      <c r="D39" s="1563"/>
      <c r="E39" s="4146"/>
      <c r="F39" s="4147"/>
      <c r="G39" s="1391" t="e">
        <f t="shared" si="0"/>
        <v>#VALUE!</v>
      </c>
      <c r="H39" s="1392" t="e">
        <f t="shared" si="3"/>
        <v>#VALUE!</v>
      </c>
      <c r="I39" s="1389"/>
      <c r="J39" s="1393" t="e">
        <f t="shared" si="1"/>
        <v>#VALUE!</v>
      </c>
      <c r="K39" s="1393" t="e">
        <f t="shared" si="2"/>
        <v>#VALUE!</v>
      </c>
      <c r="L39" s="4164"/>
      <c r="M39" s="4164"/>
    </row>
    <row r="40" spans="2:14" ht="12.75" customHeight="1">
      <c r="B40" s="1561"/>
      <c r="C40" s="1562"/>
      <c r="D40" s="1563"/>
      <c r="E40" s="4146"/>
      <c r="F40" s="4147"/>
      <c r="G40" s="1391" t="e">
        <f t="shared" si="0"/>
        <v>#VALUE!</v>
      </c>
      <c r="H40" s="1392" t="e">
        <f t="shared" si="3"/>
        <v>#VALUE!</v>
      </c>
      <c r="I40" s="1389"/>
      <c r="J40" s="1393" t="e">
        <f t="shared" si="1"/>
        <v>#VALUE!</v>
      </c>
      <c r="K40" s="1393" t="e">
        <f t="shared" si="2"/>
        <v>#VALUE!</v>
      </c>
      <c r="L40" s="4164"/>
      <c r="M40" s="4164"/>
    </row>
    <row r="41" spans="2:14" ht="12.75" customHeight="1">
      <c r="B41" s="1561"/>
      <c r="C41" s="1562"/>
      <c r="D41" s="1563"/>
      <c r="E41" s="4146"/>
      <c r="F41" s="4147"/>
      <c r="G41" s="1391" t="e">
        <f t="shared" si="0"/>
        <v>#VALUE!</v>
      </c>
      <c r="H41" s="1392" t="e">
        <f t="shared" si="3"/>
        <v>#VALUE!</v>
      </c>
      <c r="I41" s="1389"/>
      <c r="J41" s="1393" t="e">
        <f t="shared" si="1"/>
        <v>#VALUE!</v>
      </c>
      <c r="K41" s="1393" t="e">
        <f t="shared" si="2"/>
        <v>#VALUE!</v>
      </c>
      <c r="L41" s="4164"/>
      <c r="M41" s="4164"/>
    </row>
    <row r="42" spans="2:14" ht="12.75" customHeight="1">
      <c r="B42" s="1561"/>
      <c r="C42" s="1562"/>
      <c r="D42" s="1563"/>
      <c r="E42" s="4146"/>
      <c r="F42" s="4147"/>
      <c r="G42" s="1391" t="e">
        <f t="shared" si="0"/>
        <v>#VALUE!</v>
      </c>
      <c r="H42" s="1392" t="e">
        <f t="shared" si="3"/>
        <v>#VALUE!</v>
      </c>
      <c r="I42" s="1389"/>
      <c r="J42" s="1393" t="e">
        <f t="shared" si="1"/>
        <v>#VALUE!</v>
      </c>
      <c r="K42" s="1393" t="e">
        <f t="shared" si="2"/>
        <v>#VALUE!</v>
      </c>
      <c r="L42" s="4164"/>
      <c r="M42" s="4164"/>
    </row>
    <row r="43" spans="2:14" ht="12.75" customHeight="1">
      <c r="B43" s="1561"/>
      <c r="C43" s="1562"/>
      <c r="D43" s="1563"/>
      <c r="E43" s="4146"/>
      <c r="F43" s="4147"/>
      <c r="G43" s="1391" t="e">
        <f t="shared" si="0"/>
        <v>#VALUE!</v>
      </c>
      <c r="H43" s="1392" t="e">
        <f t="shared" si="3"/>
        <v>#VALUE!</v>
      </c>
      <c r="I43" s="1389"/>
      <c r="J43" s="1393" t="e">
        <f t="shared" si="1"/>
        <v>#VALUE!</v>
      </c>
      <c r="K43" s="1393" t="e">
        <f t="shared" si="2"/>
        <v>#VALUE!</v>
      </c>
      <c r="L43" s="4164"/>
      <c r="M43" s="4164"/>
    </row>
    <row r="44" spans="2:14" ht="12.75" customHeight="1">
      <c r="B44" s="1561"/>
      <c r="C44" s="1562"/>
      <c r="D44" s="1563"/>
      <c r="E44" s="4146"/>
      <c r="F44" s="4147"/>
      <c r="G44" s="1391" t="e">
        <f t="shared" si="0"/>
        <v>#VALUE!</v>
      </c>
      <c r="H44" s="1392" t="e">
        <f t="shared" si="3"/>
        <v>#VALUE!</v>
      </c>
      <c r="I44" s="1389"/>
      <c r="J44" s="1393" t="e">
        <f t="shared" si="1"/>
        <v>#VALUE!</v>
      </c>
      <c r="K44" s="1393" t="e">
        <f t="shared" si="2"/>
        <v>#VALUE!</v>
      </c>
      <c r="L44" s="4164"/>
      <c r="M44" s="4164"/>
    </row>
    <row r="45" spans="2:14" ht="12.75" customHeight="1">
      <c r="B45" s="1561"/>
      <c r="C45" s="1562"/>
      <c r="D45" s="1563"/>
      <c r="E45" s="4146"/>
      <c r="F45" s="4147"/>
      <c r="G45" s="1391" t="e">
        <f t="shared" si="0"/>
        <v>#VALUE!</v>
      </c>
      <c r="H45" s="1392" t="e">
        <f t="shared" si="3"/>
        <v>#VALUE!</v>
      </c>
      <c r="I45" s="1389"/>
      <c r="J45" s="1393" t="e">
        <f t="shared" si="1"/>
        <v>#VALUE!</v>
      </c>
      <c r="K45" s="1393" t="e">
        <f t="shared" si="2"/>
        <v>#VALUE!</v>
      </c>
      <c r="L45" s="4164"/>
      <c r="M45" s="4164"/>
    </row>
    <row r="46" spans="2:14" ht="12.75" customHeight="1">
      <c r="B46" s="1561"/>
      <c r="C46" s="1562"/>
      <c r="D46" s="1563"/>
      <c r="E46" s="4146"/>
      <c r="F46" s="4147"/>
      <c r="G46" s="1391" t="e">
        <f t="shared" si="0"/>
        <v>#VALUE!</v>
      </c>
      <c r="H46" s="1392" t="e">
        <f t="shared" si="3"/>
        <v>#VALUE!</v>
      </c>
      <c r="I46" s="1389"/>
      <c r="J46" s="1393" t="e">
        <f t="shared" si="1"/>
        <v>#VALUE!</v>
      </c>
      <c r="K46" s="1393" t="e">
        <f t="shared" si="2"/>
        <v>#VALUE!</v>
      </c>
      <c r="L46" s="4164"/>
      <c r="M46" s="4164"/>
    </row>
    <row r="47" spans="2:14" ht="12.75" customHeight="1">
      <c r="B47" s="1561"/>
      <c r="C47" s="1562"/>
      <c r="D47" s="1563"/>
      <c r="E47" s="4146"/>
      <c r="F47" s="4147"/>
      <c r="G47" s="1391" t="e">
        <f t="shared" si="0"/>
        <v>#VALUE!</v>
      </c>
      <c r="H47" s="1392" t="e">
        <f t="shared" si="3"/>
        <v>#VALUE!</v>
      </c>
      <c r="I47" s="1389"/>
      <c r="J47" s="1393" t="e">
        <f t="shared" si="1"/>
        <v>#VALUE!</v>
      </c>
      <c r="K47" s="1393" t="e">
        <f t="shared" si="2"/>
        <v>#VALUE!</v>
      </c>
      <c r="L47" s="4164"/>
      <c r="M47" s="4164"/>
    </row>
    <row r="48" spans="2:14" ht="12.75" customHeight="1">
      <c r="B48" s="1561"/>
      <c r="C48" s="1562"/>
      <c r="D48" s="1563"/>
      <c r="E48" s="4146"/>
      <c r="F48" s="4147"/>
      <c r="G48" s="1391" t="e">
        <f t="shared" si="0"/>
        <v>#VALUE!</v>
      </c>
      <c r="H48" s="1392" t="e">
        <f t="shared" si="3"/>
        <v>#VALUE!</v>
      </c>
      <c r="I48" s="1389"/>
      <c r="J48" s="1393" t="e">
        <f t="shared" si="1"/>
        <v>#VALUE!</v>
      </c>
      <c r="K48" s="1393" t="e">
        <f t="shared" si="2"/>
        <v>#VALUE!</v>
      </c>
      <c r="L48" s="4164"/>
      <c r="M48" s="4164"/>
    </row>
    <row r="49" spans="1:13" ht="12.75" customHeight="1">
      <c r="B49" s="1561"/>
      <c r="C49" s="1562"/>
      <c r="D49" s="1563"/>
      <c r="E49" s="4146"/>
      <c r="F49" s="4147"/>
      <c r="G49" s="1391" t="e">
        <f t="shared" si="0"/>
        <v>#VALUE!</v>
      </c>
      <c r="H49" s="1392" t="e">
        <f t="shared" si="3"/>
        <v>#VALUE!</v>
      </c>
      <c r="I49" s="1389"/>
      <c r="J49" s="1393" t="e">
        <f t="shared" si="1"/>
        <v>#VALUE!</v>
      </c>
      <c r="K49" s="1393" t="e">
        <f t="shared" si="2"/>
        <v>#VALUE!</v>
      </c>
      <c r="L49" s="4164"/>
      <c r="M49" s="4164"/>
    </row>
    <row r="50" spans="1:13" ht="12.75" customHeight="1">
      <c r="B50" s="1561"/>
      <c r="C50" s="1562"/>
      <c r="D50" s="1563"/>
      <c r="E50" s="4146"/>
      <c r="F50" s="4147"/>
      <c r="G50" s="1391" t="e">
        <f t="shared" si="0"/>
        <v>#VALUE!</v>
      </c>
      <c r="H50" s="1392" t="e">
        <f t="shared" si="3"/>
        <v>#VALUE!</v>
      </c>
      <c r="I50" s="1389"/>
      <c r="J50" s="1393" t="e">
        <f t="shared" si="1"/>
        <v>#VALUE!</v>
      </c>
      <c r="K50" s="1393" t="e">
        <f t="shared" si="2"/>
        <v>#VALUE!</v>
      </c>
      <c r="L50" s="4164"/>
      <c r="M50" s="4164"/>
    </row>
    <row r="51" spans="1:13" ht="12.75" customHeight="1" thickBot="1">
      <c r="B51" s="1564"/>
      <c r="C51" s="1565"/>
      <c r="D51" s="1566"/>
      <c r="E51" s="4148"/>
      <c r="F51" s="4149"/>
      <c r="G51" s="1394" t="e">
        <f t="shared" si="0"/>
        <v>#VALUE!</v>
      </c>
      <c r="H51" s="1395" t="e">
        <f t="shared" si="3"/>
        <v>#VALUE!</v>
      </c>
      <c r="I51" s="1389"/>
      <c r="J51" s="1396" t="e">
        <f t="shared" si="1"/>
        <v>#VALUE!</v>
      </c>
      <c r="K51" s="1396" t="e">
        <f t="shared" si="2"/>
        <v>#VALUE!</v>
      </c>
      <c r="L51" s="4164"/>
      <c r="M51" s="4164"/>
    </row>
    <row r="52" spans="1:13" ht="15" customHeight="1" thickBot="1">
      <c r="B52" s="1362"/>
      <c r="D52" s="1356"/>
      <c r="E52" s="1356"/>
      <c r="F52" s="1356"/>
      <c r="G52" s="1373" t="s">
        <v>3990</v>
      </c>
      <c r="H52" s="1372" t="e">
        <f>SUM(H33:H51)</f>
        <v>#VALUE!</v>
      </c>
      <c r="I52" s="1356"/>
      <c r="J52" s="1362" t="s">
        <v>3991</v>
      </c>
      <c r="K52" s="1358" t="e">
        <f>SUM(K33:K51)</f>
        <v>#VALUE!</v>
      </c>
      <c r="L52" s="4164"/>
      <c r="M52" s="4164"/>
    </row>
    <row r="53" spans="1:13" ht="15" customHeight="1">
      <c r="B53" s="1363"/>
      <c r="C53" s="4150" t="s">
        <v>3992</v>
      </c>
      <c r="D53" s="4150"/>
      <c r="E53" s="4150"/>
      <c r="F53" s="4150"/>
      <c r="G53" s="4150"/>
      <c r="H53" s="4150"/>
      <c r="I53" s="4150"/>
      <c r="J53" s="4151"/>
      <c r="K53" s="1364" t="str">
        <f>IF(J17="no",0,IF(J17="yes",J16,"Error"))</f>
        <v>Error</v>
      </c>
      <c r="L53" s="4164"/>
      <c r="M53" s="4164"/>
    </row>
    <row r="54" spans="1:13" ht="15" customHeight="1" thickBot="1">
      <c r="B54" s="1363"/>
      <c r="C54" s="4152" t="s">
        <v>3993</v>
      </c>
      <c r="D54" s="4152"/>
      <c r="E54" s="4152"/>
      <c r="F54" s="4152"/>
      <c r="G54" s="4152"/>
      <c r="H54" s="4152"/>
      <c r="I54" s="4152"/>
      <c r="J54" s="4153"/>
      <c r="K54" s="1375" t="e">
        <f>K52+K53</f>
        <v>#VALUE!</v>
      </c>
    </row>
    <row r="55" spans="1:13" ht="7.9" customHeight="1">
      <c r="A55" s="4154"/>
      <c r="B55" s="4124"/>
      <c r="C55" s="4124"/>
      <c r="D55" s="4124"/>
      <c r="E55" s="4124"/>
      <c r="F55" s="4124"/>
      <c r="G55" s="4124"/>
      <c r="H55" s="4124"/>
      <c r="I55" s="4124"/>
      <c r="J55" s="4124"/>
      <c r="K55" s="1386"/>
    </row>
    <row r="56" spans="1:13" ht="15" customHeight="1">
      <c r="A56" s="4125" t="s">
        <v>3994</v>
      </c>
      <c r="B56" s="4126"/>
      <c r="C56" s="4126"/>
      <c r="D56" s="4126"/>
      <c r="E56" s="4126"/>
      <c r="F56" s="4126"/>
      <c r="G56" s="4126"/>
      <c r="H56" s="4126"/>
      <c r="I56" s="4126"/>
      <c r="J56" s="4126"/>
      <c r="K56" s="4127"/>
    </row>
    <row r="57" spans="1:13" ht="48" customHeight="1">
      <c r="A57" s="1348"/>
      <c r="B57" s="1339"/>
      <c r="C57" s="1350" t="s">
        <v>3995</v>
      </c>
      <c r="D57" s="1483" t="s">
        <v>6063</v>
      </c>
      <c r="E57" s="4137" t="s">
        <v>4011</v>
      </c>
      <c r="F57" s="4138"/>
      <c r="G57" s="4139" t="s">
        <v>3996</v>
      </c>
      <c r="H57" s="4140"/>
      <c r="I57" s="4137" t="s">
        <v>4010</v>
      </c>
      <c r="J57" s="4138"/>
      <c r="K57" s="4141"/>
    </row>
    <row r="58" spans="1:13" ht="15" customHeight="1">
      <c r="A58" s="1465"/>
      <c r="B58" s="1381"/>
      <c r="C58" s="1359">
        <f>SUMIF(C33:C51, "0", H33:H51)</f>
        <v>0</v>
      </c>
      <c r="D58" s="1484">
        <f t="shared" ref="D58:D63" si="4">ROUNDUP(C58*1.1,0)</f>
        <v>0</v>
      </c>
      <c r="E58" s="4143" t="s">
        <v>3997</v>
      </c>
      <c r="F58" s="4144"/>
      <c r="G58" s="4131">
        <f>'DCA Underwriting Assumptions'!H129</f>
        <v>159753.60000000001</v>
      </c>
      <c r="H58" s="4132"/>
      <c r="I58" s="4145">
        <f t="shared" ref="I58:I63" si="5">D58*G58</f>
        <v>0</v>
      </c>
      <c r="J58" s="4145"/>
      <c r="K58" s="4142"/>
    </row>
    <row r="59" spans="1:13">
      <c r="A59" s="1465"/>
      <c r="B59" s="1381"/>
      <c r="C59" s="1360">
        <f>SUMIF(C33:C51, "1", H33:H51)</f>
        <v>0</v>
      </c>
      <c r="D59" s="1485">
        <f t="shared" si="4"/>
        <v>0</v>
      </c>
      <c r="E59" s="4129" t="s">
        <v>2462</v>
      </c>
      <c r="F59" s="4130"/>
      <c r="G59" s="4131">
        <f>'DCA Underwriting Assumptions'!H130</f>
        <v>183132</v>
      </c>
      <c r="H59" s="4132"/>
      <c r="I59" s="4133">
        <f t="shared" si="5"/>
        <v>0</v>
      </c>
      <c r="J59" s="4133"/>
      <c r="K59" s="4142"/>
    </row>
    <row r="60" spans="1:13" ht="15" customHeight="1">
      <c r="A60" s="1465"/>
      <c r="B60" s="1381"/>
      <c r="C60" s="1360">
        <f>SUMIF(C33:C51, "2", H33:H51)</f>
        <v>0</v>
      </c>
      <c r="D60" s="1485">
        <f t="shared" si="4"/>
        <v>0</v>
      </c>
      <c r="E60" s="4129" t="s">
        <v>2463</v>
      </c>
      <c r="F60" s="4130"/>
      <c r="G60" s="4131">
        <f>'DCA Underwriting Assumptions'!H131</f>
        <v>222693.6</v>
      </c>
      <c r="H60" s="4132"/>
      <c r="I60" s="4133">
        <f t="shared" si="5"/>
        <v>0</v>
      </c>
      <c r="J60" s="4133"/>
      <c r="K60" s="4142"/>
    </row>
    <row r="61" spans="1:13">
      <c r="A61" s="1465"/>
      <c r="B61" s="1381"/>
      <c r="C61" s="1360">
        <f>SUMIF(C33:C51, "3", H33:H51)</f>
        <v>0</v>
      </c>
      <c r="D61" s="1485">
        <f t="shared" si="4"/>
        <v>0</v>
      </c>
      <c r="E61" s="4129" t="s">
        <v>2466</v>
      </c>
      <c r="F61" s="4130"/>
      <c r="G61" s="4131">
        <f>'DCA Underwriting Assumptions'!H132</f>
        <v>288093.59999999998</v>
      </c>
      <c r="H61" s="4132"/>
      <c r="I61" s="4133">
        <f t="shared" si="5"/>
        <v>0</v>
      </c>
      <c r="J61" s="4133"/>
      <c r="K61" s="4142"/>
    </row>
    <row r="62" spans="1:13">
      <c r="A62" s="1465"/>
      <c r="B62" s="1381"/>
      <c r="C62" s="1360">
        <f>SUMIF(C33:C51, "4", H33:H51)</f>
        <v>0</v>
      </c>
      <c r="D62" s="1485">
        <f t="shared" si="4"/>
        <v>0</v>
      </c>
      <c r="E62" s="4129" t="s">
        <v>3998</v>
      </c>
      <c r="F62" s="4130"/>
      <c r="G62" s="4131">
        <f>'DCA Underwriting Assumptions'!H133</f>
        <v>316236</v>
      </c>
      <c r="H62" s="4132"/>
      <c r="I62" s="4133">
        <f t="shared" si="5"/>
        <v>0</v>
      </c>
      <c r="J62" s="4133"/>
      <c r="K62" s="4142"/>
    </row>
    <row r="63" spans="1:13">
      <c r="A63" s="1482"/>
      <c r="B63" s="1382"/>
      <c r="C63" s="1361">
        <f>SUMIF(C33:C51, "5", H33:H51)</f>
        <v>0</v>
      </c>
      <c r="D63" s="1486">
        <f t="shared" si="4"/>
        <v>0</v>
      </c>
      <c r="E63" s="4134" t="s">
        <v>3999</v>
      </c>
      <c r="F63" s="4135"/>
      <c r="G63" s="4131">
        <f>'DCA Underwriting Assumptions'!H133</f>
        <v>316236</v>
      </c>
      <c r="H63" s="4132"/>
      <c r="I63" s="4136">
        <f t="shared" si="5"/>
        <v>0</v>
      </c>
      <c r="J63" s="4136"/>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4"/>
      <c r="B65" s="4124"/>
      <c r="C65" s="4124"/>
      <c r="D65" s="4124"/>
      <c r="E65" s="4124"/>
      <c r="F65" s="4124"/>
      <c r="G65" s="4124"/>
      <c r="H65" s="4124"/>
      <c r="I65" s="4124"/>
      <c r="J65" s="4124"/>
    </row>
    <row r="66" spans="1:11">
      <c r="A66" s="4125" t="s">
        <v>4002</v>
      </c>
      <c r="B66" s="4126"/>
      <c r="C66" s="4126"/>
      <c r="D66" s="4126"/>
      <c r="E66" s="4126"/>
      <c r="F66" s="4126"/>
      <c r="G66" s="4126"/>
      <c r="H66" s="4126"/>
      <c r="I66" s="4126"/>
      <c r="J66" s="4126"/>
      <c r="K66" s="4127"/>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8" t="s">
        <v>4006</v>
      </c>
      <c r="D70" s="4128"/>
      <c r="E70" s="4128"/>
      <c r="F70" s="4128"/>
      <c r="G70" s="4128"/>
      <c r="H70" s="4128"/>
      <c r="I70" s="4128"/>
      <c r="J70" s="412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The Bridges at Lincom, Hartwell, Hart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1"/>
      <c r="C3" s="4311"/>
      <c r="D3" s="4311"/>
      <c r="E3" s="4311"/>
      <c r="F3" s="4311"/>
      <c r="G3" s="4311"/>
      <c r="H3" s="431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1"/>
      <c r="J3" s="4311"/>
      <c r="K3" s="4311"/>
      <c r="L3" s="4311"/>
      <c r="M3" s="4311"/>
      <c r="N3" s="4311"/>
      <c r="P3" s="4321" t="s">
        <v>876</v>
      </c>
      <c r="Q3" s="4367" t="s">
        <v>6530</v>
      </c>
      <c r="R3" s="1804"/>
      <c r="S3" s="1804"/>
    </row>
    <row r="4" spans="1:19" ht="3" customHeight="1">
      <c r="A4" s="686"/>
      <c r="B4" s="4312"/>
      <c r="C4" s="4312"/>
      <c r="D4" s="4312"/>
      <c r="E4" s="686"/>
      <c r="F4" s="686"/>
      <c r="G4" s="686"/>
      <c r="H4" s="686"/>
      <c r="J4" s="490"/>
      <c r="K4" s="686"/>
      <c r="L4" s="686"/>
      <c r="M4" s="686"/>
      <c r="N4" s="686"/>
      <c r="P4" s="4322"/>
      <c r="Q4" s="4368"/>
      <c r="R4" s="1804"/>
      <c r="S4" s="1804"/>
    </row>
    <row r="5" spans="1:19">
      <c r="E5" s="4320" t="str">
        <f>'Part I-Project Identification'!$A$6</f>
        <v>April 2023</v>
      </c>
      <c r="F5" s="4320"/>
      <c r="G5" s="4320"/>
      <c r="H5" s="4320"/>
      <c r="I5" s="4320"/>
      <c r="J5" s="490"/>
      <c r="K5" s="1805"/>
      <c r="L5" s="1806" t="s">
        <v>6529</v>
      </c>
      <c r="M5" s="1807" t="str">
        <f>'Part I-Project Identification'!$F$12</f>
        <v>9% Credit Competitive Round only</v>
      </c>
      <c r="N5" s="1808"/>
      <c r="O5" s="1809"/>
      <c r="P5" s="4323"/>
      <c r="Q5" s="4369"/>
      <c r="R5" s="1604"/>
      <c r="S5" s="1604"/>
    </row>
    <row r="6" spans="1:19" ht="17.25" customHeight="1">
      <c r="A6" s="96" t="s">
        <v>6528</v>
      </c>
      <c r="I6" s="490"/>
      <c r="J6" s="490"/>
      <c r="K6" s="4318" t="s">
        <v>3280</v>
      </c>
      <c r="L6" s="4318"/>
      <c r="M6" s="4318"/>
      <c r="N6" s="4318"/>
      <c r="O6" s="4319"/>
      <c r="P6" s="4313"/>
      <c r="Q6" s="4314"/>
      <c r="R6" s="1604"/>
      <c r="S6" s="1604"/>
    </row>
    <row r="7" spans="1:19" ht="12.6" customHeight="1">
      <c r="A7" s="97" t="s">
        <v>3066</v>
      </c>
      <c r="H7" s="1001"/>
      <c r="I7" s="1803"/>
      <c r="J7" s="1803"/>
      <c r="K7" s="1001"/>
      <c r="L7" s="1001"/>
      <c r="M7" s="686"/>
      <c r="N7" s="686"/>
    </row>
    <row r="8" spans="1:19" ht="23.25" customHeight="1">
      <c r="A8" s="4315" t="s">
        <v>1329</v>
      </c>
      <c r="B8" s="4316"/>
      <c r="C8" s="4316"/>
      <c r="D8" s="4316"/>
      <c r="E8" s="4316"/>
      <c r="F8" s="4316"/>
      <c r="G8" s="4316"/>
      <c r="H8" s="4316"/>
      <c r="I8" s="4316"/>
      <c r="J8" s="4316"/>
      <c r="K8" s="4316"/>
      <c r="L8" s="4316"/>
      <c r="M8" s="4316"/>
      <c r="N8" s="4316"/>
      <c r="O8" s="4316"/>
      <c r="P8" s="4316"/>
      <c r="Q8" s="4317"/>
      <c r="R8" s="3047" t="s">
        <v>1883</v>
      </c>
      <c r="S8" s="3010"/>
    </row>
    <row r="9" spans="1:19" ht="23.25" customHeight="1">
      <c r="A9" s="4297" t="s">
        <v>218</v>
      </c>
      <c r="B9" s="4298"/>
      <c r="C9" s="4298"/>
      <c r="D9" s="4298"/>
      <c r="E9" s="4298"/>
      <c r="F9" s="4298"/>
      <c r="G9" s="4298"/>
      <c r="H9" s="4298"/>
      <c r="I9" s="4298"/>
      <c r="J9" s="4298"/>
      <c r="K9" s="4298"/>
      <c r="L9" s="4298"/>
      <c r="M9" s="4298"/>
      <c r="N9" s="4298"/>
      <c r="O9" s="4298"/>
      <c r="P9" s="4298"/>
      <c r="Q9" s="4299"/>
      <c r="R9" s="3047"/>
      <c r="S9" s="3010"/>
    </row>
    <row r="10" spans="1:19" ht="23.25" customHeight="1">
      <c r="A10" s="4297" t="s">
        <v>1325</v>
      </c>
      <c r="B10" s="4298"/>
      <c r="C10" s="4298"/>
      <c r="D10" s="4298"/>
      <c r="E10" s="4298"/>
      <c r="F10" s="4298"/>
      <c r="G10" s="4298"/>
      <c r="H10" s="4298"/>
      <c r="I10" s="4298"/>
      <c r="J10" s="4298"/>
      <c r="K10" s="4298"/>
      <c r="L10" s="4298"/>
      <c r="M10" s="4298"/>
      <c r="N10" s="4298"/>
      <c r="O10" s="4298"/>
      <c r="P10" s="4298"/>
      <c r="Q10" s="4299"/>
      <c r="R10" s="3047"/>
      <c r="S10" s="3010"/>
    </row>
    <row r="11" spans="1:19" ht="23.25" customHeight="1">
      <c r="A11" s="4297" t="s">
        <v>1326</v>
      </c>
      <c r="B11" s="4298"/>
      <c r="C11" s="4298"/>
      <c r="D11" s="4298"/>
      <c r="E11" s="4298"/>
      <c r="F11" s="4298"/>
      <c r="G11" s="4298"/>
      <c r="H11" s="4298"/>
      <c r="I11" s="4298"/>
      <c r="J11" s="4298"/>
      <c r="K11" s="4298"/>
      <c r="L11" s="4298"/>
      <c r="M11" s="4298"/>
      <c r="N11" s="4298"/>
      <c r="O11" s="4298"/>
      <c r="P11" s="4298"/>
      <c r="Q11" s="4299"/>
      <c r="R11" s="3047"/>
      <c r="S11" s="3010"/>
    </row>
    <row r="12" spans="1:19" ht="23.25" customHeight="1">
      <c r="A12" s="4297" t="s">
        <v>1327</v>
      </c>
      <c r="B12" s="4298"/>
      <c r="C12" s="4298"/>
      <c r="D12" s="4298"/>
      <c r="E12" s="4298"/>
      <c r="F12" s="4298"/>
      <c r="G12" s="4298"/>
      <c r="H12" s="4298"/>
      <c r="I12" s="4298"/>
      <c r="J12" s="4298"/>
      <c r="K12" s="4298"/>
      <c r="L12" s="4298"/>
      <c r="M12" s="4298"/>
      <c r="N12" s="4298"/>
      <c r="O12" s="4298"/>
      <c r="P12" s="4298"/>
      <c r="Q12" s="4299"/>
      <c r="R12" s="886"/>
      <c r="S12" s="886"/>
    </row>
    <row r="13" spans="1:19" ht="23.25" customHeight="1">
      <c r="A13" s="4297" t="s">
        <v>1328</v>
      </c>
      <c r="B13" s="4298"/>
      <c r="C13" s="4298"/>
      <c r="D13" s="4298"/>
      <c r="E13" s="4298"/>
      <c r="F13" s="4298"/>
      <c r="G13" s="4298"/>
      <c r="H13" s="4298"/>
      <c r="I13" s="4298"/>
      <c r="J13" s="4298"/>
      <c r="K13" s="4298"/>
      <c r="L13" s="4298"/>
      <c r="M13" s="4298"/>
      <c r="N13" s="4298"/>
      <c r="O13" s="4298"/>
      <c r="P13" s="4298"/>
      <c r="Q13" s="4299"/>
      <c r="R13" s="886"/>
      <c r="S13" s="886"/>
    </row>
    <row r="14" spans="1:19" ht="23.25" customHeight="1">
      <c r="A14" s="4297" t="s">
        <v>1330</v>
      </c>
      <c r="B14" s="4298"/>
      <c r="C14" s="4298"/>
      <c r="D14" s="4298"/>
      <c r="E14" s="4298"/>
      <c r="F14" s="4298"/>
      <c r="G14" s="4298"/>
      <c r="H14" s="4298"/>
      <c r="I14" s="4298"/>
      <c r="J14" s="4298"/>
      <c r="K14" s="4298"/>
      <c r="L14" s="4298"/>
      <c r="M14" s="4298"/>
      <c r="N14" s="4298"/>
      <c r="O14" s="4298"/>
      <c r="P14" s="4298"/>
      <c r="Q14" s="4299"/>
    </row>
    <row r="15" spans="1:19" ht="11.25" customHeight="1">
      <c r="A15" s="4297" t="s">
        <v>1872</v>
      </c>
      <c r="B15" s="4298"/>
      <c r="C15" s="4298"/>
      <c r="D15" s="4298"/>
      <c r="E15" s="4298"/>
      <c r="F15" s="4298"/>
      <c r="G15" s="4298"/>
      <c r="H15" s="4298"/>
      <c r="I15" s="4298"/>
      <c r="J15" s="4298"/>
      <c r="K15" s="4298"/>
      <c r="L15" s="4298"/>
      <c r="M15" s="4298"/>
      <c r="N15" s="4298"/>
      <c r="O15" s="4298"/>
      <c r="P15" s="4298"/>
      <c r="Q15" s="4299"/>
      <c r="R15" s="3047"/>
      <c r="S15" s="3010"/>
    </row>
    <row r="16" spans="1:19" ht="11.25" customHeight="1">
      <c r="A16" s="4297" t="s">
        <v>1873</v>
      </c>
      <c r="B16" s="4298"/>
      <c r="C16" s="4298"/>
      <c r="D16" s="4298"/>
      <c r="E16" s="4298"/>
      <c r="F16" s="4298"/>
      <c r="G16" s="4298"/>
      <c r="H16" s="4298"/>
      <c r="I16" s="4298"/>
      <c r="J16" s="4298"/>
      <c r="K16" s="4298"/>
      <c r="L16" s="4298"/>
      <c r="M16" s="4298"/>
      <c r="N16" s="4298"/>
      <c r="O16" s="4298"/>
      <c r="P16" s="4298"/>
      <c r="Q16" s="4299"/>
      <c r="R16" s="3047"/>
      <c r="S16" s="3010"/>
    </row>
    <row r="17" spans="1:31" ht="11.25" customHeight="1">
      <c r="A17" s="4297" t="s">
        <v>1874</v>
      </c>
      <c r="B17" s="4298"/>
      <c r="C17" s="4298"/>
      <c r="D17" s="4298"/>
      <c r="E17" s="4298"/>
      <c r="F17" s="4298"/>
      <c r="G17" s="4298"/>
      <c r="H17" s="4298"/>
      <c r="I17" s="4298"/>
      <c r="J17" s="4298"/>
      <c r="K17" s="4298"/>
      <c r="L17" s="4298"/>
      <c r="M17" s="4298"/>
      <c r="N17" s="4298"/>
      <c r="O17" s="4298"/>
      <c r="P17" s="4298"/>
      <c r="Q17" s="4299"/>
      <c r="R17" s="3047"/>
      <c r="S17" s="3010"/>
    </row>
    <row r="18" spans="1:31" ht="11.25" customHeight="1">
      <c r="A18" s="4297" t="s">
        <v>1875</v>
      </c>
      <c r="B18" s="4298"/>
      <c r="C18" s="4298"/>
      <c r="D18" s="4298"/>
      <c r="E18" s="4298"/>
      <c r="F18" s="4298"/>
      <c r="G18" s="4298"/>
      <c r="H18" s="4298"/>
      <c r="I18" s="4298"/>
      <c r="J18" s="4298"/>
      <c r="K18" s="4298"/>
      <c r="L18" s="4298"/>
      <c r="M18" s="4298"/>
      <c r="N18" s="4298"/>
      <c r="O18" s="4298"/>
      <c r="P18" s="4298"/>
      <c r="Q18" s="4299"/>
      <c r="R18" s="3047"/>
      <c r="S18" s="3010"/>
    </row>
    <row r="19" spans="1:31" ht="11.25" customHeight="1">
      <c r="A19" s="4297" t="s">
        <v>1876</v>
      </c>
      <c r="B19" s="4298"/>
      <c r="C19" s="4298"/>
      <c r="D19" s="4298"/>
      <c r="E19" s="4298"/>
      <c r="F19" s="4298"/>
      <c r="G19" s="4298"/>
      <c r="H19" s="4298"/>
      <c r="I19" s="4298"/>
      <c r="J19" s="4298"/>
      <c r="K19" s="4298"/>
      <c r="L19" s="4298"/>
      <c r="M19" s="4298"/>
      <c r="N19" s="4298"/>
      <c r="O19" s="4298"/>
      <c r="P19" s="4298"/>
      <c r="Q19" s="4299"/>
      <c r="R19" s="3047"/>
      <c r="S19" s="3010"/>
    </row>
    <row r="20" spans="1:31" ht="11.25" customHeight="1">
      <c r="A20" s="4297" t="s">
        <v>1877</v>
      </c>
      <c r="B20" s="4298"/>
      <c r="C20" s="4298"/>
      <c r="D20" s="4298"/>
      <c r="E20" s="4298"/>
      <c r="F20" s="4298"/>
      <c r="G20" s="4298"/>
      <c r="H20" s="4298"/>
      <c r="I20" s="4298"/>
      <c r="J20" s="4298"/>
      <c r="K20" s="4298"/>
      <c r="L20" s="4298"/>
      <c r="M20" s="4298"/>
      <c r="N20" s="4298"/>
      <c r="O20" s="4298"/>
      <c r="P20" s="4298"/>
      <c r="Q20" s="4299"/>
      <c r="R20" s="3047"/>
      <c r="S20" s="3010"/>
    </row>
    <row r="21" spans="1:31" ht="11.25" customHeight="1">
      <c r="A21" s="4297" t="s">
        <v>1878</v>
      </c>
      <c r="B21" s="4298"/>
      <c r="C21" s="4298"/>
      <c r="D21" s="4298"/>
      <c r="E21" s="4298"/>
      <c r="F21" s="4298"/>
      <c r="G21" s="4298"/>
      <c r="H21" s="4298"/>
      <c r="I21" s="4298"/>
      <c r="J21" s="4298"/>
      <c r="K21" s="4298"/>
      <c r="L21" s="4298"/>
      <c r="M21" s="4298"/>
      <c r="N21" s="4298"/>
      <c r="O21" s="4298"/>
      <c r="P21" s="4298"/>
      <c r="Q21" s="4299"/>
    </row>
    <row r="22" spans="1:31" ht="11.25" customHeight="1">
      <c r="A22" s="4297" t="s">
        <v>1879</v>
      </c>
      <c r="B22" s="4298"/>
      <c r="C22" s="4298"/>
      <c r="D22" s="4298"/>
      <c r="E22" s="4298"/>
      <c r="F22" s="4298"/>
      <c r="G22" s="4298"/>
      <c r="H22" s="4298"/>
      <c r="I22" s="4298"/>
      <c r="J22" s="4298"/>
      <c r="K22" s="4298"/>
      <c r="L22" s="4298"/>
      <c r="M22" s="4298"/>
      <c r="N22" s="4298"/>
      <c r="O22" s="4298"/>
      <c r="P22" s="4298"/>
      <c r="Q22" s="4299"/>
      <c r="R22" s="3047"/>
      <c r="S22" s="3010"/>
    </row>
    <row r="23" spans="1:31" ht="11.25" customHeight="1">
      <c r="A23" s="4297" t="s">
        <v>1880</v>
      </c>
      <c r="B23" s="4298"/>
      <c r="C23" s="4298"/>
      <c r="D23" s="4298"/>
      <c r="E23" s="4298"/>
      <c r="F23" s="4298"/>
      <c r="G23" s="4298"/>
      <c r="H23" s="4298"/>
      <c r="I23" s="4298"/>
      <c r="J23" s="4298"/>
      <c r="K23" s="4298"/>
      <c r="L23" s="4298"/>
      <c r="M23" s="4298"/>
      <c r="N23" s="4298"/>
      <c r="O23" s="4298"/>
      <c r="P23" s="4298"/>
      <c r="Q23" s="4299"/>
      <c r="R23" s="3047"/>
      <c r="S23" s="3010"/>
    </row>
    <row r="24" spans="1:31" ht="11.25" customHeight="1">
      <c r="A24" s="4297" t="s">
        <v>1881</v>
      </c>
      <c r="B24" s="4298"/>
      <c r="C24" s="4298"/>
      <c r="D24" s="4298"/>
      <c r="E24" s="4298"/>
      <c r="F24" s="4298"/>
      <c r="G24" s="4298"/>
      <c r="H24" s="4298"/>
      <c r="I24" s="4298"/>
      <c r="J24" s="4298"/>
      <c r="K24" s="4298"/>
      <c r="L24" s="4298"/>
      <c r="M24" s="4298"/>
      <c r="N24" s="4298"/>
      <c r="O24" s="4298"/>
      <c r="P24" s="4298"/>
      <c r="Q24" s="4299"/>
      <c r="R24" s="3047"/>
      <c r="S24" s="3010"/>
    </row>
    <row r="25" spans="1:31" ht="11.25" customHeight="1">
      <c r="A25" s="4300" t="s">
        <v>1882</v>
      </c>
      <c r="B25" s="4301"/>
      <c r="C25" s="4301"/>
      <c r="D25" s="4301"/>
      <c r="E25" s="4301"/>
      <c r="F25" s="4301"/>
      <c r="G25" s="4301"/>
      <c r="H25" s="4301"/>
      <c r="I25" s="4301"/>
      <c r="J25" s="4301"/>
      <c r="K25" s="4301"/>
      <c r="L25" s="4301"/>
      <c r="M25" s="4301"/>
      <c r="N25" s="4301"/>
      <c r="O25" s="4301"/>
      <c r="P25" s="4301"/>
      <c r="Q25" s="4302"/>
      <c r="R25" s="3047"/>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200"/>
      <c r="Q27" s="4201"/>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8"/>
      <c r="B30" s="4209"/>
      <c r="C30" s="4209"/>
      <c r="D30" s="4209"/>
      <c r="E30" s="4209"/>
      <c r="F30" s="4209"/>
      <c r="G30" s="4209"/>
      <c r="H30" s="4209"/>
      <c r="I30" s="4209"/>
      <c r="J30" s="4209"/>
      <c r="K30" s="4209"/>
      <c r="L30" s="4209"/>
      <c r="M30" s="4209"/>
      <c r="N30" s="4209"/>
      <c r="O30" s="4209"/>
      <c r="P30" s="4209"/>
      <c r="Q30" s="4210"/>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0"/>
      <c r="B32" s="4310"/>
      <c r="C32" s="4310"/>
      <c r="D32" s="4310"/>
      <c r="E32" s="4310"/>
      <c r="F32" s="4310"/>
      <c r="G32" s="4310"/>
      <c r="H32" s="4310"/>
      <c r="I32" s="4310"/>
      <c r="J32" s="4310"/>
      <c r="K32" s="4310"/>
      <c r="L32" s="4310"/>
      <c r="M32" s="4310"/>
      <c r="N32" s="4310"/>
      <c r="O32" s="4310"/>
      <c r="P32" s="4310"/>
      <c r="Q32" s="4310"/>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00"/>
      <c r="Q34" s="4201"/>
    </row>
    <row r="35" spans="1:31" ht="12.75" customHeight="1">
      <c r="A35" s="2"/>
      <c r="B35" s="108" t="s">
        <v>6640</v>
      </c>
      <c r="C35" s="4"/>
      <c r="D35" s="4"/>
      <c r="E35" s="887"/>
      <c r="F35" s="887"/>
      <c r="H35" s="887"/>
      <c r="J35" s="3040" t="s">
        <v>6464</v>
      </c>
      <c r="K35" s="3041"/>
      <c r="L35" s="3042"/>
      <c r="M35" s="147" t="s">
        <v>1647</v>
      </c>
      <c r="N35" s="4191"/>
      <c r="O35" s="4192"/>
      <c r="P35" s="4192"/>
      <c r="Q35" s="4193"/>
    </row>
    <row r="36" spans="1:31" ht="12.75" customHeight="1">
      <c r="A36" s="2"/>
      <c r="B36" s="108" t="s">
        <v>6639</v>
      </c>
      <c r="C36" s="4"/>
      <c r="D36" s="4"/>
      <c r="E36" s="887"/>
      <c r="F36" s="887"/>
      <c r="G36" s="1664"/>
      <c r="H36" s="887"/>
      <c r="J36" s="3040" t="s">
        <v>6465</v>
      </c>
      <c r="K36" s="3041"/>
      <c r="L36" s="3042"/>
      <c r="M36" s="147" t="s">
        <v>1647</v>
      </c>
      <c r="N36" s="4191"/>
      <c r="O36" s="4192"/>
      <c r="P36" s="4192"/>
      <c r="Q36" s="4193"/>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08"/>
      <c r="B38" s="4209"/>
      <c r="C38" s="4209"/>
      <c r="D38" s="4209"/>
      <c r="E38" s="4209"/>
      <c r="F38" s="4209"/>
      <c r="G38" s="4209"/>
      <c r="H38" s="4209"/>
      <c r="I38" s="4209"/>
      <c r="J38" s="4210"/>
      <c r="K38" s="4205"/>
      <c r="L38" s="4206"/>
      <c r="M38" s="4206"/>
      <c r="N38" s="4206"/>
      <c r="O38" s="4206"/>
      <c r="P38" s="4206"/>
      <c r="Q38" s="420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00"/>
      <c r="Q40" s="4201"/>
    </row>
    <row r="41" spans="1:31" ht="1.5" customHeight="1"/>
    <row r="42" spans="1:31" ht="12" customHeight="1">
      <c r="A42" s="110" t="s">
        <v>1841</v>
      </c>
      <c r="B42" s="4194" t="s">
        <v>3783</v>
      </c>
      <c r="C42" s="4194"/>
      <c r="D42" s="4194"/>
      <c r="E42" s="4194"/>
      <c r="F42" s="4194"/>
      <c r="G42" s="4194"/>
      <c r="H42" s="4194"/>
      <c r="I42" s="4194"/>
      <c r="J42" s="4194"/>
      <c r="K42" s="115"/>
      <c r="L42" s="347" t="s">
        <v>2580</v>
      </c>
      <c r="M42" s="1203">
        <v>2</v>
      </c>
      <c r="N42" s="108" t="s">
        <v>4020</v>
      </c>
      <c r="P42" s="4346"/>
      <c r="Q42" s="4356"/>
    </row>
    <row r="43" spans="1:31" ht="12" customHeight="1">
      <c r="A43" s="110"/>
      <c r="B43" s="4194"/>
      <c r="C43" s="4194"/>
      <c r="D43" s="4194"/>
      <c r="E43" s="4194"/>
      <c r="F43" s="4194"/>
      <c r="G43" s="4194"/>
      <c r="H43" s="4194"/>
      <c r="I43" s="4194"/>
      <c r="J43" s="4194"/>
      <c r="K43" s="115"/>
      <c r="L43" s="347" t="s">
        <v>3787</v>
      </c>
      <c r="M43" s="1204">
        <v>4</v>
      </c>
      <c r="O43" s="111"/>
      <c r="P43" s="4347"/>
      <c r="Q43" s="4357"/>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7"/>
      <c r="M50" s="4218"/>
      <c r="N50" s="4218"/>
      <c r="O50" s="4218"/>
      <c r="P50" s="4218"/>
      <c r="Q50" s="4296"/>
    </row>
    <row r="51" spans="1:31" ht="12.75" customHeight="1">
      <c r="A51" s="112"/>
      <c r="B51" s="372" t="s">
        <v>1448</v>
      </c>
      <c r="C51" s="4194" t="s">
        <v>3793</v>
      </c>
      <c r="D51" s="4194"/>
      <c r="E51" s="4194"/>
      <c r="F51" s="4194"/>
      <c r="G51" s="4194"/>
      <c r="H51" s="4194"/>
      <c r="I51" s="4194"/>
      <c r="J51" s="4194"/>
      <c r="K51" s="4194"/>
      <c r="L51" s="4194"/>
      <c r="M51" s="413"/>
      <c r="N51" s="108" t="s">
        <v>4025</v>
      </c>
      <c r="O51" s="717"/>
      <c r="P51" s="373"/>
      <c r="Q51" s="418"/>
    </row>
    <row r="52" spans="1:31" ht="12.75" customHeight="1">
      <c r="A52" s="40"/>
      <c r="C52" s="4194"/>
      <c r="D52" s="4194"/>
      <c r="E52" s="4194"/>
      <c r="F52" s="4194"/>
      <c r="G52" s="4194"/>
      <c r="H52" s="4194"/>
      <c r="I52" s="4194"/>
      <c r="J52" s="4194"/>
      <c r="K52" s="4194"/>
      <c r="L52" s="4194"/>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8"/>
      <c r="B54" s="4209"/>
      <c r="C54" s="4209"/>
      <c r="D54" s="4209"/>
      <c r="E54" s="4209"/>
      <c r="F54" s="4209"/>
      <c r="G54" s="4209"/>
      <c r="H54" s="4209"/>
      <c r="I54" s="4209"/>
      <c r="J54" s="4210"/>
      <c r="K54" s="4205"/>
      <c r="L54" s="4206"/>
      <c r="M54" s="4206"/>
      <c r="N54" s="4206"/>
      <c r="O54" s="4206"/>
      <c r="P54" s="4206"/>
      <c r="Q54" s="420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00"/>
      <c r="Q56" s="4201"/>
    </row>
    <row r="57" spans="1:31" ht="3" customHeight="1"/>
    <row r="58" spans="1:31" ht="12.75" customHeight="1">
      <c r="A58" s="40" t="s">
        <v>1841</v>
      </c>
      <c r="B58" s="32" t="s">
        <v>2264</v>
      </c>
      <c r="D58" s="103"/>
      <c r="E58" s="103"/>
      <c r="F58" s="103"/>
      <c r="G58" s="103"/>
      <c r="H58" s="103"/>
      <c r="I58" s="35"/>
      <c r="J58" s="35"/>
      <c r="K58" s="35"/>
      <c r="L58" s="48" t="s">
        <v>1841</v>
      </c>
      <c r="M58" s="4221"/>
      <c r="N58" s="4222"/>
      <c r="O58" s="4222"/>
      <c r="P58" s="4309"/>
      <c r="Q58" s="419"/>
    </row>
    <row r="59" spans="1:31" ht="12.75" customHeight="1">
      <c r="A59" s="40" t="s">
        <v>1843</v>
      </c>
      <c r="B59" s="29" t="s">
        <v>3945</v>
      </c>
      <c r="D59" s="103"/>
      <c r="E59" s="103"/>
      <c r="F59" s="103"/>
      <c r="L59" s="48" t="s">
        <v>1843</v>
      </c>
      <c r="M59" s="4344"/>
      <c r="N59" s="4345"/>
      <c r="O59" s="4345"/>
      <c r="P59" s="3209"/>
      <c r="Q59" s="420"/>
    </row>
    <row r="60" spans="1:31" ht="12.75" customHeight="1">
      <c r="A60" s="40" t="s">
        <v>698</v>
      </c>
      <c r="B60" s="29" t="s">
        <v>2557</v>
      </c>
      <c r="D60" s="103"/>
      <c r="E60" s="103"/>
      <c r="F60" s="103"/>
      <c r="L60" s="48" t="s">
        <v>698</v>
      </c>
      <c r="M60" s="4340"/>
      <c r="N60" s="4341"/>
      <c r="O60" s="4341"/>
      <c r="P60" s="4342"/>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6"/>
      <c r="F64" s="4236"/>
      <c r="G64" s="4236"/>
      <c r="H64" s="48" t="s">
        <v>2182</v>
      </c>
      <c r="I64" s="384"/>
      <c r="J64" s="4236"/>
      <c r="K64" s="4236"/>
      <c r="L64" s="4236"/>
      <c r="M64" s="48" t="s">
        <v>93</v>
      </c>
      <c r="N64" s="384"/>
      <c r="O64" s="4236"/>
      <c r="P64" s="4236"/>
      <c r="Q64" s="4236"/>
    </row>
    <row r="65" spans="1:31" ht="12.75" customHeight="1">
      <c r="C65" s="49" t="s">
        <v>1615</v>
      </c>
      <c r="D65" s="1772"/>
      <c r="E65" s="4237"/>
      <c r="F65" s="4237"/>
      <c r="G65" s="4237"/>
      <c r="H65" s="48" t="s">
        <v>1448</v>
      </c>
      <c r="I65" s="1772"/>
      <c r="J65" s="4237"/>
      <c r="K65" s="4237"/>
      <c r="L65" s="4237"/>
      <c r="M65" s="48" t="s">
        <v>481</v>
      </c>
      <c r="N65" s="1772"/>
      <c r="O65" s="4237"/>
      <c r="P65" s="4237"/>
      <c r="Q65" s="4237"/>
    </row>
    <row r="66" spans="1:31" ht="12.75" customHeight="1">
      <c r="C66" s="49" t="s">
        <v>1616</v>
      </c>
      <c r="D66" s="385"/>
      <c r="E66" s="4238"/>
      <c r="F66" s="4238"/>
      <c r="G66" s="4238"/>
      <c r="H66" s="48" t="s">
        <v>1449</v>
      </c>
      <c r="I66" s="385"/>
      <c r="J66" s="4238"/>
      <c r="K66" s="4238"/>
      <c r="L66" s="4238"/>
      <c r="M66" s="48" t="s">
        <v>482</v>
      </c>
      <c r="N66" s="385"/>
      <c r="O66" s="4238"/>
      <c r="P66" s="4238"/>
      <c r="Q66" s="4238"/>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8"/>
      <c r="B71" s="4209"/>
      <c r="C71" s="4209"/>
      <c r="D71" s="4209"/>
      <c r="E71" s="4209"/>
      <c r="F71" s="4209"/>
      <c r="G71" s="4209"/>
      <c r="H71" s="4209"/>
      <c r="I71" s="4209"/>
      <c r="J71" s="4209"/>
      <c r="K71" s="4209"/>
      <c r="L71" s="4209"/>
      <c r="M71" s="4209"/>
      <c r="N71" s="4209"/>
      <c r="O71" s="4209"/>
      <c r="P71" s="4209"/>
      <c r="Q71" s="4210"/>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5"/>
      <c r="B73" s="4206"/>
      <c r="C73" s="4206"/>
      <c r="D73" s="4206"/>
      <c r="E73" s="4206"/>
      <c r="F73" s="4206"/>
      <c r="G73" s="4206"/>
      <c r="H73" s="4206"/>
      <c r="I73" s="4206"/>
      <c r="J73" s="4206"/>
      <c r="K73" s="4206"/>
      <c r="L73" s="4206"/>
      <c r="M73" s="4206"/>
      <c r="N73" s="4206"/>
      <c r="O73" s="4206"/>
      <c r="P73" s="4206"/>
      <c r="Q73" s="4207"/>
    </row>
    <row r="74" spans="1:31" ht="14.1" customHeight="1">
      <c r="A74" s="2" t="s">
        <v>496</v>
      </c>
      <c r="B74" s="2" t="s">
        <v>2423</v>
      </c>
      <c r="C74" s="2"/>
      <c r="D74" s="887"/>
      <c r="E74" s="887"/>
      <c r="F74" s="887"/>
      <c r="G74" s="887"/>
      <c r="H74" s="887"/>
      <c r="I74" s="887"/>
      <c r="J74" s="887"/>
      <c r="K74" s="887"/>
      <c r="L74" s="887"/>
      <c r="M74" s="887"/>
      <c r="O74" s="101" t="s">
        <v>1731</v>
      </c>
      <c r="P74" s="4200"/>
      <c r="Q74" s="4201"/>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7"/>
      <c r="N77" s="4218"/>
      <c r="O77" s="4218"/>
      <c r="P77" s="4219"/>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4" t="s">
        <v>3948</v>
      </c>
      <c r="D84" s="4194"/>
      <c r="E84" s="4194"/>
      <c r="F84" s="4194"/>
      <c r="G84" s="4194"/>
      <c r="H84" s="4194"/>
      <c r="I84" s="4194"/>
      <c r="J84" s="4194"/>
      <c r="K84" s="4194"/>
      <c r="L84" s="4194"/>
      <c r="M84" s="4194"/>
      <c r="N84" s="4194"/>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8"/>
      <c r="B89" s="4209"/>
      <c r="C89" s="4209"/>
      <c r="D89" s="4209"/>
      <c r="E89" s="4209"/>
      <c r="F89" s="4209"/>
      <c r="G89" s="4209"/>
      <c r="H89" s="4209"/>
      <c r="I89" s="4209"/>
      <c r="J89" s="4209"/>
      <c r="K89" s="4209"/>
      <c r="L89" s="4209"/>
      <c r="M89" s="4209"/>
      <c r="N89" s="4209"/>
      <c r="O89" s="4209"/>
      <c r="P89" s="4209"/>
      <c r="Q89" s="4210"/>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5"/>
      <c r="B91" s="4206"/>
      <c r="C91" s="4206"/>
      <c r="D91" s="4206"/>
      <c r="E91" s="4206"/>
      <c r="F91" s="4206"/>
      <c r="G91" s="4206"/>
      <c r="H91" s="4206"/>
      <c r="I91" s="4206"/>
      <c r="J91" s="4206"/>
      <c r="K91" s="4206"/>
      <c r="L91" s="4206"/>
      <c r="M91" s="4206"/>
      <c r="N91" s="4206"/>
      <c r="O91" s="4206"/>
      <c r="P91" s="4206"/>
      <c r="Q91" s="4207"/>
    </row>
    <row r="92" spans="1:31" ht="14.1" customHeight="1">
      <c r="A92" s="2" t="s">
        <v>720</v>
      </c>
      <c r="B92" s="2" t="s">
        <v>2424</v>
      </c>
      <c r="C92" s="33"/>
      <c r="D92" s="887"/>
      <c r="E92" s="887"/>
      <c r="F92" s="887"/>
      <c r="G92" s="887"/>
      <c r="H92" s="887"/>
      <c r="I92" s="887"/>
      <c r="J92" s="887"/>
      <c r="K92" s="887"/>
      <c r="L92" s="887"/>
      <c r="M92" s="887"/>
      <c r="N92" s="858" t="s">
        <v>6531</v>
      </c>
      <c r="O92" s="101" t="s">
        <v>1731</v>
      </c>
      <c r="P92" s="4200"/>
      <c r="Q92" s="4201"/>
      <c r="R92" s="860" t="s">
        <v>6518</v>
      </c>
    </row>
    <row r="93" spans="1:31" ht="6.6" customHeight="1"/>
    <row r="94" spans="1:31">
      <c r="A94" s="40" t="s">
        <v>1841</v>
      </c>
      <c r="B94" s="29" t="s">
        <v>6185</v>
      </c>
      <c r="D94" s="103"/>
      <c r="E94" s="103"/>
      <c r="F94" s="103"/>
      <c r="G94" s="103"/>
      <c r="H94" s="103"/>
      <c r="I94" s="35"/>
      <c r="J94" s="35"/>
      <c r="K94" s="48" t="s">
        <v>1841</v>
      </c>
      <c r="L94" s="4239"/>
      <c r="M94" s="4239"/>
      <c r="N94" s="4239"/>
      <c r="O94" s="4239"/>
      <c r="P94" s="4240"/>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8"/>
      <c r="M99" s="4358"/>
      <c r="N99" s="4358"/>
      <c r="O99" s="4358"/>
      <c r="P99" s="4359"/>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3"/>
      <c r="D116" s="4343"/>
      <c r="E116" s="4343"/>
      <c r="F116" s="4343"/>
      <c r="G116" s="4343"/>
      <c r="H116" s="4343"/>
      <c r="I116" s="4343"/>
      <c r="J116" s="4343"/>
      <c r="K116" s="4343"/>
      <c r="L116" s="4343"/>
      <c r="M116" s="4343"/>
      <c r="N116" s="4343"/>
      <c r="O116" s="4343"/>
      <c r="P116" s="4343"/>
      <c r="Q116" s="4343"/>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4" t="s">
        <v>141</v>
      </c>
      <c r="C123" s="4194"/>
      <c r="D123" s="4194"/>
      <c r="E123" s="4194"/>
      <c r="F123" s="4194"/>
      <c r="G123" s="4194"/>
      <c r="H123" s="4194"/>
      <c r="I123" s="4194"/>
      <c r="J123" s="4194"/>
      <c r="K123" s="4194"/>
      <c r="L123" s="4194"/>
      <c r="M123" s="128" t="s">
        <v>1808</v>
      </c>
      <c r="N123" s="4374" t="s">
        <v>1646</v>
      </c>
      <c r="O123" s="4375"/>
      <c r="P123" s="4376" t="s">
        <v>1646</v>
      </c>
      <c r="Q123" s="4377"/>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8"/>
      <c r="B125" s="4209"/>
      <c r="C125" s="4209"/>
      <c r="D125" s="4209"/>
      <c r="E125" s="4209"/>
      <c r="F125" s="4209"/>
      <c r="G125" s="4209"/>
      <c r="H125" s="4209"/>
      <c r="I125" s="4209"/>
      <c r="J125" s="4209"/>
      <c r="K125" s="4209"/>
      <c r="L125" s="4209"/>
      <c r="M125" s="4209"/>
      <c r="N125" s="4209"/>
      <c r="O125" s="4209"/>
      <c r="P125" s="4209"/>
      <c r="Q125" s="4210"/>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5"/>
      <c r="B128" s="4206"/>
      <c r="C128" s="4206"/>
      <c r="D128" s="4206"/>
      <c r="E128" s="4206"/>
      <c r="F128" s="4206"/>
      <c r="G128" s="4206"/>
      <c r="H128" s="4206"/>
      <c r="I128" s="4206"/>
      <c r="J128" s="4206"/>
      <c r="K128" s="4206"/>
      <c r="L128" s="4206"/>
      <c r="M128" s="4206"/>
      <c r="N128" s="4206"/>
      <c r="O128" s="4206"/>
      <c r="P128" s="4206"/>
      <c r="Q128" s="420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00"/>
      <c r="Q130" s="4201"/>
      <c r="R130" s="860" t="s">
        <v>6518</v>
      </c>
    </row>
    <row r="131" spans="1:31" ht="12" customHeight="1">
      <c r="A131" s="40" t="s">
        <v>1841</v>
      </c>
      <c r="B131" s="113" t="s">
        <v>1614</v>
      </c>
      <c r="C131" s="29" t="s">
        <v>6533</v>
      </c>
      <c r="D131" s="29"/>
      <c r="E131" s="29"/>
      <c r="F131" s="29"/>
      <c r="G131" s="29"/>
      <c r="K131" s="29" t="s">
        <v>2460</v>
      </c>
      <c r="M131" s="4303"/>
      <c r="N131" s="4304"/>
      <c r="O131" s="49" t="s">
        <v>1614</v>
      </c>
      <c r="P131" s="74"/>
      <c r="Q131" s="417"/>
    </row>
    <row r="132" spans="1:31" ht="12" customHeight="1">
      <c r="A132" s="40"/>
      <c r="B132" s="113" t="s">
        <v>1615</v>
      </c>
      <c r="C132" s="29" t="s">
        <v>4054</v>
      </c>
      <c r="D132" s="29"/>
      <c r="E132" s="29"/>
      <c r="F132" s="29"/>
      <c r="G132" s="29"/>
      <c r="K132" s="29" t="s">
        <v>2460</v>
      </c>
      <c r="M132" s="4303"/>
      <c r="N132" s="4304"/>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5" t="s">
        <v>6840</v>
      </c>
      <c r="N133" s="4306"/>
      <c r="P133" s="4307" t="s">
        <v>1646</v>
      </c>
      <c r="Q133" s="4308"/>
    </row>
    <row r="134" spans="1:31" ht="12" customHeight="1">
      <c r="A134" s="40" t="s">
        <v>698</v>
      </c>
      <c r="B134" s="108" t="s">
        <v>636</v>
      </c>
      <c r="D134" s="108"/>
      <c r="E134" s="108"/>
      <c r="F134" s="108"/>
      <c r="G134" s="108"/>
      <c r="H134" s="108"/>
      <c r="J134" s="48" t="s">
        <v>698</v>
      </c>
      <c r="K134" s="4217"/>
      <c r="L134" s="4218"/>
      <c r="M134" s="4218"/>
      <c r="N134" s="4218"/>
      <c r="O134" s="4218"/>
      <c r="P134" s="4296"/>
      <c r="Q134" s="417"/>
    </row>
    <row r="135" spans="1:31" ht="21.75" customHeight="1">
      <c r="A135" s="110" t="s">
        <v>1962</v>
      </c>
      <c r="B135" s="4194" t="s">
        <v>6191</v>
      </c>
      <c r="C135" s="4194"/>
      <c r="D135" s="4194"/>
      <c r="E135" s="4194"/>
      <c r="F135" s="4194"/>
      <c r="G135" s="4194"/>
      <c r="H135" s="4194"/>
      <c r="I135" s="4194"/>
      <c r="J135" s="4194"/>
      <c r="K135" s="4194"/>
      <c r="L135" s="4194"/>
      <c r="M135" s="4194"/>
      <c r="N135" s="4194"/>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8"/>
      <c r="B137" s="4209"/>
      <c r="C137" s="4209"/>
      <c r="D137" s="4209"/>
      <c r="E137" s="4209"/>
      <c r="F137" s="4209"/>
      <c r="G137" s="4209"/>
      <c r="H137" s="4209"/>
      <c r="I137" s="4209"/>
      <c r="J137" s="4209"/>
      <c r="K137" s="4209"/>
      <c r="L137" s="4209"/>
      <c r="M137" s="4209"/>
      <c r="N137" s="4209"/>
      <c r="O137" s="4209"/>
      <c r="P137" s="4209"/>
      <c r="Q137" s="4210"/>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5"/>
      <c r="B139" s="4206"/>
      <c r="C139" s="4206"/>
      <c r="D139" s="4206"/>
      <c r="E139" s="4206"/>
      <c r="F139" s="4206"/>
      <c r="G139" s="4206"/>
      <c r="H139" s="4206"/>
      <c r="I139" s="4206"/>
      <c r="J139" s="4206"/>
      <c r="K139" s="4206"/>
      <c r="L139" s="4206"/>
      <c r="M139" s="4206"/>
      <c r="N139" s="4206"/>
      <c r="O139" s="4206"/>
      <c r="P139" s="4206"/>
      <c r="Q139" s="4207"/>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00"/>
      <c r="Q141" s="4201"/>
    </row>
    <row r="142" spans="1:31" ht="21.75" customHeight="1">
      <c r="A142" s="110" t="s">
        <v>1841</v>
      </c>
      <c r="B142" s="4194" t="s">
        <v>3232</v>
      </c>
      <c r="C142" s="4194"/>
      <c r="D142" s="4194"/>
      <c r="E142" s="4194"/>
      <c r="F142" s="4194"/>
      <c r="G142" s="4194"/>
      <c r="H142" s="4194"/>
      <c r="I142" s="4194"/>
      <c r="J142" s="4194"/>
      <c r="K142" s="4194"/>
      <c r="L142" s="4194"/>
      <c r="M142" s="4194"/>
      <c r="N142" s="4194"/>
      <c r="O142" s="128" t="s">
        <v>1841</v>
      </c>
      <c r="P142" s="894"/>
      <c r="Q142" s="893"/>
    </row>
    <row r="143" spans="1:31" ht="22.35" customHeight="1">
      <c r="A143" s="110" t="s">
        <v>1843</v>
      </c>
      <c r="B143" s="4194" t="s">
        <v>3798</v>
      </c>
      <c r="C143" s="4194"/>
      <c r="D143" s="4194"/>
      <c r="E143" s="4194"/>
      <c r="F143" s="4194"/>
      <c r="G143" s="4194"/>
      <c r="H143" s="4194"/>
      <c r="I143" s="4194"/>
      <c r="J143" s="4194"/>
      <c r="K143" s="4194"/>
      <c r="L143" s="4194"/>
      <c r="M143" s="4194"/>
      <c r="N143" s="4194"/>
      <c r="O143" s="128" t="s">
        <v>1843</v>
      </c>
      <c r="P143" s="431"/>
      <c r="Q143" s="422"/>
    </row>
    <row r="144" spans="1:31" ht="22.35" customHeight="1">
      <c r="A144" s="110" t="s">
        <v>698</v>
      </c>
      <c r="B144" s="4194" t="s">
        <v>3233</v>
      </c>
      <c r="C144" s="4194"/>
      <c r="D144" s="4194"/>
      <c r="E144" s="4194"/>
      <c r="F144" s="4194"/>
      <c r="G144" s="4194"/>
      <c r="H144" s="4194"/>
      <c r="I144" s="4194"/>
      <c r="J144" s="4194"/>
      <c r="K144" s="4194"/>
      <c r="L144" s="4194"/>
      <c r="M144" s="4194"/>
      <c r="N144" s="4194"/>
      <c r="O144" s="128" t="s">
        <v>698</v>
      </c>
      <c r="P144" s="431"/>
      <c r="Q144" s="422"/>
    </row>
    <row r="145" spans="1:44" ht="21.75" customHeight="1">
      <c r="A145" s="110" t="s">
        <v>1962</v>
      </c>
      <c r="B145" s="4194" t="s">
        <v>3831</v>
      </c>
      <c r="C145" s="4194"/>
      <c r="D145" s="4194"/>
      <c r="E145" s="4194"/>
      <c r="F145" s="4194"/>
      <c r="G145" s="4194"/>
      <c r="H145" s="4194"/>
      <c r="I145" s="4194"/>
      <c r="J145" s="4194"/>
      <c r="K145" s="4194"/>
      <c r="L145" s="4194"/>
      <c r="M145" s="4194"/>
      <c r="N145" s="4194"/>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8"/>
      <c r="B147" s="4209"/>
      <c r="C147" s="4209"/>
      <c r="D147" s="4209"/>
      <c r="E147" s="4209"/>
      <c r="F147" s="4209"/>
      <c r="G147" s="4209"/>
      <c r="H147" s="4209"/>
      <c r="I147" s="4209"/>
      <c r="J147" s="4209"/>
      <c r="K147" s="4209"/>
      <c r="L147" s="4209"/>
      <c r="M147" s="4209"/>
      <c r="N147" s="4209"/>
      <c r="O147" s="4209"/>
      <c r="P147" s="4209"/>
      <c r="Q147" s="4210"/>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5"/>
      <c r="B149" s="4206"/>
      <c r="C149" s="4206"/>
      <c r="D149" s="4206"/>
      <c r="E149" s="4206"/>
      <c r="F149" s="4206"/>
      <c r="G149" s="4206"/>
      <c r="H149" s="4206"/>
      <c r="I149" s="4206"/>
      <c r="J149" s="4206"/>
      <c r="K149" s="4206"/>
      <c r="L149" s="4206"/>
      <c r="M149" s="4206"/>
      <c r="N149" s="4206"/>
      <c r="O149" s="4206"/>
      <c r="P149" s="4206"/>
      <c r="Q149" s="4207"/>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6531</v>
      </c>
      <c r="O151" s="101" t="s">
        <v>1731</v>
      </c>
      <c r="P151" s="4200"/>
      <c r="Q151" s="4201"/>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4" t="s">
        <v>3234</v>
      </c>
      <c r="D158" s="4194"/>
      <c r="E158" s="4194"/>
      <c r="F158" s="4194"/>
      <c r="G158" s="4194"/>
      <c r="H158" s="4194"/>
      <c r="I158" s="4194"/>
      <c r="J158" s="4194"/>
      <c r="K158" s="4194"/>
      <c r="L158" s="4194"/>
      <c r="M158" s="4194"/>
      <c r="N158" s="4194"/>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4" t="s">
        <v>2420</v>
      </c>
      <c r="D160" s="4194"/>
      <c r="E160" s="4194"/>
      <c r="F160" s="4194"/>
      <c r="G160" s="4194"/>
      <c r="H160" s="4194"/>
      <c r="I160" s="4194"/>
      <c r="J160" s="4194"/>
      <c r="K160" s="4194"/>
      <c r="L160" s="4194"/>
      <c r="M160" s="4194"/>
      <c r="N160" s="4194"/>
      <c r="O160" s="128" t="s">
        <v>1448</v>
      </c>
      <c r="P160" s="431"/>
      <c r="Q160" s="422"/>
    </row>
    <row r="161" spans="1:44" s="102" customFormat="1" ht="21.75" customHeight="1">
      <c r="A161" s="110"/>
      <c r="B161" s="372" t="s">
        <v>1449</v>
      </c>
      <c r="C161" s="4194" t="s">
        <v>3305</v>
      </c>
      <c r="D161" s="4194"/>
      <c r="E161" s="4194"/>
      <c r="F161" s="4194"/>
      <c r="G161" s="4194"/>
      <c r="H161" s="4194"/>
      <c r="I161" s="4194"/>
      <c r="J161" s="4194"/>
      <c r="K161" s="4194"/>
      <c r="L161" s="4194"/>
      <c r="M161" s="4194"/>
      <c r="N161" s="4194"/>
      <c r="O161" s="128" t="s">
        <v>1449</v>
      </c>
      <c r="P161" s="431"/>
      <c r="Q161" s="422"/>
    </row>
    <row r="162" spans="1:44" ht="21.75" customHeight="1">
      <c r="A162" s="110" t="s">
        <v>1962</v>
      </c>
      <c r="B162" s="4194" t="s">
        <v>2421</v>
      </c>
      <c r="C162" s="4194"/>
      <c r="D162" s="4194"/>
      <c r="E162" s="4194"/>
      <c r="F162" s="4194"/>
      <c r="G162" s="4194"/>
      <c r="H162" s="4194"/>
      <c r="I162" s="4194"/>
      <c r="J162" s="4194"/>
      <c r="K162" s="4194"/>
      <c r="L162" s="4194"/>
      <c r="M162" s="4194"/>
      <c r="N162" s="4194"/>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8"/>
      <c r="B165" s="4209"/>
      <c r="C165" s="4209"/>
      <c r="D165" s="4209"/>
      <c r="E165" s="4209"/>
      <c r="F165" s="4209"/>
      <c r="G165" s="4209"/>
      <c r="H165" s="4209"/>
      <c r="I165" s="4209"/>
      <c r="J165" s="4209"/>
      <c r="K165" s="4209"/>
      <c r="L165" s="4209"/>
      <c r="M165" s="4209"/>
      <c r="N165" s="4209"/>
      <c r="O165" s="4209"/>
      <c r="P165" s="4209"/>
      <c r="Q165" s="4210"/>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5"/>
      <c r="B167" s="4206"/>
      <c r="C167" s="4206"/>
      <c r="D167" s="4206"/>
      <c r="E167" s="4206"/>
      <c r="F167" s="4206"/>
      <c r="G167" s="4206"/>
      <c r="H167" s="4206"/>
      <c r="I167" s="4206"/>
      <c r="J167" s="4206"/>
      <c r="K167" s="4206"/>
      <c r="L167" s="4206"/>
      <c r="M167" s="4206"/>
      <c r="N167" s="4206"/>
      <c r="O167" s="4206"/>
      <c r="P167" s="4206"/>
      <c r="Q167" s="420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00"/>
      <c r="Q169" s="4201"/>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1" t="s">
        <v>1710</v>
      </c>
      <c r="K171" s="4222"/>
      <c r="L171" s="4222"/>
      <c r="M171" s="4222"/>
      <c r="N171" s="4223"/>
      <c r="O171" s="49" t="s">
        <v>1614</v>
      </c>
      <c r="P171" s="175"/>
      <c r="Q171" s="419"/>
    </row>
    <row r="172" spans="1:44" ht="12.75" customHeight="1">
      <c r="A172" s="107"/>
      <c r="B172" s="109" t="s">
        <v>3239</v>
      </c>
      <c r="C172" s="82"/>
      <c r="D172" s="82"/>
      <c r="E172" s="82"/>
      <c r="F172" s="82"/>
      <c r="H172" s="49" t="s">
        <v>1615</v>
      </c>
      <c r="I172" s="29" t="s">
        <v>1491</v>
      </c>
      <c r="J172" s="4248" t="s">
        <v>1710</v>
      </c>
      <c r="K172" s="4249"/>
      <c r="L172" s="4249"/>
      <c r="M172" s="4249"/>
      <c r="N172" s="4250"/>
      <c r="O172" s="49" t="s">
        <v>1615</v>
      </c>
      <c r="P172" s="176"/>
      <c r="Q172" s="421"/>
    </row>
    <row r="173" spans="1:44" ht="12.75" customHeight="1">
      <c r="A173" s="4208"/>
      <c r="B173" s="4209"/>
      <c r="C173" s="4209"/>
      <c r="D173" s="4209"/>
      <c r="E173" s="4209"/>
      <c r="F173" s="4209"/>
      <c r="G173" s="4209"/>
      <c r="H173" s="4209"/>
      <c r="I173" s="4209"/>
      <c r="J173" s="4209"/>
      <c r="K173" s="4209"/>
      <c r="L173" s="4209"/>
      <c r="M173" s="4209"/>
      <c r="N173" s="4209"/>
      <c r="O173" s="4209"/>
      <c r="P173" s="4209"/>
      <c r="Q173" s="4210"/>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5"/>
      <c r="B175" s="4206"/>
      <c r="C175" s="4206"/>
      <c r="D175" s="4206"/>
      <c r="E175" s="4206"/>
      <c r="F175" s="4206"/>
      <c r="G175" s="4206"/>
      <c r="H175" s="4206"/>
      <c r="I175" s="4206"/>
      <c r="J175" s="4206"/>
      <c r="K175" s="4206"/>
      <c r="L175" s="4206"/>
      <c r="M175" s="4206"/>
      <c r="N175" s="4206"/>
      <c r="O175" s="4206"/>
      <c r="P175" s="4206"/>
      <c r="Q175" s="4207"/>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00"/>
      <c r="Q177" s="4201"/>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4" t="s">
        <v>1713</v>
      </c>
      <c r="C179" s="4194"/>
      <c r="D179" s="4194"/>
      <c r="E179" s="4194"/>
      <c r="F179" s="4194"/>
      <c r="G179" s="4194"/>
      <c r="H179" s="49" t="s">
        <v>1614</v>
      </c>
      <c r="I179" s="29" t="s">
        <v>592</v>
      </c>
      <c r="J179" s="4221" t="s">
        <v>1710</v>
      </c>
      <c r="K179" s="4222"/>
      <c r="L179" s="4222"/>
      <c r="M179" s="4222"/>
      <c r="N179" s="4223"/>
      <c r="O179" s="128" t="s">
        <v>1391</v>
      </c>
      <c r="P179" s="1287"/>
      <c r="Q179" s="1288"/>
    </row>
    <row r="180" spans="1:44" ht="12.75" customHeight="1">
      <c r="A180" s="118"/>
      <c r="B180" s="4194"/>
      <c r="C180" s="4194"/>
      <c r="D180" s="4194"/>
      <c r="E180" s="4194"/>
      <c r="F180" s="4194"/>
      <c r="G180" s="4194"/>
      <c r="H180" s="49" t="s">
        <v>1615</v>
      </c>
      <c r="I180" s="29" t="s">
        <v>110</v>
      </c>
      <c r="J180" s="4248" t="s">
        <v>1710</v>
      </c>
      <c r="K180" s="4249"/>
      <c r="L180" s="4249"/>
      <c r="M180" s="4249"/>
      <c r="N180" s="4250"/>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8"/>
      <c r="B185" s="4209"/>
      <c r="C185" s="4209"/>
      <c r="D185" s="4209"/>
      <c r="E185" s="4209"/>
      <c r="F185" s="4209"/>
      <c r="G185" s="4209"/>
      <c r="H185" s="4209"/>
      <c r="I185" s="4209"/>
      <c r="J185" s="4209"/>
      <c r="K185" s="4209"/>
      <c r="L185" s="4209"/>
      <c r="M185" s="4209"/>
      <c r="N185" s="4209"/>
      <c r="O185" s="4209"/>
      <c r="P185" s="4209"/>
      <c r="Q185" s="4210"/>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5"/>
      <c r="B187" s="4206"/>
      <c r="C187" s="4206"/>
      <c r="D187" s="4206"/>
      <c r="E187" s="4206"/>
      <c r="F187" s="4206"/>
      <c r="G187" s="4206"/>
      <c r="H187" s="4206"/>
      <c r="I187" s="4206"/>
      <c r="J187" s="4206"/>
      <c r="K187" s="4206"/>
      <c r="L187" s="4206"/>
      <c r="M187" s="4206"/>
      <c r="N187" s="4206"/>
      <c r="O187" s="4206"/>
      <c r="P187" s="4206"/>
      <c r="Q187" s="4207"/>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00"/>
      <c r="Q189" s="4201"/>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1" t="s">
        <v>1646</v>
      </c>
      <c r="L192" s="4223"/>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54" t="s">
        <v>1646</v>
      </c>
      <c r="L193" s="4355"/>
      <c r="Q193" s="436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60" t="s">
        <v>6192</v>
      </c>
      <c r="D194" s="4361"/>
      <c r="E194" s="4361"/>
      <c r="F194" s="4361"/>
      <c r="G194" s="4361"/>
      <c r="H194" s="4361"/>
      <c r="I194" s="4361"/>
      <c r="J194" s="4361"/>
      <c r="K194" s="4361"/>
      <c r="L194" s="4361"/>
      <c r="M194" s="4361"/>
      <c r="N194" s="4361"/>
      <c r="O194" s="4362"/>
      <c r="Q194" s="436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48" t="s">
        <v>1646</v>
      </c>
      <c r="L195" s="4349"/>
      <c r="M195" s="4349"/>
      <c r="N195" s="4350"/>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54</v>
      </c>
      <c r="P197" s="4228" t="s">
        <v>3854</v>
      </c>
      <c r="Q197" s="4333"/>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4" t="s">
        <v>950</v>
      </c>
      <c r="D199" s="4335"/>
      <c r="E199" s="4335"/>
      <c r="F199" s="4335"/>
      <c r="G199" s="4336"/>
      <c r="H199" s="48" t="s">
        <v>1963</v>
      </c>
      <c r="I199" s="4337" t="s">
        <v>3400</v>
      </c>
      <c r="J199" s="4338"/>
      <c r="K199" s="4338"/>
      <c r="L199" s="4338"/>
      <c r="M199" s="4338"/>
      <c r="N199" s="4338"/>
      <c r="O199" s="433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1" t="s">
        <v>950</v>
      </c>
      <c r="D200" s="4352"/>
      <c r="E200" s="4352"/>
      <c r="F200" s="4352"/>
      <c r="G200" s="4353"/>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1" t="s">
        <v>950</v>
      </c>
      <c r="D201" s="4352"/>
      <c r="E201" s="4352"/>
      <c r="F201" s="4352"/>
      <c r="G201" s="4353"/>
      <c r="H201" s="48" t="s">
        <v>1611</v>
      </c>
      <c r="I201" s="3135" t="s">
        <v>3400</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7" t="s">
        <v>950</v>
      </c>
      <c r="D202" s="4288"/>
      <c r="E202" s="4288"/>
      <c r="F202" s="4288"/>
      <c r="G202" s="4289"/>
      <c r="H202" s="48" t="s">
        <v>3864</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4" t="s">
        <v>6743</v>
      </c>
      <c r="D209" s="4194"/>
      <c r="E209" s="4194"/>
      <c r="F209" s="4194"/>
      <c r="G209" s="4194"/>
      <c r="H209" s="4194"/>
      <c r="I209" s="4194"/>
      <c r="J209" s="4194"/>
      <c r="K209" s="4194"/>
      <c r="L209" s="4194"/>
      <c r="M209" s="4194"/>
      <c r="N209" s="4194"/>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8"/>
      <c r="B214" s="4209"/>
      <c r="C214" s="4209"/>
      <c r="D214" s="4209"/>
      <c r="E214" s="4209"/>
      <c r="F214" s="4209"/>
      <c r="G214" s="4209"/>
      <c r="H214" s="4209"/>
      <c r="I214" s="4209"/>
      <c r="J214" s="4209"/>
      <c r="K214" s="4209"/>
      <c r="L214" s="4209"/>
      <c r="M214" s="4209"/>
      <c r="N214" s="4209"/>
      <c r="O214" s="4209"/>
      <c r="P214" s="4209"/>
      <c r="Q214" s="4210"/>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5"/>
      <c r="B216" s="4206"/>
      <c r="C216" s="4206"/>
      <c r="D216" s="4206"/>
      <c r="E216" s="4206"/>
      <c r="F216" s="4206"/>
      <c r="G216" s="4206"/>
      <c r="H216" s="4206"/>
      <c r="I216" s="4206"/>
      <c r="J216" s="4206"/>
      <c r="K216" s="4206"/>
      <c r="L216" s="4206"/>
      <c r="M216" s="4206"/>
      <c r="N216" s="4206"/>
      <c r="O216" s="4206"/>
      <c r="P216" s="4206"/>
      <c r="Q216" s="4207"/>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200"/>
      <c r="Q217" s="4201"/>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37"/>
      <c r="C220" s="4338"/>
      <c r="D220" s="4338"/>
      <c r="E220" s="4338"/>
      <c r="F220" s="4338"/>
      <c r="G220" s="4338"/>
      <c r="H220" s="4338"/>
      <c r="I220" s="4338"/>
      <c r="J220" s="1972"/>
      <c r="K220" s="4337"/>
      <c r="L220" s="4338"/>
      <c r="M220" s="4338"/>
      <c r="N220" s="4338"/>
      <c r="O220" s="4338"/>
      <c r="P220" s="4338"/>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4" t="s">
        <v>6114</v>
      </c>
      <c r="C229" s="4194"/>
      <c r="D229" s="4194"/>
      <c r="E229" s="4194"/>
      <c r="F229" s="4194"/>
      <c r="G229" s="4194"/>
      <c r="H229" s="4194"/>
      <c r="I229" s="4194"/>
      <c r="J229" s="4194"/>
      <c r="K229" s="4194"/>
      <c r="L229" s="4194"/>
      <c r="M229" s="4194"/>
      <c r="N229" s="4194"/>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8"/>
      <c r="B232" s="4209"/>
      <c r="C232" s="4209"/>
      <c r="D232" s="4209"/>
      <c r="E232" s="4209"/>
      <c r="F232" s="4209"/>
      <c r="G232" s="4209"/>
      <c r="H232" s="4209"/>
      <c r="I232" s="4209"/>
      <c r="J232" s="4209"/>
      <c r="K232" s="4209"/>
      <c r="L232" s="4209"/>
      <c r="M232" s="4209"/>
      <c r="N232" s="4209"/>
      <c r="O232" s="4209"/>
      <c r="P232" s="4209"/>
      <c r="Q232" s="4210"/>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5"/>
      <c r="B234" s="4206"/>
      <c r="C234" s="4206"/>
      <c r="D234" s="4206"/>
      <c r="E234" s="4206"/>
      <c r="F234" s="4206"/>
      <c r="G234" s="4206"/>
      <c r="H234" s="4206"/>
      <c r="I234" s="4206"/>
      <c r="J234" s="4206"/>
      <c r="K234" s="4206"/>
      <c r="L234" s="4206"/>
      <c r="M234" s="4206"/>
      <c r="N234" s="4206"/>
      <c r="O234" s="4206"/>
      <c r="P234" s="4206"/>
      <c r="Q234" s="4207"/>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00"/>
      <c r="Q236" s="4201"/>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7" t="s">
        <v>1646</v>
      </c>
      <c r="L238" s="4218"/>
      <c r="M238" s="4218"/>
      <c r="N238" s="4218"/>
      <c r="O238" s="4296"/>
      <c r="P238" s="4325" t="s">
        <v>1646</v>
      </c>
      <c r="Q238" s="4326"/>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4" t="s">
        <v>6194</v>
      </c>
      <c r="C239" s="4194"/>
      <c r="D239" s="4194"/>
      <c r="E239" s="4194"/>
      <c r="F239" s="4194"/>
      <c r="G239" s="4194"/>
      <c r="H239" s="4194"/>
      <c r="I239" s="4194"/>
      <c r="J239" s="4194"/>
      <c r="K239" s="4194"/>
      <c r="L239" s="4194"/>
      <c r="M239" s="4194"/>
      <c r="N239" s="4194"/>
      <c r="O239" s="428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3"/>
      <c r="L240" s="4284"/>
      <c r="M240" s="4284"/>
      <c r="N240" s="4284"/>
      <c r="O240" s="4285"/>
      <c r="P240" s="4279"/>
      <c r="Q240" s="4280"/>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8"/>
      <c r="L241" s="4249"/>
      <c r="M241" s="4249"/>
      <c r="N241" s="4249"/>
      <c r="O241" s="4250"/>
      <c r="P241" s="4281"/>
      <c r="Q241" s="4282"/>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4" t="s">
        <v>6205</v>
      </c>
      <c r="D243" s="4194"/>
      <c r="E243" s="4194"/>
      <c r="F243" s="4194"/>
      <c r="G243" s="4194"/>
      <c r="H243" s="4194"/>
      <c r="I243" s="4194"/>
      <c r="J243" s="4194"/>
      <c r="K243" s="4194"/>
      <c r="L243" s="4194"/>
      <c r="M243" s="4194"/>
      <c r="N243" s="4194"/>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4" t="s">
        <v>6206</v>
      </c>
      <c r="D244" s="4194"/>
      <c r="E244" s="4194"/>
      <c r="F244" s="4194"/>
      <c r="G244" s="4194"/>
      <c r="H244" s="4194"/>
      <c r="I244" s="4194"/>
      <c r="J244" s="4194"/>
      <c r="K244" s="4194"/>
      <c r="L244" s="4194"/>
      <c r="M244" s="4194"/>
      <c r="N244" s="4194"/>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4" t="s">
        <v>3244</v>
      </c>
      <c r="C246" s="4224"/>
      <c r="D246" s="4224"/>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4"/>
      <c r="C247" s="4224"/>
      <c r="D247" s="4224"/>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4"/>
      <c r="C248" s="4224"/>
      <c r="D248" s="4224"/>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4"/>
      <c r="C249" s="4224"/>
      <c r="D249" s="4224"/>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4" t="s">
        <v>6501</v>
      </c>
      <c r="F250" s="4194"/>
      <c r="G250" s="4194"/>
      <c r="H250" s="4194"/>
      <c r="I250" s="4194"/>
      <c r="J250" s="4194"/>
      <c r="K250" s="4194"/>
      <c r="L250" s="4194"/>
      <c r="M250" s="4194"/>
      <c r="N250" s="4194"/>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8"/>
      <c r="B252" s="4209"/>
      <c r="C252" s="4209"/>
      <c r="D252" s="4209"/>
      <c r="E252" s="4209"/>
      <c r="F252" s="4209"/>
      <c r="G252" s="4209"/>
      <c r="H252" s="4209"/>
      <c r="I252" s="4209"/>
      <c r="J252" s="4209"/>
      <c r="K252" s="4209"/>
      <c r="L252" s="4209"/>
      <c r="M252" s="4209"/>
      <c r="N252" s="4209"/>
      <c r="O252" s="4209"/>
      <c r="P252" s="4209"/>
      <c r="Q252" s="4210"/>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5"/>
      <c r="B254" s="4206"/>
      <c r="C254" s="4206"/>
      <c r="D254" s="4206"/>
      <c r="E254" s="4206"/>
      <c r="F254" s="4206"/>
      <c r="G254" s="4206"/>
      <c r="H254" s="4206"/>
      <c r="I254" s="4206"/>
      <c r="J254" s="4206"/>
      <c r="K254" s="4206"/>
      <c r="L254" s="4206"/>
      <c r="M254" s="4206"/>
      <c r="N254" s="4206"/>
      <c r="O254" s="4206"/>
      <c r="P254" s="4206"/>
      <c r="Q254" s="4207"/>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00"/>
      <c r="Q256" s="4201"/>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4" t="s">
        <v>4029</v>
      </c>
      <c r="D257" s="4194"/>
      <c r="E257" s="4194"/>
      <c r="F257" s="4194"/>
      <c r="G257" s="4194"/>
      <c r="H257" s="4194"/>
      <c r="I257" s="4194"/>
      <c r="J257" s="4194"/>
      <c r="K257" s="4194"/>
      <c r="L257" s="4194"/>
      <c r="M257" s="4194"/>
      <c r="N257" s="4194"/>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4" t="s">
        <v>4055</v>
      </c>
      <c r="D260" s="4194"/>
      <c r="E260" s="4194"/>
      <c r="F260" s="4194"/>
      <c r="G260" s="4194"/>
      <c r="H260" s="4194"/>
      <c r="I260" s="4194"/>
      <c r="J260" s="4194"/>
      <c r="K260" s="4194"/>
      <c r="L260" s="4194"/>
      <c r="M260" s="4194"/>
      <c r="N260" s="4194"/>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4" t="s">
        <v>6119</v>
      </c>
      <c r="C262" s="4194"/>
      <c r="D262" s="4194"/>
      <c r="E262" s="4194"/>
      <c r="F262" s="4194"/>
      <c r="G262" s="4194"/>
      <c r="H262" s="4194"/>
      <c r="I262" s="4194"/>
      <c r="J262" s="4194"/>
      <c r="K262" s="4194"/>
      <c r="L262" s="4194"/>
      <c r="M262" s="4194"/>
      <c r="N262" s="4194"/>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8"/>
      <c r="B264" s="4209"/>
      <c r="C264" s="4209"/>
      <c r="D264" s="4209"/>
      <c r="E264" s="4209"/>
      <c r="F264" s="4209"/>
      <c r="G264" s="4209"/>
      <c r="H264" s="4209"/>
      <c r="I264" s="4209"/>
      <c r="J264" s="4209"/>
      <c r="K264" s="4209"/>
      <c r="L264" s="4209"/>
      <c r="M264" s="4209"/>
      <c r="N264" s="4209"/>
      <c r="O264" s="4209"/>
      <c r="P264" s="4209"/>
      <c r="Q264" s="4210"/>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5"/>
      <c r="B266" s="4206"/>
      <c r="C266" s="4206"/>
      <c r="D266" s="4206"/>
      <c r="E266" s="4206"/>
      <c r="F266" s="4206"/>
      <c r="G266" s="4206"/>
      <c r="H266" s="4206"/>
      <c r="I266" s="4206"/>
      <c r="J266" s="4206"/>
      <c r="K266" s="4206"/>
      <c r="L266" s="4206"/>
      <c r="M266" s="4206"/>
      <c r="N266" s="4206"/>
      <c r="O266" s="4206"/>
      <c r="P266" s="4206"/>
      <c r="Q266" s="4207"/>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00"/>
      <c r="Q268" s="4201"/>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4" t="s">
        <v>3846</v>
      </c>
      <c r="D271" s="4194"/>
      <c r="E271" s="4194"/>
      <c r="F271" s="4194"/>
      <c r="G271" s="4194"/>
      <c r="H271" s="4194"/>
      <c r="I271" s="4194"/>
      <c r="J271" s="4194"/>
      <c r="K271" s="4194"/>
      <c r="L271" s="4194"/>
      <c r="M271" s="4194"/>
      <c r="N271" s="4194"/>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4" t="s">
        <v>2507</v>
      </c>
      <c r="D272" s="4194"/>
      <c r="E272" s="4194"/>
      <c r="F272" s="4194"/>
      <c r="G272" s="4194"/>
      <c r="H272" s="4194"/>
      <c r="I272" s="4194"/>
      <c r="J272" s="4194"/>
      <c r="K272" s="4194"/>
      <c r="L272" s="4194"/>
      <c r="M272" s="4194"/>
      <c r="N272" s="4194"/>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5" t="s">
        <v>3336</v>
      </c>
      <c r="M273" s="4226"/>
      <c r="N273" s="4226"/>
      <c r="O273" s="4226"/>
      <c r="P273" s="4227"/>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8"/>
      <c r="B277" s="4209"/>
      <c r="C277" s="4209"/>
      <c r="D277" s="4209"/>
      <c r="E277" s="4209"/>
      <c r="F277" s="4209"/>
      <c r="G277" s="4209"/>
      <c r="H277" s="4209"/>
      <c r="I277" s="4209"/>
      <c r="J277" s="4209"/>
      <c r="K277" s="4209"/>
      <c r="L277" s="4209"/>
      <c r="M277" s="4209"/>
      <c r="N277" s="4209"/>
      <c r="O277" s="4209"/>
      <c r="P277" s="4209"/>
      <c r="Q277" s="4210"/>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5"/>
      <c r="B279" s="4206"/>
      <c r="C279" s="4206"/>
      <c r="D279" s="4206"/>
      <c r="E279" s="4206"/>
      <c r="F279" s="4206"/>
      <c r="G279" s="4206"/>
      <c r="H279" s="4206"/>
      <c r="I279" s="4206"/>
      <c r="J279" s="4206"/>
      <c r="K279" s="4206"/>
      <c r="L279" s="4206"/>
      <c r="M279" s="4206"/>
      <c r="N279" s="4206"/>
      <c r="O279" s="4206"/>
      <c r="P279" s="4206"/>
      <c r="Q279" s="4207"/>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00"/>
      <c r="Q281" s="4201"/>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4" t="s">
        <v>6655</v>
      </c>
      <c r="D284" s="4194"/>
      <c r="E284" s="4194"/>
      <c r="F284" s="4194"/>
      <c r="G284" s="4194"/>
      <c r="H284" s="4194"/>
      <c r="I284" s="4194"/>
      <c r="J284" s="4194"/>
      <c r="K284" s="4194"/>
      <c r="L284" s="4194"/>
      <c r="M284" s="4194"/>
      <c r="N284" s="4194"/>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4" t="s">
        <v>6656</v>
      </c>
      <c r="D285" s="4194"/>
      <c r="E285" s="4194"/>
      <c r="F285" s="4194"/>
      <c r="G285" s="4194"/>
      <c r="H285" s="4194"/>
      <c r="I285" s="4194"/>
      <c r="J285" s="4194"/>
      <c r="K285" s="4194"/>
      <c r="L285" s="4194"/>
      <c r="M285" s="4194"/>
      <c r="N285" s="4194"/>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4" t="s">
        <v>6200</v>
      </c>
      <c r="D286" s="4194"/>
      <c r="E286" s="4194"/>
      <c r="F286" s="4194"/>
      <c r="G286" s="4194"/>
      <c r="H286" s="4194"/>
      <c r="I286" s="4194"/>
      <c r="J286" s="4194"/>
      <c r="K286" s="4194"/>
      <c r="L286" s="4194"/>
      <c r="M286" s="4194"/>
      <c r="N286" s="4194"/>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4" t="s">
        <v>6203</v>
      </c>
      <c r="E288" s="4194"/>
      <c r="F288" s="4194"/>
      <c r="G288" s="4194"/>
      <c r="H288" s="4194"/>
      <c r="I288" s="108"/>
      <c r="J288" s="4202" t="s">
        <v>3265</v>
      </c>
      <c r="K288" s="4228"/>
      <c r="L288" s="4228"/>
      <c r="M288" s="4332" t="s">
        <v>3246</v>
      </c>
      <c r="N288" s="4332"/>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4"/>
      <c r="E289" s="4194"/>
      <c r="F289" s="4194"/>
      <c r="G289" s="4194"/>
      <c r="H289" s="4194"/>
      <c r="I289" s="248"/>
      <c r="J289" s="4228"/>
      <c r="K289" s="4228"/>
      <c r="L289" s="4228"/>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4"/>
      <c r="E290" s="4194"/>
      <c r="F290" s="4194"/>
      <c r="G290" s="4194"/>
      <c r="H290" s="4194"/>
      <c r="I290" s="29" t="s">
        <v>3386</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4" t="s">
        <v>6204</v>
      </c>
      <c r="E291" s="4194"/>
      <c r="F291" s="4194"/>
      <c r="G291" s="4194"/>
      <c r="H291" s="4194"/>
      <c r="I291" s="370" t="s">
        <v>3387</v>
      </c>
      <c r="J291" s="144"/>
      <c r="K291" s="1596"/>
      <c r="L291" s="795" t="str">
        <f>IF(K291&lt;M291,"Check!!!","")</f>
        <v/>
      </c>
      <c r="M291" s="1598">
        <f>ROUNDUP(K290*'Part VII-Threshold Criteria OLD'!N291,0)</f>
        <v>0</v>
      </c>
      <c r="N291" s="1205">
        <f>'DCA Underwriting Assumptions'!$Q$123</f>
        <v>0.4</v>
      </c>
      <c r="O291" s="48" t="s">
        <v>1964</v>
      </c>
      <c r="P291" s="4231"/>
      <c r="Q291" s="4229"/>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4"/>
      <c r="E292" s="4194"/>
      <c r="F292" s="4194"/>
      <c r="G292" s="4194"/>
      <c r="H292" s="4194"/>
      <c r="O292" s="33"/>
      <c r="P292" s="4232"/>
      <c r="Q292" s="4230"/>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4" t="s">
        <v>6740</v>
      </c>
      <c r="D293" s="4194"/>
      <c r="E293" s="4194"/>
      <c r="F293" s="4194"/>
      <c r="G293" s="4194"/>
      <c r="H293" s="4194"/>
      <c r="I293" s="29" t="s">
        <v>3388</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4"/>
      <c r="D294" s="4194"/>
      <c r="E294" s="4194"/>
      <c r="F294" s="4194"/>
      <c r="G294" s="4194"/>
      <c r="H294" s="4194"/>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4"/>
      <c r="D295" s="4194"/>
      <c r="E295" s="4194"/>
      <c r="F295" s="4194"/>
      <c r="G295" s="4194"/>
      <c r="H295" s="4194"/>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4" t="s">
        <v>6718</v>
      </c>
      <c r="C297" s="4194"/>
      <c r="D297" s="4194"/>
      <c r="E297" s="4194"/>
      <c r="F297" s="4194"/>
      <c r="G297" s="4194"/>
      <c r="H297" s="4194"/>
      <c r="I297" s="4194"/>
      <c r="J297" s="4194"/>
      <c r="K297" s="4194"/>
      <c r="L297" s="4194"/>
      <c r="M297" s="4194"/>
      <c r="N297" s="4194"/>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6"/>
      <c r="M298" s="4277"/>
      <c r="N298" s="4277"/>
      <c r="O298" s="4277"/>
      <c r="P298" s="4277"/>
      <c r="Q298" s="4278"/>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4" t="s">
        <v>6657</v>
      </c>
      <c r="D299" s="4194"/>
      <c r="E299" s="4194"/>
      <c r="F299" s="4194"/>
      <c r="G299" s="4194"/>
      <c r="H299" s="4194"/>
      <c r="I299" s="4194"/>
      <c r="J299" s="4194"/>
      <c r="K299" s="4194"/>
      <c r="L299" s="4194"/>
      <c r="M299" s="4194"/>
      <c r="N299" s="4194"/>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4" t="s">
        <v>3832</v>
      </c>
      <c r="D300" s="4194"/>
      <c r="E300" s="4194"/>
      <c r="F300" s="4194"/>
      <c r="G300" s="4194"/>
      <c r="H300" s="4194"/>
      <c r="I300" s="4194"/>
      <c r="J300" s="4194"/>
      <c r="K300" s="4194"/>
      <c r="L300" s="4194"/>
      <c r="M300" s="4194"/>
      <c r="N300" s="4194"/>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4" t="s">
        <v>3168</v>
      </c>
      <c r="D301" s="4194"/>
      <c r="E301" s="4194"/>
      <c r="F301" s="4194"/>
      <c r="G301" s="4194"/>
      <c r="H301" s="4194"/>
      <c r="I301" s="4194"/>
      <c r="J301" s="4194"/>
      <c r="K301" s="4194"/>
      <c r="L301" s="4194"/>
      <c r="M301" s="4194"/>
      <c r="N301" s="4194"/>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4" t="s">
        <v>3169</v>
      </c>
      <c r="D302" s="4194"/>
      <c r="E302" s="4194"/>
      <c r="F302" s="4194"/>
      <c r="G302" s="4194"/>
      <c r="H302" s="4194"/>
      <c r="I302" s="4194"/>
      <c r="J302" s="4194"/>
      <c r="K302" s="4194"/>
      <c r="L302" s="4194"/>
      <c r="M302" s="4194"/>
      <c r="N302" s="4194"/>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8"/>
      <c r="B304" s="4209"/>
      <c r="C304" s="4209"/>
      <c r="D304" s="4209"/>
      <c r="E304" s="4209"/>
      <c r="F304" s="4209"/>
      <c r="G304" s="4209"/>
      <c r="H304" s="4209"/>
      <c r="I304" s="4209"/>
      <c r="J304" s="4209"/>
      <c r="K304" s="4209"/>
      <c r="L304" s="4209"/>
      <c r="M304" s="4209"/>
      <c r="N304" s="4209"/>
      <c r="O304" s="4209"/>
      <c r="P304" s="4209"/>
      <c r="Q304" s="4210"/>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3"/>
      <c r="B306" s="4234"/>
      <c r="C306" s="4234"/>
      <c r="D306" s="4234"/>
      <c r="E306" s="4234"/>
      <c r="F306" s="4234"/>
      <c r="G306" s="4234"/>
      <c r="H306" s="4234"/>
      <c r="I306" s="4234"/>
      <c r="J306" s="4234"/>
      <c r="K306" s="4234"/>
      <c r="L306" s="4234"/>
      <c r="M306" s="4234"/>
      <c r="N306" s="4234"/>
      <c r="O306" s="4234"/>
      <c r="P306" s="4234"/>
      <c r="Q306" s="4235"/>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327"/>
      <c r="Q307" s="4328"/>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17" t="s">
        <v>1646</v>
      </c>
      <c r="L310" s="4218"/>
      <c r="M310" s="4218"/>
      <c r="N310" s="4296"/>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4" t="s">
        <v>6667</v>
      </c>
      <c r="C312" s="4194"/>
      <c r="D312" s="4194"/>
      <c r="E312" s="4194"/>
      <c r="F312" s="4194"/>
      <c r="G312" s="4194"/>
      <c r="H312" s="4194"/>
      <c r="I312" s="4194"/>
      <c r="J312" s="4194"/>
      <c r="K312" s="4194"/>
      <c r="L312" s="4194"/>
      <c r="M312" s="4194"/>
      <c r="N312" s="4194"/>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6" t="s">
        <v>2147</v>
      </c>
      <c r="H314" s="4267"/>
      <c r="I314" s="4267"/>
      <c r="J314" s="4267"/>
      <c r="K314" s="4267"/>
      <c r="L314" s="4267"/>
      <c r="M314" s="4267"/>
      <c r="N314" s="4268"/>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4" t="s">
        <v>1066</v>
      </c>
      <c r="D315" s="4194"/>
      <c r="E315" s="4194"/>
      <c r="F315" s="4286"/>
      <c r="G315" s="3124" t="s">
        <v>1018</v>
      </c>
      <c r="H315" s="4290"/>
      <c r="I315" s="4290"/>
      <c r="J315" s="4290"/>
      <c r="K315" s="4290"/>
      <c r="L315" s="4290"/>
      <c r="M315" s="4290"/>
      <c r="N315" s="4291"/>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20" t="s">
        <v>6121</v>
      </c>
      <c r="H317" s="4220"/>
      <c r="I317" s="4220"/>
      <c r="J317" s="4220"/>
      <c r="K317" s="4220"/>
      <c r="L317" s="4220"/>
      <c r="M317" s="4220"/>
      <c r="N317" s="4220"/>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3"/>
      <c r="D318" s="4274"/>
      <c r="E318" s="4274"/>
      <c r="F318" s="4274"/>
      <c r="G318" s="4274"/>
      <c r="H318" s="4274"/>
      <c r="I318" s="4274"/>
      <c r="J318" s="4274"/>
      <c r="K318" s="4274"/>
      <c r="L318" s="4274"/>
      <c r="M318" s="4274"/>
      <c r="N318" s="4275"/>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7"/>
      <c r="D319" s="4288"/>
      <c r="E319" s="4288"/>
      <c r="F319" s="4288"/>
      <c r="G319" s="4288"/>
      <c r="H319" s="4288"/>
      <c r="I319" s="4288"/>
      <c r="J319" s="4288"/>
      <c r="K319" s="4288"/>
      <c r="L319" s="4288"/>
      <c r="M319" s="4288"/>
      <c r="N319" s="4289"/>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4" t="s">
        <v>6122</v>
      </c>
      <c r="C320" s="4194"/>
      <c r="D320" s="4194"/>
      <c r="E320" s="4194"/>
      <c r="F320" s="4194"/>
      <c r="G320" s="4194"/>
      <c r="H320" s="4194"/>
      <c r="I320" s="4194"/>
      <c r="J320" s="4194"/>
      <c r="K320" s="4194"/>
      <c r="L320" s="4194"/>
      <c r="M320" s="4194"/>
      <c r="N320" s="4194"/>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8"/>
      <c r="B323" s="4209"/>
      <c r="C323" s="4209"/>
      <c r="D323" s="4209"/>
      <c r="E323" s="4209"/>
      <c r="F323" s="4209"/>
      <c r="G323" s="4209"/>
      <c r="H323" s="4209"/>
      <c r="I323" s="4209"/>
      <c r="J323" s="4209"/>
      <c r="K323" s="4209"/>
      <c r="L323" s="4209"/>
      <c r="M323" s="4209"/>
      <c r="N323" s="4209"/>
      <c r="O323" s="4209"/>
      <c r="P323" s="4209"/>
      <c r="Q323" s="4210"/>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5"/>
      <c r="B325" s="4206"/>
      <c r="C325" s="4206"/>
      <c r="D325" s="4206"/>
      <c r="E325" s="4206"/>
      <c r="F325" s="4206"/>
      <c r="G325" s="4206"/>
      <c r="H325" s="4206"/>
      <c r="I325" s="4206"/>
      <c r="J325" s="4206"/>
      <c r="K325" s="4206"/>
      <c r="L325" s="4206"/>
      <c r="M325" s="4206"/>
      <c r="N325" s="4206"/>
      <c r="O325" s="4206"/>
      <c r="P325" s="4206"/>
      <c r="Q325" s="4207"/>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00"/>
      <c r="Q326" s="4201"/>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69" t="s">
        <v>1646</v>
      </c>
      <c r="O329" s="4270"/>
      <c r="P329" s="4271" t="s">
        <v>1646</v>
      </c>
      <c r="Q329" s="4272"/>
    </row>
    <row r="330" spans="1:256" ht="11.65" customHeight="1">
      <c r="A330" s="40" t="s">
        <v>1962</v>
      </c>
      <c r="B330" s="44" t="s">
        <v>6536</v>
      </c>
      <c r="O330" s="48" t="s">
        <v>1962</v>
      </c>
      <c r="P330" s="1400"/>
      <c r="Q330" s="1399"/>
    </row>
    <row r="331" spans="1:256" ht="11.65" customHeight="1">
      <c r="A331" s="110" t="s">
        <v>1612</v>
      </c>
      <c r="B331" s="44" t="s">
        <v>6537</v>
      </c>
      <c r="N331" s="128" t="s">
        <v>1612</v>
      </c>
      <c r="O331" s="4263" t="s">
        <v>2559</v>
      </c>
      <c r="P331" s="4264"/>
      <c r="Q331" s="4265"/>
    </row>
    <row r="332" spans="1:256" ht="11.65" customHeight="1">
      <c r="A332" s="110" t="s">
        <v>1613</v>
      </c>
      <c r="B332" s="67" t="s">
        <v>2170</v>
      </c>
      <c r="N332" s="128" t="s">
        <v>1613</v>
      </c>
      <c r="O332" s="4329" t="s">
        <v>2559</v>
      </c>
      <c r="P332" s="4330"/>
      <c r="Q332" s="4331"/>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8"/>
      <c r="B334" s="4209"/>
      <c r="C334" s="4209"/>
      <c r="D334" s="4209"/>
      <c r="E334" s="4209"/>
      <c r="F334" s="4209"/>
      <c r="G334" s="4209"/>
      <c r="H334" s="4209"/>
      <c r="I334" s="4209"/>
      <c r="J334" s="4209"/>
      <c r="K334" s="4209"/>
      <c r="L334" s="4209"/>
      <c r="M334" s="4209"/>
      <c r="N334" s="4209"/>
      <c r="O334" s="4209"/>
      <c r="P334" s="4209"/>
      <c r="Q334" s="4210"/>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5"/>
      <c r="B336" s="4206"/>
      <c r="C336" s="4206"/>
      <c r="D336" s="4206"/>
      <c r="E336" s="4206"/>
      <c r="F336" s="4206"/>
      <c r="G336" s="4206"/>
      <c r="H336" s="4206"/>
      <c r="I336" s="4206"/>
      <c r="J336" s="4206"/>
      <c r="K336" s="4206"/>
      <c r="L336" s="4206"/>
      <c r="M336" s="4206"/>
      <c r="N336" s="4206"/>
      <c r="O336" s="4206"/>
      <c r="P336" s="4206"/>
      <c r="Q336" s="420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4"/>
      <c r="Q338" s="4215"/>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4" t="s">
        <v>6685</v>
      </c>
      <c r="C341" s="4194"/>
      <c r="D341" s="4194"/>
      <c r="E341" s="4194"/>
      <c r="F341" s="4194"/>
      <c r="G341" s="4194"/>
      <c r="H341" s="4194"/>
      <c r="I341" s="4194"/>
      <c r="J341" s="4194"/>
      <c r="K341" s="4194"/>
      <c r="L341" s="4194"/>
      <c r="M341" s="4194"/>
      <c r="N341" s="4194"/>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54</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4" t="s">
        <v>6686</v>
      </c>
      <c r="C344" s="4194"/>
      <c r="D344" s="4194"/>
      <c r="E344" s="4194"/>
      <c r="F344" s="4194"/>
      <c r="G344" s="4194"/>
      <c r="H344" s="4194"/>
      <c r="I344" s="4194"/>
      <c r="J344" s="4194"/>
      <c r="K344" s="4194"/>
      <c r="L344" s="4194"/>
      <c r="M344" s="4194"/>
      <c r="N344" s="4194"/>
      <c r="O344" s="128" t="s">
        <v>1843</v>
      </c>
      <c r="P344" s="905"/>
      <c r="Q344" s="906"/>
    </row>
    <row r="345" spans="1:44" s="115" customFormat="1">
      <c r="A345" s="110"/>
      <c r="B345" s="1220"/>
      <c r="C345" s="29" t="s">
        <v>1667</v>
      </c>
      <c r="D345" s="29"/>
      <c r="E345" s="1540">
        <f>'Part V-Revenues &amp; Expenses'!$P$67</f>
        <v>54</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4" t="s">
        <v>6687</v>
      </c>
      <c r="C346" s="4194"/>
      <c r="D346" s="4194"/>
      <c r="E346" s="4194"/>
      <c r="F346" s="4194"/>
      <c r="G346" s="4194"/>
      <c r="H346" s="4194"/>
      <c r="I346" s="4194"/>
      <c r="J346" s="4194"/>
      <c r="K346" s="4194"/>
      <c r="L346" s="4194"/>
      <c r="M346" s="4194"/>
      <c r="N346" s="4194"/>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54</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8"/>
      <c r="B350" s="4209"/>
      <c r="C350" s="4209"/>
      <c r="D350" s="4209"/>
      <c r="E350" s="4209"/>
      <c r="F350" s="4209"/>
      <c r="G350" s="4209"/>
      <c r="H350" s="4209"/>
      <c r="I350" s="4209"/>
      <c r="J350" s="4209"/>
      <c r="K350" s="4209"/>
      <c r="L350" s="4209"/>
      <c r="M350" s="4209"/>
      <c r="N350" s="4209"/>
      <c r="O350" s="4209"/>
      <c r="P350" s="4209"/>
      <c r="Q350" s="4210"/>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5"/>
      <c r="B352" s="4206"/>
      <c r="C352" s="4206"/>
      <c r="D352" s="4206"/>
      <c r="E352" s="4206"/>
      <c r="F352" s="4206"/>
      <c r="G352" s="4206"/>
      <c r="H352" s="4206"/>
      <c r="I352" s="4206"/>
      <c r="J352" s="4206"/>
      <c r="K352" s="4206"/>
      <c r="L352" s="4206"/>
      <c r="M352" s="4206"/>
      <c r="N352" s="4206"/>
      <c r="O352" s="4206"/>
      <c r="P352" s="4206"/>
      <c r="Q352" s="420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0"/>
      <c r="Q354" s="4201"/>
    </row>
    <row r="355" spans="1:31" ht="10.5" customHeight="1">
      <c r="A355" s="40" t="s">
        <v>1841</v>
      </c>
      <c r="B355" s="29" t="s">
        <v>3358</v>
      </c>
      <c r="D355" s="118"/>
      <c r="E355" s="118"/>
      <c r="F355" s="118"/>
      <c r="G355" s="118"/>
      <c r="H355" s="48" t="s">
        <v>1841</v>
      </c>
      <c r="I355" s="4371"/>
      <c r="J355" s="4372"/>
      <c r="K355" s="4372"/>
      <c r="L355" s="4372"/>
      <c r="M355" s="4372"/>
      <c r="N355" s="4372"/>
      <c r="O355" s="4372"/>
      <c r="P355" s="4373"/>
      <c r="Q355" s="419"/>
    </row>
    <row r="356" spans="1:31" ht="10.5" customHeight="1">
      <c r="A356" s="110" t="s">
        <v>1843</v>
      </c>
      <c r="B356" s="29" t="s">
        <v>3359</v>
      </c>
      <c r="D356" s="118"/>
      <c r="E356" s="118"/>
      <c r="F356" s="118"/>
      <c r="G356" s="118"/>
      <c r="H356" s="128" t="s">
        <v>1843</v>
      </c>
      <c r="I356" s="4248"/>
      <c r="J356" s="4249"/>
      <c r="K356" s="4249"/>
      <c r="L356" s="4249"/>
      <c r="M356" s="4249"/>
      <c r="N356" s="4249"/>
      <c r="O356" s="4249"/>
      <c r="P356" s="4250"/>
      <c r="Q356" s="421"/>
    </row>
    <row r="357" spans="1:31" ht="21.75" customHeight="1">
      <c r="A357" s="110" t="s">
        <v>698</v>
      </c>
      <c r="B357" s="4216" t="s">
        <v>3350</v>
      </c>
      <c r="C357" s="4216"/>
      <c r="D357" s="4216"/>
      <c r="E357" s="4216"/>
      <c r="F357" s="4216"/>
      <c r="G357" s="4216"/>
      <c r="H357" s="4216"/>
      <c r="I357" s="4216"/>
      <c r="J357" s="4216"/>
      <c r="K357" s="4216"/>
      <c r="L357" s="4216"/>
      <c r="M357" s="4216"/>
      <c r="N357" s="4216"/>
      <c r="O357" s="128" t="s">
        <v>698</v>
      </c>
      <c r="P357" s="838"/>
      <c r="Q357" s="893"/>
    </row>
    <row r="358" spans="1:31" ht="21.75" customHeight="1">
      <c r="A358" s="110" t="s">
        <v>1962</v>
      </c>
      <c r="B358" s="4194" t="s">
        <v>3351</v>
      </c>
      <c r="C358" s="4194"/>
      <c r="D358" s="4194"/>
      <c r="E358" s="4194"/>
      <c r="F358" s="4194"/>
      <c r="G358" s="4194"/>
      <c r="H358" s="4194"/>
      <c r="I358" s="4194"/>
      <c r="J358" s="4194"/>
      <c r="K358" s="4194"/>
      <c r="L358" s="4194"/>
      <c r="M358" s="4194"/>
      <c r="N358" s="4194"/>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4" t="s">
        <v>3353</v>
      </c>
      <c r="C360" s="4194"/>
      <c r="D360" s="4194"/>
      <c r="E360" s="4194"/>
      <c r="F360" s="4194"/>
      <c r="G360" s="4194"/>
      <c r="H360" s="4194"/>
      <c r="I360" s="4194"/>
      <c r="J360" s="4194"/>
      <c r="K360" s="4194"/>
      <c r="L360" s="4194"/>
      <c r="M360" s="4194"/>
      <c r="N360" s="4194"/>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4" t="s">
        <v>3355</v>
      </c>
      <c r="C363" s="4194"/>
      <c r="D363" s="4194"/>
      <c r="E363" s="4194"/>
      <c r="F363" s="4194"/>
      <c r="G363" s="4194"/>
      <c r="H363" s="4194"/>
      <c r="I363" s="4194"/>
      <c r="J363" s="4194"/>
      <c r="K363" s="4194"/>
      <c r="L363" s="4194"/>
      <c r="M363" s="4194"/>
      <c r="N363" s="4194"/>
      <c r="O363" s="128" t="s">
        <v>3004</v>
      </c>
      <c r="P363" s="894"/>
      <c r="Q363" s="893"/>
    </row>
    <row r="364" spans="1:31" ht="33" customHeight="1">
      <c r="A364" s="110" t="s">
        <v>573</v>
      </c>
      <c r="B364" s="4194" t="s">
        <v>3356</v>
      </c>
      <c r="C364" s="4194"/>
      <c r="D364" s="4194"/>
      <c r="E364" s="4194"/>
      <c r="F364" s="4194"/>
      <c r="G364" s="4194"/>
      <c r="H364" s="4194"/>
      <c r="I364" s="4194"/>
      <c r="J364" s="4194"/>
      <c r="K364" s="4194"/>
      <c r="L364" s="4194"/>
      <c r="M364" s="4194"/>
      <c r="N364" s="4194"/>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8"/>
      <c r="B366" s="4209"/>
      <c r="C366" s="4209"/>
      <c r="D366" s="4209"/>
      <c r="E366" s="4209"/>
      <c r="F366" s="4209"/>
      <c r="G366" s="4209"/>
      <c r="H366" s="4209"/>
      <c r="I366" s="4209"/>
      <c r="J366" s="4209"/>
      <c r="K366" s="4209"/>
      <c r="L366" s="4209"/>
      <c r="M366" s="4209"/>
      <c r="N366" s="4209"/>
      <c r="O366" s="4209"/>
      <c r="P366" s="4209"/>
      <c r="Q366" s="4210"/>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5"/>
      <c r="B368" s="4206"/>
      <c r="C368" s="4206"/>
      <c r="D368" s="4206"/>
      <c r="E368" s="4206"/>
      <c r="F368" s="4206"/>
      <c r="G368" s="4206"/>
      <c r="H368" s="4206"/>
      <c r="I368" s="4206"/>
      <c r="J368" s="4206"/>
      <c r="K368" s="4206"/>
      <c r="L368" s="4206"/>
      <c r="M368" s="4206"/>
      <c r="N368" s="4206"/>
      <c r="O368" s="4206"/>
      <c r="P368" s="4206"/>
      <c r="Q368" s="420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0"/>
      <c r="Q371" s="4201"/>
    </row>
    <row r="372" spans="1:31" ht="11.65" customHeight="1">
      <c r="A372" s="40" t="s">
        <v>1841</v>
      </c>
      <c r="B372" s="32" t="s">
        <v>970</v>
      </c>
      <c r="E372" s="4255"/>
      <c r="F372" s="4256"/>
      <c r="G372" s="4256"/>
      <c r="H372" s="4256"/>
      <c r="I372" s="4257"/>
      <c r="J372" s="4258" t="s">
        <v>2437</v>
      </c>
      <c r="K372" s="4259"/>
      <c r="L372" s="4260"/>
      <c r="M372" s="4255"/>
      <c r="N372" s="4256"/>
      <c r="O372" s="4256"/>
      <c r="P372" s="4256"/>
      <c r="Q372" s="4257"/>
    </row>
    <row r="373" spans="1:31" s="102" customFormat="1" ht="22.5" customHeight="1">
      <c r="A373" s="110" t="s">
        <v>1843</v>
      </c>
      <c r="B373" s="4194" t="s">
        <v>3081</v>
      </c>
      <c r="C373" s="4194"/>
      <c r="D373" s="4194"/>
      <c r="E373" s="4194"/>
      <c r="F373" s="4194"/>
      <c r="G373" s="4194"/>
      <c r="H373" s="4194"/>
      <c r="I373" s="4194"/>
      <c r="J373" s="4194"/>
      <c r="K373" s="4194"/>
      <c r="L373" s="4194"/>
      <c r="M373" s="4194"/>
      <c r="N373" s="4194"/>
      <c r="O373" s="128" t="s">
        <v>1843</v>
      </c>
      <c r="P373" s="431"/>
      <c r="Q373" s="422"/>
    </row>
    <row r="374" spans="1:31">
      <c r="A374" s="110" t="s">
        <v>698</v>
      </c>
      <c r="B374" s="44" t="s">
        <v>3201</v>
      </c>
      <c r="G374" s="889"/>
      <c r="H374" s="889"/>
      <c r="I374" s="889"/>
      <c r="J374" s="33" t="s">
        <v>3202</v>
      </c>
      <c r="L374" s="889"/>
      <c r="M374" s="4261">
        <f>'Part II-Sources of Funds'!I6</f>
        <v>0</v>
      </c>
      <c r="N374" s="4262"/>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8"/>
      <c r="B376" s="4209"/>
      <c r="C376" s="4209"/>
      <c r="D376" s="4209"/>
      <c r="E376" s="4209"/>
      <c r="F376" s="4209"/>
      <c r="G376" s="4209"/>
      <c r="H376" s="4209"/>
      <c r="I376" s="4209"/>
      <c r="J376" s="4209"/>
      <c r="K376" s="4209"/>
      <c r="L376" s="4209"/>
      <c r="M376" s="4209"/>
      <c r="N376" s="4209"/>
      <c r="O376" s="4209"/>
      <c r="P376" s="4209"/>
      <c r="Q376" s="4210"/>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5"/>
      <c r="B378" s="4206"/>
      <c r="C378" s="4206"/>
      <c r="D378" s="4206"/>
      <c r="E378" s="4206"/>
      <c r="F378" s="4206"/>
      <c r="G378" s="4206"/>
      <c r="H378" s="4206"/>
      <c r="I378" s="4206"/>
      <c r="J378" s="4206"/>
      <c r="K378" s="4206"/>
      <c r="L378" s="4206"/>
      <c r="M378" s="4206"/>
      <c r="N378" s="4206"/>
      <c r="O378" s="4206"/>
      <c r="P378" s="4206"/>
      <c r="Q378" s="4207"/>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00"/>
      <c r="Q380" s="4251"/>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1"/>
      <c r="I385" s="4212"/>
      <c r="J385" s="4212"/>
      <c r="K385" s="4212"/>
      <c r="L385" s="4212"/>
      <c r="M385" s="4212"/>
      <c r="N385" s="4212"/>
      <c r="O385" s="4213"/>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8"/>
      <c r="B387" s="4209"/>
      <c r="C387" s="4209"/>
      <c r="D387" s="4209"/>
      <c r="E387" s="4209"/>
      <c r="F387" s="4209"/>
      <c r="G387" s="4209"/>
      <c r="H387" s="4209"/>
      <c r="I387" s="4209"/>
      <c r="J387" s="4209"/>
      <c r="K387" s="4209"/>
      <c r="L387" s="4209"/>
      <c r="M387" s="4209"/>
      <c r="N387" s="4209"/>
      <c r="O387" s="4209"/>
      <c r="P387" s="4209"/>
      <c r="Q387" s="4210"/>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5"/>
      <c r="B389" s="4206"/>
      <c r="C389" s="4206"/>
      <c r="D389" s="4206"/>
      <c r="E389" s="4206"/>
      <c r="F389" s="4206"/>
      <c r="G389" s="4206"/>
      <c r="H389" s="4206"/>
      <c r="I389" s="4206"/>
      <c r="J389" s="4206"/>
      <c r="K389" s="4206"/>
      <c r="L389" s="4206"/>
      <c r="M389" s="4206"/>
      <c r="N389" s="4206"/>
      <c r="O389" s="4206"/>
      <c r="P389" s="4206"/>
      <c r="Q389" s="420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14"/>
      <c r="Q391" s="4215"/>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4"/>
      <c r="Q395" s="4292"/>
    </row>
    <row r="396" spans="1:31" ht="12" customHeight="1">
      <c r="A396" s="40"/>
      <c r="D396" s="29" t="s">
        <v>6500</v>
      </c>
      <c r="E396" s="29"/>
      <c r="F396" s="29"/>
      <c r="G396" s="29"/>
      <c r="H396" s="29"/>
      <c r="I396" s="29"/>
      <c r="J396" s="29"/>
      <c r="K396" s="29"/>
      <c r="L396" s="29"/>
      <c r="M396" s="29"/>
      <c r="N396" s="35"/>
      <c r="O396" s="1398"/>
      <c r="P396" s="4295"/>
      <c r="Q396" s="4293"/>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4" t="s">
        <v>6150</v>
      </c>
      <c r="D400" s="4194"/>
      <c r="E400" s="4194"/>
      <c r="F400" s="4194"/>
      <c r="G400" s="29" t="s">
        <v>3942</v>
      </c>
      <c r="J400" s="718"/>
      <c r="K400" s="426"/>
      <c r="M400" s="29" t="s">
        <v>6224</v>
      </c>
      <c r="P400" s="1760"/>
      <c r="Q400" s="1761"/>
    </row>
    <row r="401" spans="1:44" ht="12" customHeight="1">
      <c r="A401" s="40"/>
      <c r="C401" s="4194"/>
      <c r="D401" s="4194"/>
      <c r="E401" s="4194"/>
      <c r="F401" s="4194"/>
      <c r="G401" s="29" t="s">
        <v>6223</v>
      </c>
      <c r="J401" s="719"/>
      <c r="K401" s="427"/>
      <c r="M401" s="29" t="s">
        <v>6225</v>
      </c>
      <c r="P401" s="719"/>
      <c r="Q401" s="427"/>
    </row>
    <row r="402" spans="1:44" ht="8.25" customHeight="1">
      <c r="A402" s="40"/>
      <c r="C402" s="4194"/>
      <c r="D402" s="4194"/>
      <c r="E402" s="4194"/>
      <c r="F402" s="4194"/>
      <c r="J402" s="1533"/>
      <c r="L402" s="33"/>
      <c r="M402" s="35"/>
      <c r="N402" s="48"/>
    </row>
    <row r="403" spans="1:44" s="72" customFormat="1" ht="12.75" customHeight="1">
      <c r="A403" s="107"/>
      <c r="B403" s="153"/>
      <c r="D403" s="892"/>
      <c r="E403" s="892"/>
      <c r="F403" s="892"/>
      <c r="G403" s="892"/>
      <c r="H403" s="892"/>
      <c r="I403" s="4202" t="s">
        <v>6180</v>
      </c>
      <c r="J403" s="4202" t="s">
        <v>6181</v>
      </c>
      <c r="K403" s="4202" t="s">
        <v>6183</v>
      </c>
      <c r="L403" s="4202"/>
      <c r="M403" s="4202"/>
      <c r="N403" s="4241" t="s">
        <v>6182</v>
      </c>
      <c r="O403" s="48"/>
      <c r="P403" s="4365" t="s">
        <v>6697</v>
      </c>
      <c r="Q403" s="4365"/>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4"/>
      <c r="J404" s="4202"/>
      <c r="K404" s="4202"/>
      <c r="L404" s="4202"/>
      <c r="M404" s="4202"/>
      <c r="N404" s="4242"/>
      <c r="O404" s="48"/>
      <c r="P404" s="4366"/>
      <c r="Q404" s="4366"/>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4" t="s">
        <v>6294</v>
      </c>
      <c r="D405" s="4194"/>
      <c r="E405" s="4194"/>
      <c r="F405" s="4194"/>
      <c r="G405" s="4194"/>
      <c r="H405" s="4194"/>
      <c r="I405" s="365">
        <f>K290</f>
        <v>0</v>
      </c>
      <c r="J405" s="1762"/>
      <c r="K405" s="4203"/>
      <c r="L405" s="4203"/>
      <c r="M405" s="4204"/>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4"/>
      <c r="D406" s="4194"/>
      <c r="E406" s="4194"/>
      <c r="F406" s="4194"/>
      <c r="G406" s="4194"/>
      <c r="H406" s="4194"/>
      <c r="I406" s="248"/>
      <c r="J406" s="1763"/>
      <c r="K406" s="4243"/>
      <c r="L406" s="4243"/>
      <c r="M406" s="4244"/>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3"/>
      <c r="L408" s="4203"/>
      <c r="M408" s="4204"/>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3"/>
      <c r="L409" s="4243"/>
      <c r="M409" s="4244"/>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4" t="s">
        <v>6295</v>
      </c>
      <c r="D411" s="4194"/>
      <c r="E411" s="4194"/>
      <c r="F411" s="4194"/>
      <c r="G411" s="4194"/>
      <c r="H411" s="4194"/>
      <c r="I411" s="365">
        <f>K293</f>
        <v>0</v>
      </c>
      <c r="J411" s="1762"/>
      <c r="K411" s="4203"/>
      <c r="L411" s="4203"/>
      <c r="M411" s="4204"/>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4"/>
      <c r="D412" s="4194"/>
      <c r="E412" s="4194"/>
      <c r="F412" s="4194"/>
      <c r="G412" s="4194"/>
      <c r="H412" s="4194"/>
      <c r="J412" s="1763"/>
      <c r="K412" s="4243"/>
      <c r="L412" s="4243"/>
      <c r="M412" s="4244"/>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199" t="s">
        <v>6228</v>
      </c>
      <c r="E416" s="352" t="s">
        <v>2263</v>
      </c>
      <c r="F416" s="44" t="s">
        <v>3287</v>
      </c>
      <c r="G416" s="4195"/>
      <c r="H416" s="4196"/>
      <c r="I416" s="4196"/>
      <c r="J416" s="4196"/>
      <c r="K416" s="4197"/>
      <c r="L416" s="352"/>
    </row>
    <row r="417" spans="1:31" ht="12" customHeight="1">
      <c r="B417" s="115"/>
      <c r="D417" s="4199"/>
      <c r="E417" s="352" t="s">
        <v>3939</v>
      </c>
      <c r="F417" s="44" t="s">
        <v>3940</v>
      </c>
      <c r="G417" s="4252" t="s">
        <v>3204</v>
      </c>
      <c r="H417" s="4253"/>
      <c r="I417" s="4254"/>
      <c r="J417" s="44" t="s">
        <v>3801</v>
      </c>
      <c r="K417" s="115"/>
      <c r="M417" s="4195"/>
      <c r="N417" s="4196"/>
      <c r="O417" s="4196"/>
      <c r="P417" s="4196"/>
      <c r="Q417" s="4197"/>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45"/>
      <c r="C419" s="4246"/>
      <c r="D419" s="4246"/>
      <c r="E419" s="4246"/>
      <c r="F419" s="4246"/>
      <c r="G419" s="4246"/>
      <c r="H419" s="4246"/>
      <c r="I419" s="4246"/>
      <c r="J419" s="4246"/>
      <c r="K419" s="4246"/>
      <c r="L419" s="4246"/>
      <c r="M419" s="4246"/>
      <c r="N419" s="4246"/>
      <c r="O419" s="4246"/>
      <c r="P419" s="4246"/>
      <c r="Q419" s="4247"/>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8" t="s">
        <v>4033</v>
      </c>
      <c r="C421" s="4194"/>
      <c r="D421" s="4194"/>
      <c r="E421" s="4194"/>
      <c r="F421" s="4194"/>
      <c r="G421" s="4194"/>
      <c r="H421" s="4194"/>
      <c r="I421" s="4194"/>
      <c r="J421" s="4194"/>
      <c r="K421" s="4194"/>
      <c r="L421" s="4194"/>
      <c r="M421" s="4194"/>
      <c r="N421" s="4194"/>
    </row>
    <row r="422" spans="1:31" s="115" customFormat="1" ht="45" customHeight="1">
      <c r="B422" s="4194" t="s">
        <v>6542</v>
      </c>
      <c r="C422" s="4194"/>
      <c r="D422" s="4194"/>
      <c r="E422" s="4194"/>
      <c r="F422" s="4194"/>
      <c r="G422" s="4194"/>
      <c r="H422" s="4194"/>
      <c r="I422" s="4194"/>
      <c r="J422" s="4194"/>
      <c r="K422" s="4194"/>
      <c r="L422" s="4194"/>
      <c r="M422" s="4194"/>
      <c r="N422" s="4194"/>
      <c r="O422" s="128" t="s">
        <v>1843</v>
      </c>
      <c r="P422" s="905"/>
      <c r="Q422" s="906"/>
    </row>
    <row r="423" spans="1:31" ht="12" customHeight="1">
      <c r="B423" s="109" t="s">
        <v>3239</v>
      </c>
      <c r="D423" s="109"/>
      <c r="E423" s="109"/>
      <c r="F423" s="109"/>
      <c r="G423" s="109"/>
      <c r="H423" s="33"/>
      <c r="I423" s="891"/>
      <c r="J423" s="891"/>
      <c r="K423" s="891"/>
    </row>
    <row r="424" spans="1:31" ht="33.6" customHeight="1">
      <c r="A424" s="4208"/>
      <c r="B424" s="4209"/>
      <c r="C424" s="4209"/>
      <c r="D424" s="4209"/>
      <c r="E424" s="4209"/>
      <c r="F424" s="4209"/>
      <c r="G424" s="4209"/>
      <c r="H424" s="4209"/>
      <c r="I424" s="4209"/>
      <c r="J424" s="4209"/>
      <c r="K424" s="4209"/>
      <c r="L424" s="4209"/>
      <c r="M424" s="4209"/>
      <c r="N424" s="4209"/>
      <c r="O424" s="4209"/>
      <c r="P424" s="4209"/>
      <c r="Q424" s="4210"/>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5"/>
      <c r="B426" s="4206"/>
      <c r="C426" s="4206"/>
      <c r="D426" s="4206"/>
      <c r="E426" s="4206"/>
      <c r="F426" s="4206"/>
      <c r="G426" s="4206"/>
      <c r="H426" s="4206"/>
      <c r="I426" s="4206"/>
      <c r="J426" s="4206"/>
      <c r="K426" s="4206"/>
      <c r="L426" s="4206"/>
      <c r="M426" s="4206"/>
      <c r="N426" s="4206"/>
      <c r="O426" s="4206"/>
      <c r="P426" s="4206"/>
      <c r="Q426" s="4207"/>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00"/>
      <c r="Q428" s="4201"/>
    </row>
    <row r="429" spans="1:31" ht="14.1" customHeight="1">
      <c r="B429" s="66" t="s">
        <v>3896</v>
      </c>
      <c r="C429" s="4"/>
      <c r="D429" s="66"/>
      <c r="E429" s="887"/>
      <c r="F429" s="887"/>
      <c r="G429" s="887"/>
      <c r="H429" s="887"/>
    </row>
    <row r="430" spans="1:31" s="102" customFormat="1" ht="21.75" customHeight="1">
      <c r="A430" s="110" t="s">
        <v>1841</v>
      </c>
      <c r="B430" s="4194" t="s">
        <v>3311</v>
      </c>
      <c r="C430" s="4194"/>
      <c r="D430" s="4194"/>
      <c r="E430" s="4194"/>
      <c r="F430" s="4194"/>
      <c r="G430" s="4194"/>
      <c r="H430" s="4194"/>
      <c r="I430" s="4194"/>
      <c r="J430" s="4194"/>
      <c r="K430" s="4194"/>
      <c r="L430" s="4194"/>
      <c r="M430" s="4194"/>
      <c r="N430" s="4194"/>
      <c r="O430" s="128" t="s">
        <v>1841</v>
      </c>
      <c r="P430" s="894"/>
      <c r="Q430" s="893"/>
    </row>
    <row r="431" spans="1:31" s="102" customFormat="1" ht="22.5" customHeight="1">
      <c r="A431" s="110" t="s">
        <v>1843</v>
      </c>
      <c r="B431" s="4194" t="s">
        <v>3310</v>
      </c>
      <c r="C431" s="4194"/>
      <c r="D431" s="4194"/>
      <c r="E431" s="4194"/>
      <c r="F431" s="4194"/>
      <c r="G431" s="4194"/>
      <c r="H431" s="4194"/>
      <c r="I431" s="4194"/>
      <c r="J431" s="4194"/>
      <c r="K431" s="4194"/>
      <c r="L431" s="4194"/>
      <c r="M431" s="4194"/>
      <c r="N431" s="4194"/>
      <c r="O431" s="128" t="s">
        <v>1843</v>
      </c>
      <c r="P431" s="431"/>
      <c r="Q431" s="422"/>
    </row>
    <row r="432" spans="1:31" s="102" customFormat="1" ht="22.5" customHeight="1">
      <c r="B432" s="1220" t="s">
        <v>1614</v>
      </c>
      <c r="C432" s="4194" t="s">
        <v>3866</v>
      </c>
      <c r="D432" s="4194"/>
      <c r="E432" s="4194"/>
      <c r="F432" s="4194"/>
      <c r="G432" s="4194"/>
      <c r="H432" s="4194"/>
      <c r="I432" s="4194"/>
      <c r="J432" s="4194"/>
      <c r="K432" s="4194"/>
      <c r="L432" s="4194"/>
      <c r="M432" s="4194"/>
      <c r="N432" s="4194"/>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4" t="s">
        <v>3868</v>
      </c>
      <c r="D434" s="4194"/>
      <c r="E434" s="4194"/>
      <c r="F434" s="4194"/>
      <c r="G434" s="4194"/>
      <c r="H434" s="4194"/>
      <c r="I434" s="4194"/>
      <c r="J434" s="4194"/>
      <c r="K434" s="4194"/>
      <c r="L434" s="4194"/>
      <c r="M434" s="4194"/>
      <c r="N434" s="4194"/>
      <c r="O434" s="128" t="s">
        <v>1616</v>
      </c>
      <c r="P434" s="431"/>
      <c r="Q434" s="422"/>
    </row>
    <row r="435" spans="1:31" s="102" customFormat="1" ht="22.5" customHeight="1">
      <c r="B435" s="372" t="s">
        <v>2182</v>
      </c>
      <c r="C435" s="4194" t="s">
        <v>3869</v>
      </c>
      <c r="D435" s="4194"/>
      <c r="E435" s="4194"/>
      <c r="F435" s="4194"/>
      <c r="G435" s="4194"/>
      <c r="H435" s="4194"/>
      <c r="I435" s="4194"/>
      <c r="J435" s="4194"/>
      <c r="K435" s="4194"/>
      <c r="L435" s="4194"/>
      <c r="M435" s="4194"/>
      <c r="N435" s="4194"/>
      <c r="O435" s="128" t="s">
        <v>2182</v>
      </c>
      <c r="P435" s="431"/>
      <c r="Q435" s="422"/>
    </row>
    <row r="436" spans="1:31" s="102" customFormat="1" ht="22.5" customHeight="1">
      <c r="A436" s="110" t="s">
        <v>698</v>
      </c>
      <c r="B436" s="4194" t="s">
        <v>3312</v>
      </c>
      <c r="C436" s="4194"/>
      <c r="D436" s="4194"/>
      <c r="E436" s="4194"/>
      <c r="F436" s="4194"/>
      <c r="G436" s="4194"/>
      <c r="H436" s="4194"/>
      <c r="I436" s="4194"/>
      <c r="J436" s="4194"/>
      <c r="K436" s="4194"/>
      <c r="L436" s="4194"/>
      <c r="M436" s="4194"/>
      <c r="N436" s="4194"/>
      <c r="O436" s="128" t="s">
        <v>698</v>
      </c>
      <c r="P436" s="431"/>
      <c r="Q436" s="422"/>
    </row>
    <row r="437" spans="1:31" s="102" customFormat="1" ht="22.5" customHeight="1">
      <c r="A437" s="110" t="s">
        <v>1962</v>
      </c>
      <c r="B437" s="4194" t="s">
        <v>3917</v>
      </c>
      <c r="C437" s="4194"/>
      <c r="D437" s="4194"/>
      <c r="E437" s="4194"/>
      <c r="F437" s="4194"/>
      <c r="G437" s="4194"/>
      <c r="H437" s="4194"/>
      <c r="I437" s="4194"/>
      <c r="J437" s="4194"/>
      <c r="K437" s="4194"/>
      <c r="L437" s="4194"/>
      <c r="M437" s="4194"/>
      <c r="N437" s="4194"/>
      <c r="O437" s="128" t="s">
        <v>1962</v>
      </c>
      <c r="P437" s="431"/>
      <c r="Q437" s="422"/>
    </row>
    <row r="438" spans="1:31" s="102" customFormat="1" ht="21.75" customHeight="1">
      <c r="A438" s="110" t="s">
        <v>1612</v>
      </c>
      <c r="B438" s="4194" t="s">
        <v>3918</v>
      </c>
      <c r="C438" s="4194"/>
      <c r="D438" s="4194"/>
      <c r="E438" s="4194"/>
      <c r="F438" s="4194"/>
      <c r="G438" s="4194"/>
      <c r="H438" s="4194"/>
      <c r="I438" s="4194"/>
      <c r="J438" s="4194"/>
      <c r="K438" s="4194"/>
      <c r="L438" s="4194"/>
      <c r="M438" s="4194"/>
      <c r="N438" s="4194"/>
      <c r="O438" s="128" t="s">
        <v>1612</v>
      </c>
      <c r="P438" s="431"/>
      <c r="Q438" s="422"/>
    </row>
    <row r="439" spans="1:31" s="334" customFormat="1" ht="21.75" customHeight="1">
      <c r="A439" s="110" t="s">
        <v>1613</v>
      </c>
      <c r="B439" s="4194" t="s">
        <v>3951</v>
      </c>
      <c r="C439" s="4194"/>
      <c r="D439" s="4194"/>
      <c r="E439" s="4194"/>
      <c r="F439" s="4194"/>
      <c r="G439" s="4194"/>
      <c r="H439" s="4194"/>
      <c r="I439" s="4194"/>
      <c r="J439" s="4194"/>
      <c r="K439" s="4194"/>
      <c r="L439" s="4194"/>
      <c r="M439" s="4194"/>
      <c r="N439" s="4194"/>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8"/>
      <c r="B441" s="4209"/>
      <c r="C441" s="4209"/>
      <c r="D441" s="4209"/>
      <c r="E441" s="4209"/>
      <c r="F441" s="4209"/>
      <c r="G441" s="4209"/>
      <c r="H441" s="4209"/>
      <c r="I441" s="4209"/>
      <c r="J441" s="4209"/>
      <c r="K441" s="4209"/>
      <c r="L441" s="4209"/>
      <c r="M441" s="4209"/>
      <c r="N441" s="4209"/>
      <c r="O441" s="4209"/>
      <c r="P441" s="4209"/>
      <c r="Q441" s="4210"/>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5"/>
      <c r="B443" s="4206"/>
      <c r="C443" s="4206"/>
      <c r="D443" s="4206"/>
      <c r="E443" s="4206"/>
      <c r="F443" s="4206"/>
      <c r="G443" s="4206"/>
      <c r="H443" s="4206"/>
      <c r="I443" s="4206"/>
      <c r="J443" s="4206"/>
      <c r="K443" s="4206"/>
      <c r="L443" s="4206"/>
      <c r="M443" s="4206"/>
      <c r="N443" s="4206"/>
      <c r="O443" s="4206"/>
      <c r="P443" s="4206"/>
      <c r="Q443" s="4207"/>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00"/>
      <c r="Q445" s="4201"/>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8"/>
      <c r="B447" s="4209"/>
      <c r="C447" s="4209"/>
      <c r="D447" s="4209"/>
      <c r="E447" s="4209"/>
      <c r="F447" s="4209"/>
      <c r="G447" s="4209"/>
      <c r="H447" s="4209"/>
      <c r="I447" s="4209"/>
      <c r="J447" s="4209"/>
      <c r="K447" s="4209"/>
      <c r="L447" s="4209"/>
      <c r="M447" s="4209"/>
      <c r="N447" s="4209"/>
      <c r="O447" s="4209"/>
      <c r="P447" s="4209"/>
      <c r="Q447" s="4210"/>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5"/>
      <c r="B449" s="4206"/>
      <c r="C449" s="4206"/>
      <c r="D449" s="4206"/>
      <c r="E449" s="4206"/>
      <c r="F449" s="4206"/>
      <c r="G449" s="4206"/>
      <c r="H449" s="4206"/>
      <c r="I449" s="4206"/>
      <c r="J449" s="4206"/>
      <c r="K449" s="4206"/>
      <c r="L449" s="4206"/>
      <c r="M449" s="4206"/>
      <c r="N449" s="4206"/>
      <c r="O449" s="4206"/>
      <c r="P449" s="4206"/>
      <c r="Q449" s="420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8" t="s">
        <v>6523</v>
      </c>
      <c r="B2" s="4398"/>
      <c r="C2" s="147"/>
      <c r="D2" s="795">
        <v>2021</v>
      </c>
      <c r="E2" s="144"/>
      <c r="F2" s="4392" t="s">
        <v>2999</v>
      </c>
      <c r="G2" s="4393"/>
      <c r="H2" s="4393"/>
      <c r="I2" s="4393"/>
      <c r="J2" s="4394"/>
      <c r="K2" s="234"/>
      <c r="L2" s="443" t="s">
        <v>3141</v>
      </c>
      <c r="M2" s="234"/>
      <c r="N2" s="4392" t="s">
        <v>2999</v>
      </c>
      <c r="O2" s="4393"/>
      <c r="P2" s="4393"/>
      <c r="Q2" s="4393"/>
      <c r="R2" s="4394"/>
      <c r="S2" s="241"/>
      <c r="T2" s="144"/>
      <c r="U2" s="144"/>
      <c r="V2" s="322"/>
      <c r="W2" s="322"/>
      <c r="X2" s="322"/>
      <c r="AA2" s="68"/>
      <c r="AB2" s="68"/>
    </row>
    <row r="3" spans="1:28" s="145" customFormat="1" ht="11.65" customHeight="1">
      <c r="A3" s="4398"/>
      <c r="B3" s="4398"/>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8"/>
      <c r="B4" s="4398"/>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00"/>
      <c r="Q44" s="4201"/>
    </row>
    <row r="45" spans="1:295" s="28" customFormat="1" ht="11.25" customHeight="1">
      <c r="A45" s="4408"/>
      <c r="B45" s="4408"/>
      <c r="C45" s="4408"/>
      <c r="D45" s="4408"/>
      <c r="E45" s="4408"/>
      <c r="F45" s="1245"/>
      <c r="G45" s="4421" t="s">
        <v>2465</v>
      </c>
      <c r="H45" s="4422"/>
      <c r="I45" s="66"/>
      <c r="J45" s="35"/>
      <c r="K45" s="4423" t="s">
        <v>3164</v>
      </c>
      <c r="L45" s="4424"/>
      <c r="M45" s="4424"/>
      <c r="N45" s="4425"/>
    </row>
    <row r="46" spans="1:295" s="28" customFormat="1" ht="11.25" customHeight="1">
      <c r="A46" s="4408"/>
      <c r="B46" s="4408"/>
      <c r="C46" s="4408"/>
      <c r="D46" s="4408"/>
      <c r="E46" s="4408"/>
      <c r="F46" s="1245"/>
      <c r="G46" s="4426" t="s">
        <v>333</v>
      </c>
      <c r="H46" s="4427"/>
      <c r="I46" s="66"/>
      <c r="J46" s="35"/>
      <c r="K46" s="4401" t="s">
        <v>3165</v>
      </c>
      <c r="L46" s="4402"/>
      <c r="M46" s="4402"/>
      <c r="N46" s="4403"/>
      <c r="P46" s="405" t="s">
        <v>2474</v>
      </c>
      <c r="Q46" s="74"/>
    </row>
    <row r="47" spans="1:295" s="28" customFormat="1" ht="4.5" customHeight="1">
      <c r="A47" s="1245"/>
      <c r="B47" s="1245"/>
      <c r="C47" s="1245"/>
      <c r="D47" s="1245"/>
      <c r="E47" s="1245"/>
      <c r="F47" s="1245"/>
      <c r="G47" s="66"/>
      <c r="H47" s="66"/>
      <c r="I47" s="66"/>
      <c r="J47" s="35"/>
      <c r="K47" s="4259"/>
      <c r="L47" s="4259"/>
      <c r="M47" s="4259"/>
      <c r="N47" s="4259"/>
      <c r="P47" s="4406" t="s">
        <v>3935</v>
      </c>
      <c r="Q47" s="4406"/>
    </row>
    <row r="48" spans="1:295" s="62" customFormat="1" ht="10.5" customHeight="1">
      <c r="D48" s="491" t="s">
        <v>2464</v>
      </c>
      <c r="E48" s="28"/>
      <c r="F48" s="492" t="s">
        <v>3067</v>
      </c>
      <c r="G48" s="4396" t="s">
        <v>3892</v>
      </c>
      <c r="H48" s="4396"/>
      <c r="I48" s="4396"/>
      <c r="J48" s="28"/>
      <c r="K48" s="492" t="s">
        <v>3067</v>
      </c>
      <c r="L48" s="4396" t="s">
        <v>3891</v>
      </c>
      <c r="M48" s="4396"/>
      <c r="N48" s="4396"/>
      <c r="O48" s="28"/>
      <c r="P48" s="4406"/>
      <c r="Q48" s="4406"/>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0" t="s">
        <v>2998</v>
      </c>
      <c r="B49" s="4400"/>
      <c r="C49" s="4400"/>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170156.4</v>
      </c>
      <c r="H49" s="33" t="str">
        <f>CONCATENATE("x ", F49," units = ")</f>
        <v xml:space="preserve">x  units = </v>
      </c>
      <c r="I49" s="1244" t="str">
        <f>IF(F49="","",F49*G49)</f>
        <v/>
      </c>
      <c r="J49" s="35"/>
      <c r="K49" s="1243" t="str">
        <f>IF('Part V-Revenues &amp; Expenses'!$K$148 =0,"",'Part V-Revenues &amp; Expenses'!$K$148)</f>
        <v/>
      </c>
      <c r="L49" s="661">
        <f>G49*(1+'DCA Underwriting Assumptions'!$Q$12)</f>
        <v>187172.04</v>
      </c>
      <c r="M49" s="33" t="str">
        <f>CONCATENATE("x ", K49," units = ")</f>
        <v xml:space="preserve">x  units = </v>
      </c>
      <c r="N49" s="1244" t="str">
        <f>IF(K49="","",K49*L49)</f>
        <v/>
      </c>
      <c r="O49" s="887"/>
      <c r="P49" s="4407"/>
      <c r="Q49" s="4407"/>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0"/>
      <c r="B50" s="4400"/>
      <c r="C50" s="4400"/>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211056.05</v>
      </c>
      <c r="H50" s="33" t="str">
        <f>CONCATENATE("x ", F50," units = ")</f>
        <v xml:space="preserve">x  units = </v>
      </c>
      <c r="I50" s="1244" t="str">
        <f>IF(F50="","",F50*G50)</f>
        <v/>
      </c>
      <c r="J50" s="35"/>
      <c r="K50" s="1243" t="str">
        <f>IF('Part V-Revenues &amp; Expenses'!$L$148 =0,"",'Part V-Revenues &amp; Expenses'!$L$148)</f>
        <v/>
      </c>
      <c r="L50" s="661">
        <f>G50*(1+'DCA Underwriting Assumptions'!$Q$12)</f>
        <v>232161.655</v>
      </c>
      <c r="M50" s="33" t="str">
        <f>CONCATENATE("x ", K50," units = ")</f>
        <v xml:space="preserve">x  units = </v>
      </c>
      <c r="N50" s="1244" t="str">
        <f>IF(K50="","",K50*L50)</f>
        <v/>
      </c>
      <c r="O50" s="887"/>
      <c r="P50" s="4413" t="str">
        <f>IF('Part I-Project Identification'!$F$26="","",VLOOKUP('Part I-Project Identification'!$J$26,'DCA Underwriting Assumptions'!$G$141:$N$300,8,FALSE))</f>
        <v>Athens</v>
      </c>
      <c r="Q50" s="4414"/>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0"/>
      <c r="B51" s="4400"/>
      <c r="C51" s="4400"/>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252577.94999999998</v>
      </c>
      <c r="H51" s="33" t="str">
        <f>CONCATENATE("x ", F51," units = ")</f>
        <v xml:space="preserve">x  units = </v>
      </c>
      <c r="I51" s="1244" t="str">
        <f>IF(F51="","",F51*G51)</f>
        <v/>
      </c>
      <c r="J51" s="35"/>
      <c r="K51" s="1243" t="str">
        <f>IF('Part V-Revenues &amp; Expenses'!$M$148 =0,"",'Part V-Revenues &amp; Expenses'!$M$148)</f>
        <v/>
      </c>
      <c r="L51" s="661">
        <f>G51*(1+'DCA Underwriting Assumptions'!$Q$12)</f>
        <v>277835.745</v>
      </c>
      <c r="M51" s="33" t="str">
        <f>CONCATENATE("x ", K51," units = ")</f>
        <v xml:space="preserve">x  units = </v>
      </c>
      <c r="N51" s="1244" t="str">
        <f>IF(K51="","",K51*L51)</f>
        <v/>
      </c>
      <c r="O51" s="887"/>
      <c r="P51" s="4415"/>
      <c r="Q51" s="4416"/>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0"/>
      <c r="B52" s="4400"/>
      <c r="C52" s="4400"/>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288129.60000000003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316942.56000000006</v>
      </c>
      <c r="M52" s="33" t="str">
        <f>CONCATENATE("x ", K52," units = ")</f>
        <v xml:space="preserve">x  units = </v>
      </c>
      <c r="N52" s="1244" t="str">
        <f>IF(K52="","",K52*L52)</f>
        <v/>
      </c>
      <c r="O52" s="887"/>
      <c r="P52" s="4365" t="s">
        <v>3936</v>
      </c>
      <c r="Q52" s="4365"/>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339581</v>
      </c>
      <c r="H53" s="33" t="str">
        <f>CONCATENATE("x ", F53," units = ")</f>
        <v xml:space="preserve">x  units = </v>
      </c>
      <c r="I53" s="1244" t="str">
        <f>IF(F53="","",F53*G53)</f>
        <v/>
      </c>
      <c r="J53" s="35"/>
      <c r="K53" s="1243" t="str">
        <f>IF('Part V-Revenues &amp; Expenses'!$O$148 =0,"",'Part V-Revenues &amp; Expenses'!$O$148)</f>
        <v/>
      </c>
      <c r="L53" s="661">
        <f>G53*(1+'DCA Underwriting Assumptions'!$Q$12)</f>
        <v>373539.10000000003</v>
      </c>
      <c r="M53" s="33" t="str">
        <f>CONCATENATE("x ", K53," units = ")</f>
        <v xml:space="preserve">x  units = </v>
      </c>
      <c r="N53" s="1244" t="str">
        <f>IF(K53="","",K53*L53)</f>
        <v/>
      </c>
      <c r="O53" s="887"/>
      <c r="P53" s="4404">
        <f>'Part III-A-Uses of Funds'!$G$146</f>
        <v>15826399</v>
      </c>
      <c r="Q53" s="440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5" t="s">
        <v>3927</v>
      </c>
      <c r="Q54" s="4365"/>
      <c r="R54" s="4395" t="s">
        <v>6299</v>
      </c>
      <c r="S54" s="4395"/>
      <c r="T54" s="439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0" t="s">
        <v>2993</v>
      </c>
      <c r="B56" s="4400"/>
      <c r="C56" s="4400"/>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145936.79999999999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160530.48000000001</v>
      </c>
      <c r="M56" s="33" t="str">
        <f>CONCATENATE("x ", K56," units = ")</f>
        <v xml:space="preserve">x  units = </v>
      </c>
      <c r="N56" s="1244" t="str">
        <f>IF(K56="","",K56*L56)</f>
        <v/>
      </c>
      <c r="P56" s="4404">
        <f>'Part III-A-Uses of Funds'!$G$146-'Part III-A-Uses of Funds'!$G$92-'Part III-A-Uses of Funds'!$G$114-'Part III-A-Uses of Funds'!$G$130-'Part III-A-Uses of Funds'!$G$131-'Part III-A-Uses of Funds'!$G$132</f>
        <v>15201239</v>
      </c>
      <c r="Q56" s="440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0"/>
      <c r="B57" s="4400"/>
      <c r="C57" s="4400"/>
      <c r="D57" s="659" t="s">
        <v>2245</v>
      </c>
      <c r="E57" s="660">
        <v>1</v>
      </c>
      <c r="F57" s="1243">
        <f>IF('Part V-Revenues &amp; Expenses'!$L$149 =0,"",'Part V-Revenues &amp; Expenses'!$L$149)</f>
        <v>9</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182758</v>
      </c>
      <c r="H57" s="33" t="str">
        <f>CONCATENATE("x ", F57," units = ")</f>
        <v xml:space="preserve">x 9 units = </v>
      </c>
      <c r="I57" s="1244">
        <f>IF(F57="","",F57*G57)</f>
        <v>1644822</v>
      </c>
      <c r="J57" s="35"/>
      <c r="K57" s="1243" t="str">
        <f>IF('Part V-Revenues &amp; Expenses'!$L$150 =0,"",'Part V-Revenues &amp; Expenses'!$L$150)</f>
        <v/>
      </c>
      <c r="L57" s="661">
        <f>G57*(1+'DCA Underwriting Assumptions'!$Q$12)</f>
        <v>201033.80000000002</v>
      </c>
      <c r="M57" s="33" t="str">
        <f>CONCATENATE("x ", K57," units = ")</f>
        <v xml:space="preserve">x  units = </v>
      </c>
      <c r="N57" s="1244" t="str">
        <f>IF(K57="","",K57*L57)</f>
        <v/>
      </c>
      <c r="P57" s="3368" t="s">
        <v>3364</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0"/>
      <c r="B58" s="4400"/>
      <c r="C58" s="4400"/>
      <c r="D58" s="659" t="s">
        <v>2246</v>
      </c>
      <c r="E58" s="660">
        <v>2</v>
      </c>
      <c r="F58" s="1243">
        <f>IF('Part V-Revenues &amp; Expenses'!$M$149 =0,"",'Part V-Revenues &amp; Expenses'!$M$149)</f>
        <v>31</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221587.74999999997</v>
      </c>
      <c r="H58" s="33" t="str">
        <f>CONCATENATE("x ", F58," units = ")</f>
        <v xml:space="preserve">x 31 units = </v>
      </c>
      <c r="I58" s="1244">
        <f>IF(F58="","",F58*G58)</f>
        <v>6869220.2499999991</v>
      </c>
      <c r="J58" s="35"/>
      <c r="K58" s="1243" t="str">
        <f>IF('Part V-Revenues &amp; Expenses'!$M$150 =0,"",'Part V-Revenues &amp; Expenses'!$M$150)</f>
        <v/>
      </c>
      <c r="L58" s="661">
        <f>G58*(1+'DCA Underwriting Assumptions'!$Q$12)</f>
        <v>243746.52499999999</v>
      </c>
      <c r="M58" s="33" t="str">
        <f>CONCATENATE("x ", K58," units = ")</f>
        <v xml:space="preserve">x  units = </v>
      </c>
      <c r="N58" s="1244" t="str">
        <f>IF(K58="","",K58*L58)</f>
        <v/>
      </c>
      <c r="O58" s="441"/>
      <c r="P58" s="4417"/>
      <c r="Q58" s="4418"/>
      <c r="R58" s="328"/>
      <c r="S58" s="4378" t="s">
        <v>3930</v>
      </c>
      <c r="T58" s="4379"/>
      <c r="U58" s="4379"/>
      <c r="V58" s="438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f>IF('Part V-Revenues &amp; Expenses'!$N$149 =0,"",'Part V-Revenues &amp; Expenses'!$N$149)</f>
        <v>14</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258930.10000000003</v>
      </c>
      <c r="H59" s="33" t="str">
        <f>CONCATENATE("x ", F59," units = ")</f>
        <v xml:space="preserve">x 14 units = </v>
      </c>
      <c r="I59" s="1244">
        <f>IF(F59="","",F59*G59)</f>
        <v>3625021.4000000004</v>
      </c>
      <c r="J59" s="35"/>
      <c r="K59" s="1243" t="str">
        <f>IF('Part V-Revenues &amp; Expenses'!$N$150 =0,"",'Part V-Revenues &amp; Expenses'!$N$150)</f>
        <v/>
      </c>
      <c r="L59" s="661">
        <f>G59*(1+'DCA Underwriting Assumptions'!$Q$12)</f>
        <v>284823.11000000004</v>
      </c>
      <c r="M59" s="33" t="str">
        <f>CONCATENATE("x ", K59," units = ")</f>
        <v xml:space="preserve">x  units = </v>
      </c>
      <c r="N59" s="1244" t="str">
        <f>IF(K59="","",K59*L59)</f>
        <v/>
      </c>
      <c r="O59" s="441"/>
      <c r="P59" s="4419"/>
      <c r="Q59" s="4420"/>
      <c r="S59" s="4381"/>
      <c r="T59" s="4382"/>
      <c r="U59" s="4382"/>
      <c r="V59" s="438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306959.40000000002</v>
      </c>
      <c r="H60" s="33" t="str">
        <f>CONCATENATE("x ", F60," units = ")</f>
        <v xml:space="preserve">x  units = </v>
      </c>
      <c r="I60" s="1244" t="str">
        <f>IF(F60="","",F60*G60)</f>
        <v/>
      </c>
      <c r="J60" s="35"/>
      <c r="K60" s="1243" t="str">
        <f>IF('Part V-Revenues &amp; Expenses'!$O$150 =0,"",'Part V-Revenues &amp; Expenses'!$O$150)</f>
        <v/>
      </c>
      <c r="L60" s="661">
        <f>G60*(1+'DCA Underwriting Assumptions'!$Q$12)</f>
        <v>337655.34</v>
      </c>
      <c r="M60" s="33" t="str">
        <f>CONCATENATE("x ", K60," units = ")</f>
        <v xml:space="preserve">x  units = </v>
      </c>
      <c r="N60" s="1244" t="str">
        <f>IF(K60="","",K60*L60)</f>
        <v/>
      </c>
      <c r="O60" s="441"/>
      <c r="P60" s="4399" t="s">
        <v>3160</v>
      </c>
      <c r="Q60" s="4399"/>
      <c r="S60" s="4381"/>
      <c r="T60" s="4382"/>
      <c r="U60" s="4382"/>
      <c r="V60" s="438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54</v>
      </c>
      <c r="G61" s="493"/>
      <c r="H61" s="871"/>
      <c r="I61" s="872">
        <f>SUM(I56:I60)</f>
        <v>12139063.65</v>
      </c>
      <c r="J61" s="873"/>
      <c r="K61" s="870">
        <f>SUM(K56:K60)</f>
        <v>0</v>
      </c>
      <c r="L61" s="873"/>
      <c r="M61" s="871"/>
      <c r="N61" s="872">
        <f>SUM(N56:N60)</f>
        <v>0</v>
      </c>
      <c r="O61" s="441"/>
      <c r="P61" s="876" t="s">
        <v>2889</v>
      </c>
      <c r="Q61" s="876" t="s">
        <v>245</v>
      </c>
      <c r="R61" s="328"/>
      <c r="S61" s="4381"/>
      <c r="T61" s="4382"/>
      <c r="U61" s="4382"/>
      <c r="V61" s="438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1"/>
      <c r="T62" s="4382"/>
      <c r="U62" s="4382"/>
      <c r="V62" s="438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130224</v>
      </c>
      <c r="H63" s="33" t="str">
        <f>CONCATENATE("x ", F63," units = ")</f>
        <v xml:space="preserve">x  units = </v>
      </c>
      <c r="I63" s="1244" t="str">
        <f>IF(F63="","",F63*G63)</f>
        <v/>
      </c>
      <c r="J63" s="35"/>
      <c r="K63" s="1243" t="str">
        <f>IF('Part V-Revenues &amp; Expenses'!$K$152 =0,"",'Part V-Revenues &amp; Expenses'!$K$152)</f>
        <v/>
      </c>
      <c r="L63" s="661">
        <f>G63*(1+'DCA Underwriting Assumptions'!$Q$12)</f>
        <v>143246.40000000002</v>
      </c>
      <c r="M63" s="33" t="str">
        <f>CONCATENATE("x ", K63," units = ")</f>
        <v xml:space="preserve">x  units = </v>
      </c>
      <c r="N63" s="1244" t="str">
        <f>IF(K63="","",K63*L63)</f>
        <v/>
      </c>
      <c r="O63" s="441"/>
      <c r="P63" s="875">
        <f>'Part VIII Scoring Criteria OLD'!O378</f>
        <v>0</v>
      </c>
      <c r="Q63" s="875">
        <f>'Part VIII Scoring Criteria OLD'!P378</f>
        <v>0</v>
      </c>
      <c r="R63" s="328"/>
      <c r="S63" s="4381"/>
      <c r="T63" s="4382"/>
      <c r="U63" s="4382"/>
      <c r="V63" s="438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169934.34999999998</v>
      </c>
      <c r="H64" s="33" t="str">
        <f>CONCATENATE("x ", F64," units = ")</f>
        <v xml:space="preserve">x  units = </v>
      </c>
      <c r="I64" s="1244" t="str">
        <f>IF(F64="","",F64*G64)</f>
        <v/>
      </c>
      <c r="J64" s="35"/>
      <c r="K64" s="1243" t="str">
        <f>IF('Part V-Revenues &amp; Expenses'!$L$152 =0,"",'Part V-Revenues &amp; Expenses'!$L$152)</f>
        <v/>
      </c>
      <c r="L64" s="661">
        <f>G64*(1+'DCA Underwriting Assumptions'!$Q$12)</f>
        <v>186927.785</v>
      </c>
      <c r="M64" s="33" t="str">
        <f>CONCATENATE("x ", K64," units = ")</f>
        <v xml:space="preserve">x  units = </v>
      </c>
      <c r="N64" s="1244" t="str">
        <f>IF(K64="","",K64*L64)</f>
        <v/>
      </c>
      <c r="P64" s="4399" t="s">
        <v>3161</v>
      </c>
      <c r="Q64" s="4399"/>
      <c r="S64" s="4381"/>
      <c r="T64" s="4382"/>
      <c r="U64" s="4382"/>
      <c r="V64" s="438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214911.99999999997</v>
      </c>
      <c r="H65" s="33" t="str">
        <f>CONCATENATE("x ", F65," units = ")</f>
        <v xml:space="preserve">x  units = </v>
      </c>
      <c r="I65" s="1244" t="str">
        <f>IF(F65="","",F65*G65)</f>
        <v/>
      </c>
      <c r="J65" s="35"/>
      <c r="K65" s="1243" t="str">
        <f>IF('Part V-Revenues &amp; Expenses'!$M$152 =0,"",'Part V-Revenues &amp; Expenses'!$M$152)</f>
        <v/>
      </c>
      <c r="L65" s="661">
        <f>G65*(1+'DCA Underwriting Assumptions'!$Q$12)</f>
        <v>236403.19999999998</v>
      </c>
      <c r="M65" s="33" t="str">
        <f>CONCATENATE("x ", K65," units = ")</f>
        <v xml:space="preserve">x  units = </v>
      </c>
      <c r="N65" s="1244" t="str">
        <f>IF(K65="","",K65*L65)</f>
        <v/>
      </c>
      <c r="P65" s="876" t="s">
        <v>2889</v>
      </c>
      <c r="Q65" s="876" t="s">
        <v>245</v>
      </c>
      <c r="S65" s="4381"/>
      <c r="T65" s="4382"/>
      <c r="U65" s="4382"/>
      <c r="V65" s="438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270626.40000000002</v>
      </c>
      <c r="H66" s="33" t="str">
        <f>CONCATENATE("x ", F66," units = ")</f>
        <v xml:space="preserve">x  units = </v>
      </c>
      <c r="I66" s="1244" t="str">
        <f>IF(F66="","",F66*G66)</f>
        <v/>
      </c>
      <c r="J66" s="35"/>
      <c r="K66" s="1243" t="str">
        <f>IF('Part V-Revenues &amp; Expenses'!$N$152 =0,"",'Part V-Revenues &amp; Expenses'!$N$152)</f>
        <v/>
      </c>
      <c r="L66" s="661">
        <f>G66*(1+'DCA Underwriting Assumptions'!$Q$12)</f>
        <v>297689.04000000004</v>
      </c>
      <c r="M66" s="33" t="str">
        <f>CONCATENATE("x ", K66," units = ")</f>
        <v xml:space="preserve">x  units = </v>
      </c>
      <c r="N66" s="1244" t="str">
        <f>IF(K66="","",K66*L66)</f>
        <v/>
      </c>
      <c r="O66" s="441"/>
      <c r="P66" s="875">
        <f>'Part VIII Scoring Criteria OLD'!O113</f>
        <v>0</v>
      </c>
      <c r="Q66" s="875">
        <f>'Part VIII Scoring Criteria OLD'!P113</f>
        <v>0</v>
      </c>
      <c r="S66" s="4381"/>
      <c r="T66" s="4382"/>
      <c r="U66" s="4382"/>
      <c r="V66" s="438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335035.80000000005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368539.38000000006</v>
      </c>
      <c r="M67" s="33" t="str">
        <f>CONCATENATE("x ", K67," units = ")</f>
        <v xml:space="preserve">x  units = </v>
      </c>
      <c r="N67" s="1244" t="str">
        <f>IF(K67="","",K67*L67)</f>
        <v/>
      </c>
      <c r="O67" s="441"/>
      <c r="P67" s="4390" t="s">
        <v>2491</v>
      </c>
      <c r="Q67" s="4390"/>
      <c r="S67" s="4381"/>
      <c r="T67" s="4382"/>
      <c r="U67" s="4382"/>
      <c r="V67" s="438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90"/>
      <c r="Q68" s="4390"/>
      <c r="S68" s="4381"/>
      <c r="T68" s="4382"/>
      <c r="U68" s="4382"/>
      <c r="V68" s="438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0"/>
      <c r="Q69" s="4390"/>
      <c r="R69" s="328"/>
      <c r="S69" s="4381"/>
      <c r="T69" s="4382"/>
      <c r="U69" s="4382"/>
      <c r="V69" s="438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132596.4</v>
      </c>
      <c r="H70" s="33" t="str">
        <f>CONCATENATE("x ", F70," units = ")</f>
        <v xml:space="preserve">x  units = </v>
      </c>
      <c r="I70" s="1244" t="str">
        <f>IF(F70="","",F70*G70)</f>
        <v/>
      </c>
      <c r="J70" s="35"/>
      <c r="K70" s="1243" t="str">
        <f>IF('Part V-Revenues &amp; Expenses'!$K$154 =0,"",'Part V-Revenues &amp; Expenses'!$K$154)</f>
        <v/>
      </c>
      <c r="L70" s="661">
        <f>G70*(1+'DCA Underwriting Assumptions'!$Q$12)</f>
        <v>145856.04</v>
      </c>
      <c r="M70" s="33" t="str">
        <f>CONCATENATE("x ", K70," units = ")</f>
        <v xml:space="preserve">x  units = </v>
      </c>
      <c r="N70" s="1244" t="str">
        <f>IF(K70="","",K70*L70)</f>
        <v/>
      </c>
      <c r="O70" s="441"/>
      <c r="P70" s="4391"/>
      <c r="Q70" s="4391"/>
      <c r="R70" s="328"/>
      <c r="S70" s="4384"/>
      <c r="T70" s="4385"/>
      <c r="U70" s="4385"/>
      <c r="V70" s="438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177900.4</v>
      </c>
      <c r="H71" s="33" t="str">
        <f>CONCATENATE("x ", F71," units = ")</f>
        <v xml:space="preserve">x  units = </v>
      </c>
      <c r="I71" s="1244" t="str">
        <f>IF(F71="","",F71*G71)</f>
        <v/>
      </c>
      <c r="J71" s="35"/>
      <c r="K71" s="1243" t="str">
        <f>IF('Part V-Revenues &amp; Expenses'!$L$154 =0,"",'Part V-Revenues &amp; Expenses'!$L$154)</f>
        <v/>
      </c>
      <c r="L71" s="661">
        <f>G71*(1+'DCA Underwriting Assumptions'!$Q$12)</f>
        <v>195690.44</v>
      </c>
      <c r="M71" s="33" t="str">
        <f>CONCATENATE("x ", K71," units = ")</f>
        <v xml:space="preserve">x  units = </v>
      </c>
      <c r="N71" s="1244" t="str">
        <f>IF(K71="","",K71*L71)</f>
        <v/>
      </c>
      <c r="O71" s="441"/>
      <c r="P71" s="4409">
        <f>IF(P58&gt;1,P58, IF(OR('Part VIII Scoring Criteria OLD'!$O$113='Part VIII Scoring Criteria OLD'!$M$113,AND('Part III-A-Uses of Funds'!$T$179="Yes",'Part VIII Scoring Criteria OLD'!$O$378&gt;0)),H77+M77,H77))</f>
        <v>12139063.65</v>
      </c>
      <c r="Q71" s="4410"/>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228729.24999999997</v>
      </c>
      <c r="H72" s="33" t="str">
        <f>CONCATENATE("x ", F72," units = ")</f>
        <v xml:space="preserve">x  units = </v>
      </c>
      <c r="I72" s="1244" t="str">
        <f>IF(F72="","",F72*G72)</f>
        <v/>
      </c>
      <c r="J72" s="35"/>
      <c r="K72" s="1243" t="str">
        <f>IF('Part V-Revenues &amp; Expenses'!$M$154 =0,"",'Part V-Revenues &amp; Expenses'!$M$154)</f>
        <v/>
      </c>
      <c r="L72" s="661">
        <f>G72*(1+'DCA Underwriting Assumptions'!$Q$12)</f>
        <v>251602.17499999999</v>
      </c>
      <c r="M72" s="33" t="str">
        <f>CONCATENATE("x ", K72," units = ")</f>
        <v xml:space="preserve">x  units = </v>
      </c>
      <c r="N72" s="1244" t="str">
        <f>IF(K72="","",K72*L72)</f>
        <v/>
      </c>
      <c r="P72" s="4411"/>
      <c r="Q72" s="4412"/>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291712.30000000005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320883.53000000009</v>
      </c>
      <c r="M73" s="33" t="str">
        <f>CONCATENATE("x ", K73," units = ")</f>
        <v xml:space="preserve">x  units = </v>
      </c>
      <c r="N73" s="1244" t="str">
        <f>IF(K73="","",K73*L73)</f>
        <v/>
      </c>
      <c r="P73" s="4387" t="s">
        <v>3448</v>
      </c>
      <c r="Q73" s="438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364640.10000000003</v>
      </c>
      <c r="H74" s="33" t="str">
        <f>CONCATENATE("x ", F74," units = ")</f>
        <v xml:space="preserve">x  units = </v>
      </c>
      <c r="I74" s="1244" t="str">
        <f>IF(F74="","",F74*G74)</f>
        <v/>
      </c>
      <c r="J74" s="35"/>
      <c r="K74" s="1243" t="str">
        <f>IF('Part V-Revenues &amp; Expenses'!$O$154 =0,"",'Part V-Revenues &amp; Expenses'!$O$154)</f>
        <v/>
      </c>
      <c r="L74" s="661">
        <f>G74*(1+'DCA Underwriting Assumptions'!$Q$12)</f>
        <v>401104.11000000004</v>
      </c>
      <c r="M74" s="33" t="str">
        <f>CONCATENATE("x ", K74," units = ")</f>
        <v xml:space="preserve">x  units = </v>
      </c>
      <c r="N74" s="1244" t="str">
        <f>IF(K74="","",K74*L74)</f>
        <v/>
      </c>
      <c r="O74" s="441"/>
      <c r="P74" s="4388"/>
      <c r="Q74" s="438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8"/>
      <c r="Q75" s="438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8"/>
      <c r="Q76" s="438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54</v>
      </c>
      <c r="G77" s="258"/>
      <c r="H77" s="4397">
        <f>I54+I61+I68+I75</f>
        <v>12139063.65</v>
      </c>
      <c r="I77" s="4397"/>
      <c r="J77" s="4397"/>
      <c r="K77" s="486">
        <f>K54+K61+K68+K75</f>
        <v>0</v>
      </c>
      <c r="L77" s="487"/>
      <c r="M77" s="4397">
        <f>N54+N61+N68+N75</f>
        <v>0</v>
      </c>
      <c r="N77" s="4397"/>
      <c r="O77" s="4397"/>
      <c r="P77" s="4388"/>
      <c r="Q77" s="438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89"/>
      <c r="Q78" s="4389"/>
    </row>
    <row r="79" spans="1:295" s="28" customFormat="1" ht="10.5" customHeight="1">
      <c r="A79" s="4208"/>
      <c r="B79" s="4209"/>
      <c r="C79" s="4209"/>
      <c r="D79" s="4209"/>
      <c r="E79" s="4209"/>
      <c r="F79" s="4209"/>
      <c r="G79" s="4209"/>
      <c r="H79" s="4209"/>
      <c r="I79" s="4209"/>
      <c r="J79" s="4210"/>
      <c r="K79" s="4205"/>
      <c r="L79" s="4206"/>
      <c r="M79" s="4206"/>
      <c r="N79" s="4206"/>
      <c r="O79" s="4206"/>
      <c r="P79" s="4206"/>
      <c r="Q79" s="420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The Bridges at Lincom, Hartwell, Hart County</v>
      </c>
      <c r="B1" s="3324"/>
      <c r="C1" s="3324"/>
      <c r="D1" s="3324"/>
      <c r="E1" s="3324"/>
      <c r="F1" s="3324"/>
      <c r="G1" s="3324"/>
      <c r="H1" s="3324"/>
      <c r="I1" s="3324"/>
      <c r="J1" s="3324"/>
      <c r="K1" s="3324"/>
      <c r="L1" s="3324"/>
      <c r="M1" s="3324"/>
      <c r="N1" s="3324"/>
      <c r="O1" s="3324"/>
      <c r="P1" s="3325"/>
      <c r="Q1" s="4429" t="s">
        <v>6644</v>
      </c>
      <c r="R1" s="4429"/>
      <c r="S1" s="4429"/>
      <c r="T1" s="4429"/>
      <c r="U1" s="4429"/>
      <c r="V1" s="4429"/>
      <c r="W1" s="1969"/>
      <c r="X1" s="1927"/>
    </row>
    <row r="2" spans="1:25" s="28" customFormat="1" ht="4.3499999999999996" customHeight="1">
      <c r="A2" s="29"/>
      <c r="B2" s="29"/>
      <c r="C2" s="30"/>
      <c r="D2" s="29"/>
      <c r="E2" s="29"/>
      <c r="F2" s="29"/>
      <c r="G2" s="29"/>
      <c r="H2" s="29"/>
      <c r="I2" s="29"/>
      <c r="J2" s="29"/>
      <c r="K2" s="29"/>
      <c r="L2" s="29"/>
      <c r="M2" s="31"/>
      <c r="N2" s="53"/>
      <c r="O2" s="119"/>
      <c r="P2" s="119"/>
      <c r="Q2" s="4429"/>
      <c r="R2" s="4429"/>
      <c r="S2" s="4429"/>
      <c r="T2" s="4429"/>
      <c r="U2" s="4429"/>
      <c r="V2" s="4429"/>
      <c r="W2" s="1969"/>
      <c r="X2" s="1927"/>
    </row>
    <row r="3" spans="1:25" s="35" customFormat="1" ht="12" customHeight="1">
      <c r="A3" s="4480" t="s">
        <v>6658</v>
      </c>
      <c r="B3" s="4480"/>
      <c r="C3" s="4480"/>
      <c r="D3" s="4480"/>
      <c r="E3" s="4480"/>
      <c r="F3" s="4480"/>
      <c r="G3" s="4480"/>
      <c r="H3" s="4480"/>
      <c r="I3" s="4480"/>
      <c r="J3" s="4480"/>
      <c r="K3" s="4480"/>
      <c r="L3" s="4480"/>
      <c r="M3" s="670"/>
      <c r="N3" s="54"/>
      <c r="O3" s="63" t="s">
        <v>2050</v>
      </c>
      <c r="P3" s="914" t="s">
        <v>245</v>
      </c>
      <c r="Q3" s="4429"/>
      <c r="R3" s="4429"/>
      <c r="S3" s="4429"/>
      <c r="T3" s="4429"/>
      <c r="U3" s="4429"/>
      <c r="V3" s="4429"/>
      <c r="W3" s="1969"/>
      <c r="X3" s="1927"/>
    </row>
    <row r="4" spans="1:25" s="37" customFormat="1" ht="12" customHeight="1">
      <c r="A4" s="4480"/>
      <c r="B4" s="4480"/>
      <c r="C4" s="4480"/>
      <c r="D4" s="4480"/>
      <c r="E4" s="4480"/>
      <c r="F4" s="4480"/>
      <c r="G4" s="4480"/>
      <c r="H4" s="4480"/>
      <c r="I4" s="4480"/>
      <c r="J4" s="4480"/>
      <c r="K4" s="4480"/>
      <c r="L4" s="4480"/>
      <c r="M4" s="670"/>
      <c r="N4" s="64"/>
      <c r="O4" s="149" t="s">
        <v>2051</v>
      </c>
      <c r="P4" s="149" t="s">
        <v>2051</v>
      </c>
      <c r="Q4" s="4429"/>
      <c r="R4" s="4429"/>
      <c r="S4" s="4429"/>
      <c r="T4" s="4429"/>
      <c r="U4" s="4429"/>
      <c r="V4" s="4429"/>
    </row>
    <row r="5" spans="1:25" s="37" customFormat="1" ht="3" customHeight="1" thickBot="1">
      <c r="A5" s="35"/>
      <c r="B5" s="35"/>
      <c r="C5" s="35"/>
      <c r="D5" s="35"/>
      <c r="E5" s="35"/>
      <c r="F5" s="35"/>
      <c r="G5" s="35"/>
      <c r="H5" s="35"/>
      <c r="I5" s="35"/>
      <c r="J5" s="35"/>
      <c r="K5" s="35"/>
      <c r="M5" s="1633"/>
      <c r="N5" s="4"/>
      <c r="O5" s="119"/>
      <c r="P5" s="24"/>
      <c r="Q5" s="4429"/>
      <c r="R5" s="4429"/>
      <c r="S5" s="4429"/>
      <c r="T5" s="4429"/>
      <c r="U5" s="4429"/>
      <c r="V5" s="4429"/>
    </row>
    <row r="6" spans="1:25" s="37" customFormat="1" ht="13.5" customHeight="1" thickTop="1" thickBot="1">
      <c r="A6" s="35"/>
      <c r="B6" s="4575" t="str">
        <f>'Part I-Project Identification'!$A$6</f>
        <v>April 2023</v>
      </c>
      <c r="C6" s="4575"/>
      <c r="D6" s="4575"/>
      <c r="E6" s="4575"/>
      <c r="F6" s="4575"/>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2" t="s">
        <v>6495</v>
      </c>
      <c r="G12" s="4572"/>
      <c r="H12" s="4572"/>
      <c r="I12" s="4572"/>
      <c r="J12" s="4572"/>
      <c r="K12" s="4572"/>
      <c r="L12" s="4572"/>
      <c r="M12" s="4572"/>
      <c r="N12" s="4572"/>
      <c r="O12" s="1201" t="s">
        <v>3809</v>
      </c>
      <c r="P12" s="1202">
        <f>SUM(P13:P31)</f>
        <v>0</v>
      </c>
      <c r="Q12" s="4428" t="s">
        <v>6544</v>
      </c>
      <c r="R12" s="4428"/>
      <c r="S12" s="4428"/>
      <c r="T12" s="4428"/>
      <c r="U12" s="4428"/>
      <c r="V12" s="1179"/>
    </row>
    <row r="13" spans="1:25" s="35" customFormat="1" ht="10.5" customHeight="1">
      <c r="A13" s="924" t="s">
        <v>1668</v>
      </c>
      <c r="B13" s="921" t="s">
        <v>3393</v>
      </c>
      <c r="C13" s="922"/>
      <c r="D13" s="923"/>
      <c r="E13" s="1195">
        <f>$O$103</f>
        <v>0</v>
      </c>
      <c r="F13" s="4573">
        <f>$A$109</f>
        <v>0</v>
      </c>
      <c r="G13" s="4574"/>
      <c r="H13" s="4574"/>
      <c r="I13" s="4574"/>
      <c r="J13" s="4574"/>
      <c r="K13" s="4574"/>
      <c r="L13" s="4574"/>
      <c r="M13" s="4574"/>
      <c r="N13" s="4574"/>
      <c r="O13" s="4574"/>
      <c r="P13" s="1208"/>
      <c r="Q13" s="4428"/>
      <c r="R13" s="4428"/>
      <c r="S13" s="4428"/>
      <c r="T13" s="4428"/>
      <c r="U13" s="4428"/>
      <c r="V13" s="1179"/>
    </row>
    <row r="14" spans="1:25" s="35" customFormat="1" ht="10.5" customHeight="1">
      <c r="A14" s="924" t="s">
        <v>496</v>
      </c>
      <c r="B14" s="751" t="s">
        <v>4037</v>
      </c>
      <c r="C14" s="866"/>
      <c r="D14" s="925"/>
      <c r="E14" s="1771">
        <f>$O$113</f>
        <v>0</v>
      </c>
      <c r="F14" s="4448">
        <f>$A$147</f>
        <v>0</v>
      </c>
      <c r="G14" s="4449"/>
      <c r="H14" s="4449"/>
      <c r="I14" s="4449"/>
      <c r="J14" s="4449"/>
      <c r="K14" s="4449"/>
      <c r="L14" s="4449"/>
      <c r="M14" s="4449"/>
      <c r="N14" s="4449"/>
      <c r="O14" s="4450"/>
      <c r="P14" s="1209"/>
      <c r="Q14" s="4428"/>
      <c r="R14" s="4428"/>
      <c r="S14" s="4428"/>
      <c r="T14" s="4428"/>
      <c r="U14" s="4428"/>
    </row>
    <row r="15" spans="1:25" s="35" customFormat="1" ht="10.5" customHeight="1">
      <c r="A15" s="924" t="s">
        <v>720</v>
      </c>
      <c r="B15" s="751" t="s">
        <v>3338</v>
      </c>
      <c r="C15" s="866"/>
      <c r="D15" s="925"/>
      <c r="E15" s="1771">
        <f>$O$152</f>
        <v>0</v>
      </c>
      <c r="F15" s="4448">
        <f>$A$165</f>
        <v>0</v>
      </c>
      <c r="G15" s="4449"/>
      <c r="H15" s="4449"/>
      <c r="I15" s="4449"/>
      <c r="J15" s="4449"/>
      <c r="K15" s="4449"/>
      <c r="L15" s="4449"/>
      <c r="M15" s="4449"/>
      <c r="N15" s="4449"/>
      <c r="O15" s="4450"/>
      <c r="P15" s="1209"/>
      <c r="Q15" s="1975"/>
      <c r="R15" s="1975"/>
      <c r="S15" s="1975"/>
      <c r="T15" s="1975"/>
      <c r="U15" s="1975"/>
    </row>
    <row r="16" spans="1:25" s="35" customFormat="1" ht="10.5" customHeight="1">
      <c r="A16" s="1612" t="s">
        <v>280</v>
      </c>
      <c r="B16" s="751" t="s">
        <v>3394</v>
      </c>
      <c r="C16" s="866"/>
      <c r="D16" s="925"/>
      <c r="E16" s="1197">
        <f>$O$169</f>
        <v>0</v>
      </c>
      <c r="F16" s="4448">
        <f>$A$186</f>
        <v>0</v>
      </c>
      <c r="G16" s="4449"/>
      <c r="H16" s="4449"/>
      <c r="I16" s="4449"/>
      <c r="J16" s="4449"/>
      <c r="K16" s="4449"/>
      <c r="L16" s="4449"/>
      <c r="M16" s="4449"/>
      <c r="N16" s="4449"/>
      <c r="O16" s="4450"/>
      <c r="P16" s="1209"/>
      <c r="Q16" s="1975"/>
      <c r="R16" s="1975"/>
      <c r="S16" s="1975"/>
      <c r="T16" s="1975"/>
      <c r="U16" s="1975"/>
    </row>
    <row r="17" spans="1:35" s="35" customFormat="1" ht="10.5" customHeight="1">
      <c r="A17" s="924" t="s">
        <v>401</v>
      </c>
      <c r="B17" s="931" t="s">
        <v>3395</v>
      </c>
      <c r="C17" s="932"/>
      <c r="D17" s="933"/>
      <c r="E17" s="1198" t="s">
        <v>1610</v>
      </c>
      <c r="F17" s="4512">
        <f>$A$201</f>
        <v>0</v>
      </c>
      <c r="G17" s="4513"/>
      <c r="H17" s="4513"/>
      <c r="I17" s="4513"/>
      <c r="J17" s="4513"/>
      <c r="K17" s="4513"/>
      <c r="L17" s="4513"/>
      <c r="M17" s="4513"/>
      <c r="N17" s="4513"/>
      <c r="O17" s="4514"/>
      <c r="P17" s="1209"/>
      <c r="Q17" s="1975"/>
      <c r="R17" s="1975"/>
      <c r="S17" s="1975"/>
      <c r="T17" s="1975"/>
      <c r="U17" s="1975"/>
    </row>
    <row r="18" spans="1:35" s="35" customFormat="1" ht="10.5" customHeight="1">
      <c r="A18" s="924" t="s">
        <v>342</v>
      </c>
      <c r="B18" s="751" t="s">
        <v>4038</v>
      </c>
      <c r="C18" s="866"/>
      <c r="D18" s="925"/>
      <c r="E18" s="1196">
        <f>$O$205</f>
        <v>0</v>
      </c>
      <c r="F18" s="4448">
        <f>$A$220</f>
        <v>0</v>
      </c>
      <c r="G18" s="4449"/>
      <c r="H18" s="4449"/>
      <c r="I18" s="4449"/>
      <c r="J18" s="4449"/>
      <c r="K18" s="4449"/>
      <c r="L18" s="4449"/>
      <c r="M18" s="4449"/>
      <c r="N18" s="4449"/>
      <c r="O18" s="4450"/>
      <c r="P18" s="1209"/>
      <c r="Q18" s="4507" t="str">
        <f>IF(OR($A$109="",$A$147="",$A$165="",$A$186="",$A$201="",$A$220="",$A$238="",$A$248="",$A$257="",$A$281="",$A$306="",$A$314="",$A$338="",$A$374="",$A$393="",$A$414="",$A$420="",$A$430="",$A$438=""),"Some Applicant Scoring Justification boxes are empty! Check to see if points claimed.","")</f>
        <v>Some Applicant Scoring Justification boxes are empty! Check to see if points claimed.</v>
      </c>
      <c r="R18" s="4508"/>
      <c r="S18" s="4508"/>
    </row>
    <row r="19" spans="1:35" s="35" customFormat="1" ht="10.5" customHeight="1">
      <c r="A19" s="924" t="s">
        <v>4040</v>
      </c>
      <c r="B19" s="751" t="s">
        <v>3261</v>
      </c>
      <c r="C19" s="866"/>
      <c r="D19" s="925"/>
      <c r="E19" s="1196">
        <f>$O$233</f>
        <v>0</v>
      </c>
      <c r="F19" s="4448">
        <f>$A$238</f>
        <v>0</v>
      </c>
      <c r="G19" s="4449"/>
      <c r="H19" s="4449"/>
      <c r="I19" s="4449"/>
      <c r="J19" s="4449"/>
      <c r="K19" s="4449"/>
      <c r="L19" s="4449"/>
      <c r="M19" s="4449"/>
      <c r="N19" s="4449"/>
      <c r="O19" s="4450"/>
      <c r="P19" s="1209"/>
      <c r="Q19" s="4507"/>
      <c r="R19" s="4508"/>
      <c r="S19" s="4508"/>
    </row>
    <row r="20" spans="1:35" s="35" customFormat="1" ht="10.5" customHeight="1">
      <c r="A20" s="924" t="s">
        <v>4052</v>
      </c>
      <c r="B20" s="751" t="s">
        <v>4041</v>
      </c>
      <c r="C20" s="866"/>
      <c r="D20" s="925"/>
      <c r="E20" s="1198">
        <f>$O$242</f>
        <v>0</v>
      </c>
      <c r="F20" s="4448">
        <f>$A$248</f>
        <v>0</v>
      </c>
      <c r="G20" s="4449"/>
      <c r="H20" s="4449"/>
      <c r="I20" s="4449"/>
      <c r="J20" s="4449"/>
      <c r="K20" s="4449"/>
      <c r="L20" s="4449"/>
      <c r="M20" s="4449"/>
      <c r="N20" s="4449"/>
      <c r="O20" s="4450"/>
      <c r="P20" s="1209"/>
      <c r="Q20" s="4507"/>
      <c r="R20" s="4508"/>
      <c r="S20" s="4508"/>
    </row>
    <row r="21" spans="1:35" s="35" customFormat="1" ht="10.5" customHeight="1">
      <c r="A21" s="930" t="s">
        <v>6242</v>
      </c>
      <c r="B21" s="931" t="s">
        <v>4042</v>
      </c>
      <c r="C21" s="932"/>
      <c r="D21" s="933"/>
      <c r="E21" s="1199">
        <f>$O$252</f>
        <v>0</v>
      </c>
      <c r="F21" s="4512">
        <f>$A$257</f>
        <v>0</v>
      </c>
      <c r="G21" s="4513"/>
      <c r="H21" s="4513"/>
      <c r="I21" s="4513"/>
      <c r="J21" s="4513"/>
      <c r="K21" s="4513"/>
      <c r="L21" s="4513"/>
      <c r="M21" s="4513"/>
      <c r="N21" s="4513"/>
      <c r="O21" s="4514"/>
      <c r="P21" s="1209"/>
      <c r="Q21" s="4507"/>
      <c r="R21" s="4508"/>
      <c r="S21" s="4508"/>
    </row>
    <row r="22" spans="1:35" s="35" customFormat="1" ht="10.5" customHeight="1">
      <c r="A22" s="924" t="s">
        <v>6636</v>
      </c>
      <c r="B22" s="751" t="s">
        <v>6548</v>
      </c>
      <c r="C22" s="866"/>
      <c r="D22" s="925"/>
      <c r="E22" s="1196">
        <f>$O$274</f>
        <v>0</v>
      </c>
      <c r="F22" s="4448">
        <f>$A$281</f>
        <v>0</v>
      </c>
      <c r="G22" s="4449"/>
      <c r="H22" s="4449"/>
      <c r="I22" s="4449"/>
      <c r="J22" s="4449"/>
      <c r="K22" s="4449"/>
      <c r="L22" s="4449"/>
      <c r="M22" s="4449"/>
      <c r="N22" s="4449"/>
      <c r="O22" s="4450"/>
      <c r="P22" s="1209"/>
      <c r="Q22" s="4507"/>
      <c r="R22" s="4508"/>
      <c r="S22" s="4508"/>
    </row>
    <row r="23" spans="1:35" s="35" customFormat="1" ht="10.5" customHeight="1">
      <c r="A23" s="924" t="s">
        <v>6638</v>
      </c>
      <c r="B23" s="751" t="s">
        <v>6637</v>
      </c>
      <c r="C23" s="866"/>
      <c r="D23" s="925"/>
      <c r="E23" s="1196">
        <f>$O$285</f>
        <v>0</v>
      </c>
      <c r="F23" s="4448">
        <f>$A$306</f>
        <v>0</v>
      </c>
      <c r="G23" s="4449"/>
      <c r="H23" s="4449"/>
      <c r="I23" s="4449"/>
      <c r="J23" s="4449"/>
      <c r="K23" s="4449"/>
      <c r="L23" s="4449"/>
      <c r="M23" s="4449"/>
      <c r="N23" s="4449"/>
      <c r="O23" s="4450"/>
      <c r="P23" s="1209"/>
      <c r="Q23" s="4507"/>
      <c r="R23" s="4508"/>
      <c r="S23" s="4508"/>
    </row>
    <row r="24" spans="1:35" s="35" customFormat="1" ht="10.5" customHeight="1">
      <c r="A24" s="1612" t="s">
        <v>3368</v>
      </c>
      <c r="B24" s="1887" t="s">
        <v>6554</v>
      </c>
      <c r="C24" s="1888"/>
      <c r="D24" s="1889"/>
      <c r="E24" s="1197">
        <f>$O$310</f>
        <v>0</v>
      </c>
      <c r="F24" s="4501">
        <f>$A$314</f>
        <v>0</v>
      </c>
      <c r="G24" s="4502"/>
      <c r="H24" s="4502"/>
      <c r="I24" s="4502"/>
      <c r="J24" s="4502"/>
      <c r="K24" s="4502"/>
      <c r="L24" s="4502"/>
      <c r="M24" s="4502"/>
      <c r="N24" s="4502"/>
      <c r="O24" s="4503"/>
      <c r="P24" s="1209"/>
      <c r="Q24" s="4507"/>
      <c r="R24" s="4508"/>
      <c r="S24" s="4508"/>
    </row>
    <row r="25" spans="1:35" s="35" customFormat="1" ht="10.5" customHeight="1">
      <c r="A25" s="924" t="s">
        <v>3372</v>
      </c>
      <c r="B25" s="751" t="s">
        <v>3396</v>
      </c>
      <c r="C25" s="866"/>
      <c r="D25" s="925"/>
      <c r="E25" s="1196">
        <f>$O$334</f>
        <v>0</v>
      </c>
      <c r="F25" s="4448">
        <f>$A$338</f>
        <v>0</v>
      </c>
      <c r="G25" s="4449"/>
      <c r="H25" s="4449"/>
      <c r="I25" s="4449"/>
      <c r="J25" s="4449"/>
      <c r="K25" s="4449"/>
      <c r="L25" s="4449"/>
      <c r="M25" s="4449"/>
      <c r="N25" s="4449"/>
      <c r="O25" s="4450"/>
      <c r="P25" s="1209"/>
      <c r="Q25" s="4507"/>
      <c r="R25" s="4508"/>
      <c r="S25" s="4508"/>
    </row>
    <row r="26" spans="1:35" s="35" customFormat="1" ht="10.5" customHeight="1">
      <c r="A26" s="924" t="s">
        <v>3375</v>
      </c>
      <c r="B26" s="751" t="s">
        <v>3397</v>
      </c>
      <c r="C26" s="866"/>
      <c r="D26" s="925"/>
      <c r="E26" s="1196">
        <f>$O$342</f>
        <v>0</v>
      </c>
      <c r="F26" s="4448">
        <f>$A$374</f>
        <v>0</v>
      </c>
      <c r="G26" s="4449"/>
      <c r="H26" s="4449"/>
      <c r="I26" s="4449"/>
      <c r="J26" s="4449"/>
      <c r="K26" s="4449"/>
      <c r="L26" s="4449"/>
      <c r="M26" s="4449"/>
      <c r="N26" s="4449"/>
      <c r="O26" s="4450"/>
      <c r="P26" s="1209"/>
      <c r="Q26" s="4507"/>
      <c r="R26" s="4508"/>
      <c r="S26" s="4508"/>
    </row>
    <row r="27" spans="1:35" s="35" customFormat="1" ht="10.5" customHeight="1">
      <c r="A27" s="924" t="s">
        <v>3376</v>
      </c>
      <c r="B27" s="751" t="s">
        <v>3398</v>
      </c>
      <c r="C27" s="866"/>
      <c r="D27" s="925"/>
      <c r="E27" s="1198">
        <f>$O$378</f>
        <v>0</v>
      </c>
      <c r="F27" s="4448">
        <f>$A$393</f>
        <v>0</v>
      </c>
      <c r="G27" s="4449"/>
      <c r="H27" s="4449"/>
      <c r="I27" s="4449"/>
      <c r="J27" s="4449"/>
      <c r="K27" s="4449"/>
      <c r="L27" s="4449"/>
      <c r="M27" s="4449"/>
      <c r="N27" s="4449"/>
      <c r="O27" s="4450"/>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63">
        <f>$A$414</f>
        <v>0</v>
      </c>
      <c r="G28" s="4464"/>
      <c r="H28" s="4464"/>
      <c r="I28" s="4464"/>
      <c r="J28" s="4464"/>
      <c r="K28" s="4464"/>
      <c r="L28" s="4464"/>
      <c r="M28" s="4464"/>
      <c r="N28" s="4464"/>
      <c r="O28" s="4465"/>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48">
        <f>$A$420</f>
        <v>0</v>
      </c>
      <c r="G29" s="4449"/>
      <c r="H29" s="4449"/>
      <c r="I29" s="4449"/>
      <c r="J29" s="4449"/>
      <c r="K29" s="4449"/>
      <c r="L29" s="4449"/>
      <c r="M29" s="4449"/>
      <c r="N29" s="4449"/>
      <c r="O29" s="4450"/>
      <c r="P29" s="1209"/>
      <c r="Q29" s="1964"/>
      <c r="R29" s="1628"/>
      <c r="S29" s="1628"/>
    </row>
    <row r="30" spans="1:35" s="35" customFormat="1" ht="10.5" customHeight="1">
      <c r="A30" s="924" t="s">
        <v>3802</v>
      </c>
      <c r="B30" s="751" t="s">
        <v>6552</v>
      </c>
      <c r="C30" s="866"/>
      <c r="D30" s="925"/>
      <c r="E30" s="1196">
        <f>$O$428</f>
        <v>0</v>
      </c>
      <c r="F30" s="4448">
        <f>$A$430</f>
        <v>0</v>
      </c>
      <c r="G30" s="4449"/>
      <c r="H30" s="4449"/>
      <c r="I30" s="4449"/>
      <c r="J30" s="4449"/>
      <c r="K30" s="4449"/>
      <c r="L30" s="4449"/>
      <c r="M30" s="4449"/>
      <c r="N30" s="4449"/>
      <c r="O30" s="4450"/>
      <c r="P30" s="1209"/>
      <c r="Q30" s="1964"/>
      <c r="R30" s="1628"/>
      <c r="S30" s="1628"/>
      <c r="AA30" s="3591" t="s">
        <v>6562</v>
      </c>
      <c r="AB30" s="3591"/>
      <c r="AC30" s="3591"/>
      <c r="AD30" s="3591"/>
      <c r="AE30" s="3591"/>
      <c r="AF30" s="3591"/>
    </row>
    <row r="31" spans="1:35" s="35" customFormat="1" ht="10.5" customHeight="1">
      <c r="A31" s="926" t="s">
        <v>6555</v>
      </c>
      <c r="B31" s="927" t="s">
        <v>6553</v>
      </c>
      <c r="C31" s="928"/>
      <c r="D31" s="929"/>
      <c r="E31" s="1624">
        <f>$O$434</f>
        <v>0</v>
      </c>
      <c r="F31" s="4463">
        <f>$A$438</f>
        <v>0</v>
      </c>
      <c r="G31" s="4464"/>
      <c r="H31" s="4464"/>
      <c r="I31" s="4464"/>
      <c r="J31" s="4464"/>
      <c r="K31" s="4464"/>
      <c r="L31" s="4464"/>
      <c r="M31" s="4464"/>
      <c r="N31" s="4464"/>
      <c r="O31" s="4465"/>
      <c r="P31" s="1210"/>
      <c r="Q31" s="1964"/>
      <c r="R31" s="1628"/>
      <c r="S31" s="1628"/>
      <c r="X31" s="3591" t="s">
        <v>6563</v>
      </c>
      <c r="Y31" s="3591"/>
      <c r="Z31" s="3591"/>
      <c r="AA31" s="3591"/>
      <c r="AB31" s="3591"/>
      <c r="AC31" s="3591"/>
      <c r="AD31" s="3591" t="s">
        <v>6564</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15" t="s">
        <v>6124</v>
      </c>
      <c r="H33" s="4515"/>
      <c r="I33" s="4509" t="s">
        <v>6505</v>
      </c>
      <c r="J33" s="4510"/>
      <c r="K33" s="4510"/>
      <c r="L33" s="4511"/>
      <c r="M33" s="4576" t="s">
        <v>6137</v>
      </c>
      <c r="N33" s="4576"/>
      <c r="O33" s="4576"/>
      <c r="P33" s="4576"/>
      <c r="Q33" s="436"/>
      <c r="R33" s="436"/>
      <c r="S33" s="83" t="s">
        <v>6136</v>
      </c>
      <c r="T33" s="436"/>
      <c r="U33" s="436"/>
      <c r="V33" s="436"/>
      <c r="X33" s="4495" t="s">
        <v>6124</v>
      </c>
      <c r="Y33" s="4497"/>
      <c r="Z33" s="4495" t="s">
        <v>6505</v>
      </c>
      <c r="AA33" s="4496"/>
      <c r="AB33" s="4496"/>
      <c r="AC33" s="4497"/>
      <c r="AD33" s="4504" t="s">
        <v>6124</v>
      </c>
      <c r="AE33" s="4505"/>
      <c r="AF33" s="4506" t="s">
        <v>6505</v>
      </c>
      <c r="AG33" s="4504"/>
      <c r="AH33" s="4504"/>
      <c r="AI33" s="4505"/>
    </row>
    <row r="34" spans="1:46" s="115" customFormat="1" ht="11.25" customHeight="1">
      <c r="A34" s="44"/>
      <c r="B34" s="29"/>
      <c r="C34" s="44"/>
      <c r="D34" s="44"/>
      <c r="E34" s="44"/>
      <c r="F34" s="44"/>
      <c r="G34" s="1723">
        <v>0.09</v>
      </c>
      <c r="H34" s="1723">
        <v>0.04</v>
      </c>
      <c r="I34" s="1723">
        <v>0.04</v>
      </c>
      <c r="J34" s="1723" t="s">
        <v>6545</v>
      </c>
      <c r="K34" s="1723" t="s">
        <v>6546</v>
      </c>
      <c r="L34" s="1723" t="s">
        <v>6547</v>
      </c>
      <c r="M34" s="4498" t="str">
        <f>'Part I-Project Identification'!F12</f>
        <v>9% Credit Competitive Round only</v>
      </c>
      <c r="N34" s="4499"/>
      <c r="O34" s="4499"/>
      <c r="P34" s="4500"/>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77" t="s">
        <v>6561</v>
      </c>
      <c r="N40" s="4578"/>
      <c r="O40" s="4578"/>
      <c r="P40" s="4578"/>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77"/>
      <c r="N41" s="4578"/>
      <c r="O41" s="4578"/>
      <c r="P41" s="4578"/>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54</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11" t="s">
        <v>6736</v>
      </c>
      <c r="N52" s="4712"/>
      <c r="O52" s="4712"/>
      <c r="P52" s="4712"/>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11"/>
      <c r="N53" s="4712"/>
      <c r="O53" s="4712"/>
      <c r="P53" s="4712"/>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3"/>
      <c r="N54" s="4714"/>
      <c r="O54" s="4714"/>
      <c r="P54" s="4714"/>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79" t="s">
        <v>6711</v>
      </c>
      <c r="N55" s="4580"/>
      <c r="O55" s="4580"/>
      <c r="P55" s="4581"/>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82"/>
      <c r="N56" s="4583"/>
      <c r="O56" s="4583"/>
      <c r="P56" s="4584"/>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77" t="s">
        <v>6139</v>
      </c>
      <c r="N58" s="4578"/>
      <c r="O58" s="4578"/>
      <c r="P58" s="4578"/>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09"/>
      <c r="N59" s="4710"/>
      <c r="O59" s="4710"/>
      <c r="P59" s="4710"/>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40" t="s">
        <v>6712</v>
      </c>
      <c r="N60" s="4441"/>
      <c r="O60" s="4441"/>
      <c r="P60" s="4442"/>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3"/>
      <c r="N61" s="4444"/>
      <c r="O61" s="4444"/>
      <c r="P61" s="4445"/>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92" t="s">
        <v>3894</v>
      </c>
      <c r="D70" s="4493"/>
      <c r="E70" s="4493"/>
      <c r="F70" s="4493"/>
      <c r="G70" s="4493"/>
      <c r="H70" s="4493"/>
      <c r="I70" s="4493"/>
      <c r="J70" s="4493"/>
      <c r="K70" s="4493"/>
      <c r="L70" s="4493"/>
      <c r="M70" s="4493"/>
      <c r="N70" s="4493"/>
      <c r="O70" s="4493"/>
      <c r="P70" s="4494"/>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6" t="s">
        <v>6072</v>
      </c>
      <c r="B74" s="4406"/>
      <c r="C74" s="4406"/>
      <c r="D74" s="4406"/>
      <c r="E74" s="4406"/>
      <c r="F74" s="1176" t="s">
        <v>3390</v>
      </c>
      <c r="G74" s="4564" t="s">
        <v>6074</v>
      </c>
      <c r="H74" s="4564"/>
      <c r="I74" s="4564"/>
      <c r="J74" s="1176" t="s">
        <v>3390</v>
      </c>
      <c r="K74" s="4568" t="s">
        <v>6073</v>
      </c>
      <c r="L74" s="4568"/>
      <c r="M74" s="4568"/>
      <c r="N74" s="4568"/>
      <c r="O74" s="4562" t="s">
        <v>3390</v>
      </c>
      <c r="P74" s="4563"/>
      <c r="R74" s="356"/>
      <c r="S74" s="125"/>
    </row>
    <row r="75" spans="1:20" s="35" customFormat="1" ht="12.75" customHeight="1">
      <c r="A75" s="4561"/>
      <c r="B75" s="4561"/>
      <c r="C75" s="4561"/>
      <c r="D75" s="4561"/>
      <c r="E75" s="4561"/>
      <c r="F75" s="57">
        <f>SUM(F76:F87)</f>
        <v>0</v>
      </c>
      <c r="G75" s="4565"/>
      <c r="H75" s="4566"/>
      <c r="I75" s="4567"/>
      <c r="J75" s="57">
        <f>SUM(J76:J87)</f>
        <v>0</v>
      </c>
      <c r="K75" s="4569"/>
      <c r="L75" s="4570"/>
      <c r="M75" s="4570"/>
      <c r="N75" s="4571"/>
      <c r="O75" s="4552">
        <f>SUM(O76:O87)</f>
        <v>0</v>
      </c>
      <c r="P75" s="4553"/>
      <c r="Q75" s="356"/>
      <c r="R75" s="125"/>
    </row>
    <row r="76" spans="1:20" s="35" customFormat="1" ht="24.75" customHeight="1">
      <c r="A76" s="4554">
        <v>1</v>
      </c>
      <c r="B76" s="4555"/>
      <c r="C76" s="4555"/>
      <c r="D76" s="4555"/>
      <c r="E76" s="4556"/>
      <c r="F76" s="679"/>
      <c r="G76" s="4554">
        <v>1</v>
      </c>
      <c r="H76" s="4555"/>
      <c r="I76" s="4556"/>
      <c r="J76" s="682" t="s">
        <v>1610</v>
      </c>
      <c r="K76" s="4557">
        <v>1</v>
      </c>
      <c r="L76" s="4558"/>
      <c r="M76" s="4558"/>
      <c r="N76" s="4558"/>
      <c r="O76" s="4559" t="s">
        <v>1610</v>
      </c>
      <c r="P76" s="4560"/>
      <c r="Q76" s="354" t="s">
        <v>1180</v>
      </c>
      <c r="R76" s="125"/>
    </row>
    <row r="77" spans="1:20" s="35" customFormat="1" ht="24.75" customHeight="1">
      <c r="A77" s="4451">
        <v>2</v>
      </c>
      <c r="B77" s="4452"/>
      <c r="C77" s="4452"/>
      <c r="D77" s="4452"/>
      <c r="E77" s="4453"/>
      <c r="F77" s="680"/>
      <c r="G77" s="4451">
        <v>2</v>
      </c>
      <c r="H77" s="4452"/>
      <c r="I77" s="4453"/>
      <c r="J77" s="680"/>
      <c r="K77" s="4485">
        <v>2</v>
      </c>
      <c r="L77" s="4486"/>
      <c r="M77" s="4486"/>
      <c r="N77" s="4486"/>
      <c r="O77" s="4446"/>
      <c r="P77" s="4447"/>
      <c r="Q77" s="355"/>
      <c r="R77" s="125"/>
    </row>
    <row r="78" spans="1:20" s="35" customFormat="1" ht="24.75" customHeight="1">
      <c r="A78" s="4451">
        <v>3</v>
      </c>
      <c r="B78" s="4452"/>
      <c r="C78" s="4452"/>
      <c r="D78" s="4452"/>
      <c r="E78" s="4453"/>
      <c r="F78" s="680"/>
      <c r="G78" s="4451">
        <v>3</v>
      </c>
      <c r="H78" s="4452"/>
      <c r="I78" s="4453"/>
      <c r="J78" s="934" t="s">
        <v>2576</v>
      </c>
      <c r="K78" s="4485">
        <v>3</v>
      </c>
      <c r="L78" s="4486"/>
      <c r="M78" s="4486"/>
      <c r="N78" s="4486"/>
      <c r="O78" s="4672" t="s">
        <v>2576</v>
      </c>
      <c r="P78" s="4673"/>
      <c r="Q78" s="4715" t="s">
        <v>3808</v>
      </c>
      <c r="R78" s="4716"/>
      <c r="S78" s="1179"/>
      <c r="T78" s="1179"/>
    </row>
    <row r="79" spans="1:20" s="35" customFormat="1" ht="24.75" customHeight="1">
      <c r="A79" s="4451">
        <v>4</v>
      </c>
      <c r="B79" s="4452"/>
      <c r="C79" s="4452"/>
      <c r="D79" s="4452"/>
      <c r="E79" s="4453"/>
      <c r="F79" s="680"/>
      <c r="G79" s="4451">
        <v>4</v>
      </c>
      <c r="H79" s="4452"/>
      <c r="I79" s="4453"/>
      <c r="J79" s="680"/>
      <c r="K79" s="4485">
        <v>4</v>
      </c>
      <c r="L79" s="4486"/>
      <c r="M79" s="4486"/>
      <c r="N79" s="4486"/>
      <c r="O79" s="4672" t="s">
        <v>2576</v>
      </c>
      <c r="P79" s="4673"/>
      <c r="Q79" s="4715"/>
      <c r="R79" s="4716"/>
      <c r="S79" s="1179"/>
      <c r="T79" s="1179"/>
    </row>
    <row r="80" spans="1:20" s="35" customFormat="1" ht="24.75" customHeight="1">
      <c r="A80" s="4451">
        <v>5</v>
      </c>
      <c r="B80" s="4452"/>
      <c r="C80" s="4452"/>
      <c r="D80" s="4452"/>
      <c r="E80" s="4453"/>
      <c r="F80" s="680"/>
      <c r="G80" s="4451">
        <v>5</v>
      </c>
      <c r="H80" s="4452"/>
      <c r="I80" s="4453"/>
      <c r="J80" s="934" t="s">
        <v>3144</v>
      </c>
      <c r="K80" s="4485">
        <v>5</v>
      </c>
      <c r="L80" s="4486"/>
      <c r="M80" s="4486"/>
      <c r="N80" s="4486"/>
      <c r="O80" s="4446"/>
      <c r="P80" s="4447"/>
      <c r="Q80" s="4715"/>
      <c r="R80" s="4716"/>
      <c r="S80" s="1179"/>
      <c r="T80" s="1179"/>
    </row>
    <row r="81" spans="1:19" s="35" customFormat="1" ht="24" customHeight="1">
      <c r="A81" s="4451">
        <v>6</v>
      </c>
      <c r="B81" s="4452"/>
      <c r="C81" s="4452"/>
      <c r="D81" s="4452"/>
      <c r="E81" s="4453"/>
      <c r="F81" s="680"/>
      <c r="G81" s="4451">
        <v>6</v>
      </c>
      <c r="H81" s="4452"/>
      <c r="I81" s="4453"/>
      <c r="J81" s="680"/>
      <c r="K81" s="4485">
        <v>6</v>
      </c>
      <c r="L81" s="4486"/>
      <c r="M81" s="4486"/>
      <c r="N81" s="4486"/>
      <c r="O81" s="4446"/>
      <c r="P81" s="4447"/>
      <c r="Q81" s="4715"/>
      <c r="R81" s="4716"/>
    </row>
    <row r="82" spans="1:19" s="35" customFormat="1" ht="24.75" customHeight="1">
      <c r="A82" s="4451">
        <v>7</v>
      </c>
      <c r="B82" s="4452"/>
      <c r="C82" s="4452"/>
      <c r="D82" s="4452"/>
      <c r="E82" s="4453"/>
      <c r="F82" s="680"/>
      <c r="G82" s="4451">
        <v>7</v>
      </c>
      <c r="H82" s="4452"/>
      <c r="I82" s="4453"/>
      <c r="J82" s="934" t="s">
        <v>3145</v>
      </c>
      <c r="K82" s="4485">
        <v>7</v>
      </c>
      <c r="L82" s="4486"/>
      <c r="M82" s="4486"/>
      <c r="N82" s="4486"/>
      <c r="O82" s="4446"/>
      <c r="P82" s="4447"/>
      <c r="Q82" s="125"/>
      <c r="R82" s="125"/>
    </row>
    <row r="83" spans="1:19" s="35" customFormat="1" ht="24.75" customHeight="1">
      <c r="A83" s="4451">
        <v>8</v>
      </c>
      <c r="B83" s="4452"/>
      <c r="C83" s="4452"/>
      <c r="D83" s="4452"/>
      <c r="E83" s="4453"/>
      <c r="F83" s="680"/>
      <c r="G83" s="4451">
        <v>8</v>
      </c>
      <c r="H83" s="4452"/>
      <c r="I83" s="4453"/>
      <c r="J83" s="680"/>
      <c r="K83" s="4485">
        <v>8</v>
      </c>
      <c r="L83" s="4486"/>
      <c r="M83" s="4486"/>
      <c r="N83" s="4486"/>
      <c r="O83" s="4446"/>
      <c r="P83" s="4447"/>
      <c r="Q83" s="125"/>
      <c r="R83" s="125"/>
    </row>
    <row r="84" spans="1:19" s="35" customFormat="1" ht="24.75" customHeight="1">
      <c r="A84" s="4451">
        <v>9</v>
      </c>
      <c r="B84" s="4452"/>
      <c r="C84" s="4452"/>
      <c r="D84" s="4452"/>
      <c r="E84" s="4453"/>
      <c r="F84" s="680"/>
      <c r="G84" s="4451">
        <v>9</v>
      </c>
      <c r="H84" s="4452"/>
      <c r="I84" s="4453"/>
      <c r="J84" s="934" t="s">
        <v>3146</v>
      </c>
      <c r="K84" s="4485">
        <v>9</v>
      </c>
      <c r="L84" s="4486"/>
      <c r="M84" s="4486"/>
      <c r="N84" s="4486"/>
      <c r="O84" s="4446"/>
      <c r="P84" s="4447"/>
      <c r="Q84" s="125"/>
      <c r="R84" s="125"/>
    </row>
    <row r="85" spans="1:19" s="35" customFormat="1" ht="24.75" customHeight="1">
      <c r="A85" s="4451">
        <v>10</v>
      </c>
      <c r="B85" s="4452"/>
      <c r="C85" s="4452"/>
      <c r="D85" s="4452"/>
      <c r="E85" s="4453"/>
      <c r="F85" s="680"/>
      <c r="G85" s="4451">
        <v>10</v>
      </c>
      <c r="H85" s="4452"/>
      <c r="I85" s="4453"/>
      <c r="J85" s="680"/>
      <c r="K85" s="4485">
        <v>10</v>
      </c>
      <c r="L85" s="4486"/>
      <c r="M85" s="4486"/>
      <c r="N85" s="4486"/>
      <c r="O85" s="4446"/>
      <c r="P85" s="4447"/>
      <c r="Q85" s="125"/>
    </row>
    <row r="86" spans="1:19" s="35" customFormat="1" ht="24.75" customHeight="1">
      <c r="A86" s="4451">
        <v>11</v>
      </c>
      <c r="B86" s="4452"/>
      <c r="C86" s="4452"/>
      <c r="D86" s="4452"/>
      <c r="E86" s="4453"/>
      <c r="F86" s="680"/>
      <c r="G86" s="4451">
        <v>11</v>
      </c>
      <c r="H86" s="4452"/>
      <c r="I86" s="4453"/>
      <c r="J86" s="934" t="s">
        <v>3147</v>
      </c>
      <c r="K86" s="4451">
        <v>11</v>
      </c>
      <c r="L86" s="4452"/>
      <c r="M86" s="4452"/>
      <c r="N86" s="4453"/>
      <c r="O86" s="4446"/>
      <c r="P86" s="4447"/>
      <c r="Q86" s="125"/>
      <c r="R86" s="125"/>
    </row>
    <row r="87" spans="1:19" s="35" customFormat="1" ht="24.75" customHeight="1">
      <c r="A87" s="4471">
        <v>12</v>
      </c>
      <c r="B87" s="4472"/>
      <c r="C87" s="4472"/>
      <c r="D87" s="4472"/>
      <c r="E87" s="4473"/>
      <c r="F87" s="681"/>
      <c r="G87" s="4471">
        <v>12</v>
      </c>
      <c r="H87" s="4472"/>
      <c r="I87" s="4473"/>
      <c r="J87" s="681"/>
      <c r="K87" s="4471">
        <v>12</v>
      </c>
      <c r="L87" s="4472"/>
      <c r="M87" s="4472"/>
      <c r="N87" s="4473"/>
      <c r="O87" s="4474"/>
      <c r="P87" s="447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06" t="s">
        <v>3811</v>
      </c>
      <c r="C92" s="4706"/>
      <c r="D92" s="4706"/>
      <c r="E92" s="4706"/>
      <c r="F92" s="4706"/>
      <c r="G92" s="4706"/>
      <c r="H92" s="4706"/>
      <c r="I92" s="4706"/>
      <c r="J92" s="4706"/>
      <c r="K92" s="4706"/>
      <c r="L92" s="4706"/>
      <c r="M92" s="119"/>
      <c r="N92" s="5"/>
      <c r="Q92" s="5"/>
      <c r="R92" s="307"/>
    </row>
    <row r="93" spans="1:19" s="70" customFormat="1" ht="13.5" customHeight="1">
      <c r="B93" s="4706"/>
      <c r="C93" s="4706"/>
      <c r="D93" s="4706"/>
      <c r="E93" s="4706"/>
      <c r="F93" s="4706"/>
      <c r="G93" s="4706"/>
      <c r="H93" s="4706"/>
      <c r="I93" s="4706"/>
      <c r="J93" s="4706"/>
      <c r="K93" s="4706"/>
      <c r="L93" s="4706"/>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57.777777777777779</v>
      </c>
      <c r="L94" s="4655"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55"/>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6" t="s">
        <v>3815</v>
      </c>
      <c r="I97" s="4457"/>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54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5"/>
      <c r="B101" s="4206"/>
      <c r="C101" s="4206"/>
      <c r="D101" s="4206"/>
      <c r="E101" s="4206"/>
      <c r="F101" s="4206"/>
      <c r="G101" s="4206"/>
      <c r="H101" s="4206"/>
      <c r="I101" s="4206"/>
      <c r="J101" s="4206"/>
      <c r="K101" s="4206"/>
      <c r="L101" s="4206"/>
      <c r="M101" s="4206"/>
      <c r="N101" s="4206"/>
      <c r="O101" s="4206"/>
      <c r="P101" s="4207"/>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6" t="s">
        <v>4043</v>
      </c>
      <c r="J106" s="4477"/>
      <c r="K106" s="4477"/>
      <c r="L106" s="4478"/>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79"/>
      <c r="J107" s="4480"/>
      <c r="K107" s="4480"/>
      <c r="L107" s="4481"/>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82"/>
      <c r="J108" s="4483"/>
      <c r="K108" s="4483"/>
      <c r="L108" s="4484"/>
      <c r="M108" s="39"/>
      <c r="N108" s="47"/>
      <c r="O108" s="3"/>
      <c r="P108" s="24"/>
    </row>
    <row r="109" spans="1:18" s="36" customFormat="1" ht="90" customHeight="1" thickTop="1" thickBot="1">
      <c r="A109" s="4433"/>
      <c r="B109" s="4434"/>
      <c r="C109" s="4434"/>
      <c r="D109" s="4434"/>
      <c r="E109" s="4434"/>
      <c r="F109" s="4434"/>
      <c r="G109" s="4434"/>
      <c r="H109" s="4434"/>
      <c r="I109" s="4434"/>
      <c r="J109" s="4434"/>
      <c r="K109" s="4434"/>
      <c r="L109" s="4434"/>
      <c r="M109" s="4434"/>
      <c r="N109" s="4434"/>
      <c r="O109" s="4434"/>
      <c r="P109" s="4435"/>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5"/>
      <c r="B111" s="4206"/>
      <c r="C111" s="4206"/>
      <c r="D111" s="4206"/>
      <c r="E111" s="4206"/>
      <c r="F111" s="4206"/>
      <c r="G111" s="4206"/>
      <c r="H111" s="4206"/>
      <c r="I111" s="4206"/>
      <c r="J111" s="4206"/>
      <c r="K111" s="4206"/>
      <c r="L111" s="4206"/>
      <c r="M111" s="4206"/>
      <c r="N111" s="4206"/>
      <c r="O111" s="4206"/>
      <c r="P111" s="4207"/>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8" t="s">
        <v>3215</v>
      </c>
      <c r="G123" s="4538"/>
      <c r="H123" s="4538"/>
      <c r="I123" s="4538"/>
      <c r="J123" s="4538" t="s">
        <v>3216</v>
      </c>
      <c r="K123" s="4538"/>
      <c r="L123" s="4538"/>
      <c r="M123" s="4538"/>
      <c r="N123" s="48"/>
      <c r="O123" s="4539" t="s">
        <v>3884</v>
      </c>
      <c r="P123" s="4540"/>
      <c r="Q123" s="86"/>
      <c r="R123" s="879"/>
      <c r="S123" s="879"/>
      <c r="T123" s="879"/>
      <c r="U123" s="879"/>
    </row>
    <row r="124" spans="1:21" s="36" customFormat="1" ht="12" customHeight="1">
      <c r="B124" s="1839"/>
      <c r="C124" s="1182" t="s">
        <v>6570</v>
      </c>
      <c r="E124" s="223"/>
      <c r="F124" s="4489"/>
      <c r="G124" s="4490"/>
      <c r="H124" s="4454"/>
      <c r="I124" s="4455"/>
      <c r="J124" s="4489"/>
      <c r="K124" s="4490"/>
      <c r="L124" s="4454"/>
      <c r="M124" s="4455"/>
      <c r="N124" s="48"/>
      <c r="Q124" s="86"/>
      <c r="R124" s="879"/>
      <c r="S124" s="879"/>
      <c r="T124" s="879"/>
      <c r="U124" s="879"/>
    </row>
    <row r="125" spans="1:21" s="36" customFormat="1" ht="12" customHeight="1">
      <c r="A125" s="1839"/>
      <c r="B125" s="1839"/>
      <c r="C125" s="1839"/>
      <c r="D125" s="236"/>
      <c r="E125" s="1838" t="s">
        <v>6146</v>
      </c>
      <c r="F125" s="4656"/>
      <c r="G125" s="4657"/>
      <c r="H125" s="4663"/>
      <c r="I125" s="4664"/>
      <c r="J125" s="4656"/>
      <c r="K125" s="4657"/>
      <c r="L125" s="4663"/>
      <c r="M125" s="4664"/>
      <c r="N125" s="48"/>
      <c r="O125" s="1292"/>
      <c r="P125" s="916"/>
      <c r="Q125" s="86"/>
      <c r="R125" s="879"/>
      <c r="S125" s="879"/>
      <c r="T125" s="879"/>
      <c r="U125" s="879"/>
    </row>
    <row r="126" spans="1:21" s="36" customFormat="1" ht="12" customHeight="1">
      <c r="A126" s="4669" t="s">
        <v>6679</v>
      </c>
      <c r="B126" s="4669"/>
      <c r="C126" s="1182" t="s">
        <v>6569</v>
      </c>
      <c r="E126" s="223"/>
      <c r="F126" s="4658"/>
      <c r="G126" s="4659"/>
      <c r="H126" s="4674"/>
      <c r="I126" s="4675"/>
      <c r="J126" s="4658"/>
      <c r="K126" s="4659"/>
      <c r="L126" s="4674"/>
      <c r="M126" s="4675"/>
      <c r="N126" s="48"/>
      <c r="O126" s="48"/>
      <c r="P126" s="48"/>
      <c r="Q126" s="86"/>
      <c r="R126" s="879"/>
      <c r="S126" s="879"/>
      <c r="T126" s="879"/>
      <c r="U126" s="879"/>
    </row>
    <row r="127" spans="1:21" s="36" customFormat="1" ht="12" customHeight="1">
      <c r="A127" s="4669"/>
      <c r="B127" s="4669"/>
      <c r="C127" s="236"/>
      <c r="D127" s="236"/>
      <c r="E127" s="1838" t="s">
        <v>3365</v>
      </c>
      <c r="F127" s="4535"/>
      <c r="G127" s="4536"/>
      <c r="H127" s="4661"/>
      <c r="I127" s="4662"/>
      <c r="J127" s="4535"/>
      <c r="K127" s="4536"/>
      <c r="L127" s="4661"/>
      <c r="M127" s="4662"/>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65" t="str">
        <f>IF(AND(O131&gt;0,O138&gt;0),"Pick A or B, not both!","")</f>
        <v/>
      </c>
      <c r="J129" s="4665"/>
      <c r="K129" s="4665" t="str">
        <f>IF(AND(P131&gt;0,P138&gt;0),"Pick A or B, not both!","")</f>
        <v/>
      </c>
      <c r="L129" s="4665"/>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37" t="s">
        <v>6677</v>
      </c>
      <c r="D133" s="4537"/>
      <c r="E133" s="4537"/>
      <c r="F133" s="4537"/>
      <c r="G133" s="4537"/>
      <c r="H133" s="4537"/>
      <c r="I133" s="4537"/>
      <c r="J133" s="4537"/>
      <c r="K133" s="4537"/>
      <c r="L133" s="4537"/>
      <c r="M133" s="1848">
        <v>6</v>
      </c>
      <c r="N133" s="374" t="s">
        <v>1844</v>
      </c>
      <c r="O133" s="1910"/>
      <c r="P133" s="1911"/>
      <c r="Q133" s="1212"/>
      <c r="R133" s="795" t="s">
        <v>4058</v>
      </c>
    </row>
    <row r="134" spans="1:21" s="332" customFormat="1" ht="12" customHeight="1">
      <c r="A134" s="456" t="s">
        <v>1275</v>
      </c>
      <c r="B134" s="350" t="s">
        <v>1846</v>
      </c>
      <c r="C134" s="3576" t="s">
        <v>6678</v>
      </c>
      <c r="D134" s="3576"/>
      <c r="E134" s="3576"/>
      <c r="F134" s="3576"/>
      <c r="G134" s="866"/>
      <c r="J134" s="4541" t="s">
        <v>6674</v>
      </c>
      <c r="K134" s="4542"/>
      <c r="L134" s="4543"/>
      <c r="M134" s="458">
        <v>5</v>
      </c>
      <c r="N134" s="348" t="s">
        <v>1846</v>
      </c>
      <c r="O134" s="1923"/>
      <c r="P134" s="1924"/>
      <c r="Q134" s="1810" t="s">
        <v>6670</v>
      </c>
      <c r="R134" s="1176" t="s">
        <v>6263</v>
      </c>
      <c r="S134" s="1176" t="s">
        <v>6144</v>
      </c>
    </row>
    <row r="135" spans="1:21" s="332" customFormat="1" ht="12" customHeight="1">
      <c r="B135" s="350"/>
      <c r="C135" s="3576"/>
      <c r="D135" s="3576"/>
      <c r="E135" s="3576"/>
      <c r="F135" s="3576"/>
      <c r="G135" s="866"/>
      <c r="H135" s="3368" t="s">
        <v>6672</v>
      </c>
      <c r="I135" s="3368"/>
      <c r="J135" s="4544"/>
      <c r="K135" s="4545"/>
      <c r="L135" s="4546"/>
      <c r="M135" s="4259" t="str">
        <f>IF(AND(O134&gt;0,O133&gt;0),"Pick A1 or A2!","")</f>
        <v/>
      </c>
      <c r="N135" s="4259"/>
      <c r="O135" s="4259"/>
      <c r="P135" s="4259"/>
      <c r="Q135" s="798"/>
      <c r="R135" s="1549">
        <v>0.25</v>
      </c>
      <c r="S135" s="1549">
        <v>5</v>
      </c>
    </row>
    <row r="136" spans="1:21" s="332" customFormat="1" ht="12" customHeight="1">
      <c r="B136" s="350"/>
      <c r="C136" s="3576"/>
      <c r="D136" s="3576"/>
      <c r="E136" s="3576"/>
      <c r="F136" s="3576"/>
      <c r="G136" s="866"/>
      <c r="H136" s="1769"/>
      <c r="I136" s="1904"/>
      <c r="J136" s="4544"/>
      <c r="K136" s="4545"/>
      <c r="L136" s="4546"/>
      <c r="Q136" s="798"/>
      <c r="R136" s="1549">
        <v>0.5</v>
      </c>
      <c r="S136" s="1549">
        <v>4.5</v>
      </c>
    </row>
    <row r="137" spans="1:21" s="332" customFormat="1" ht="12" customHeight="1">
      <c r="B137" s="350"/>
      <c r="C137" s="3576"/>
      <c r="D137" s="3576"/>
      <c r="E137" s="3576"/>
      <c r="F137" s="3576"/>
      <c r="G137" s="866"/>
      <c r="J137" s="4544"/>
      <c r="K137" s="4545"/>
      <c r="L137" s="4546"/>
      <c r="M137" s="70"/>
      <c r="N137" s="70"/>
      <c r="O137" s="70"/>
      <c r="P137" s="70"/>
      <c r="Q137" s="397"/>
      <c r="R137" s="1550">
        <v>1</v>
      </c>
      <c r="S137" s="1550">
        <v>4</v>
      </c>
    </row>
    <row r="138" spans="1:21" s="332" customFormat="1" ht="12" customHeight="1">
      <c r="A138" s="112" t="s">
        <v>1843</v>
      </c>
      <c r="B138" s="897" t="s">
        <v>3238</v>
      </c>
      <c r="C138" s="503"/>
      <c r="D138" s="503"/>
      <c r="F138" s="1902" t="s">
        <v>6669</v>
      </c>
      <c r="J138" s="4466" t="s">
        <v>3235</v>
      </c>
      <c r="K138" s="4467"/>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76" t="s">
        <v>6684</v>
      </c>
      <c r="D139" s="3576"/>
      <c r="E139" s="3576"/>
      <c r="F139" s="3576"/>
      <c r="G139" s="866"/>
      <c r="H139" s="3368" t="s">
        <v>6673</v>
      </c>
      <c r="I139" s="3368"/>
      <c r="J139" s="4468" t="s">
        <v>6689</v>
      </c>
      <c r="K139" s="4469"/>
      <c r="L139" s="4470"/>
      <c r="M139" s="458">
        <v>3</v>
      </c>
      <c r="N139" s="348" t="s">
        <v>1844</v>
      </c>
      <c r="O139" s="4704"/>
      <c r="P139" s="4707"/>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1" t="s">
        <v>6565</v>
      </c>
      <c r="K140" s="4692"/>
      <c r="L140" s="4693"/>
      <c r="M140" s="70"/>
      <c r="O140" s="4705"/>
      <c r="P140" s="4708"/>
      <c r="Q140" s="86"/>
      <c r="R140" s="1550">
        <v>1</v>
      </c>
      <c r="S140" s="1550">
        <v>1</v>
      </c>
      <c r="U140" s="332"/>
    </row>
    <row r="141" spans="1:21" s="36" customFormat="1" ht="11.25" customHeight="1">
      <c r="A141" s="456" t="s">
        <v>1275</v>
      </c>
      <c r="B141" s="1632" t="s">
        <v>1846</v>
      </c>
      <c r="C141" s="3576" t="s">
        <v>6676</v>
      </c>
      <c r="D141" s="3576"/>
      <c r="E141" s="3576"/>
      <c r="F141" s="3576"/>
      <c r="G141" s="3576"/>
      <c r="H141" s="3576"/>
      <c r="I141" s="1903"/>
      <c r="J141" s="4694"/>
      <c r="K141" s="4695"/>
      <c r="L141" s="4696"/>
      <c r="M141" s="458">
        <v>1</v>
      </c>
      <c r="N141" s="348" t="s">
        <v>1846</v>
      </c>
      <c r="O141" s="4491"/>
      <c r="P141" s="4668"/>
      <c r="U141" s="332"/>
    </row>
    <row r="142" spans="1:21" s="36" customFormat="1" ht="11.25" customHeight="1">
      <c r="B142" s="1906"/>
      <c r="C142" s="3576"/>
      <c r="D142" s="3576"/>
      <c r="E142" s="3576"/>
      <c r="F142" s="3576"/>
      <c r="G142" s="3576"/>
      <c r="H142" s="3576"/>
      <c r="I142" s="1903"/>
      <c r="J142" s="4697"/>
      <c r="K142" s="4698"/>
      <c r="L142" s="4699"/>
      <c r="O142" s="4491"/>
      <c r="P142" s="4668"/>
      <c r="T142" s="332"/>
      <c r="U142" s="332"/>
    </row>
    <row r="143" spans="1:21" s="332" customFormat="1" ht="12" customHeight="1">
      <c r="A143" s="1631" t="s">
        <v>1275</v>
      </c>
      <c r="B143" s="1632" t="s">
        <v>2332</v>
      </c>
      <c r="C143" s="3576" t="s">
        <v>6675</v>
      </c>
      <c r="D143" s="3576"/>
      <c r="E143" s="3576"/>
      <c r="F143" s="3576"/>
      <c r="G143" s="3576"/>
      <c r="H143" s="3576"/>
      <c r="I143" s="4703"/>
      <c r="J143" s="4691" t="s">
        <v>6566</v>
      </c>
      <c r="K143" s="4692"/>
      <c r="L143" s="4693"/>
      <c r="M143" s="1848">
        <v>2</v>
      </c>
      <c r="N143" s="374" t="s">
        <v>2332</v>
      </c>
      <c r="O143" s="4666"/>
      <c r="P143" s="4487"/>
      <c r="Q143" s="798"/>
      <c r="R143" s="795"/>
    </row>
    <row r="144" spans="1:21" s="36" customFormat="1" ht="36.75" customHeight="1">
      <c r="C144" s="3576"/>
      <c r="D144" s="3576"/>
      <c r="E144" s="3576"/>
      <c r="F144" s="3576"/>
      <c r="G144" s="3576"/>
      <c r="H144" s="3576"/>
      <c r="I144" s="4703"/>
      <c r="J144" s="4700"/>
      <c r="K144" s="4701"/>
      <c r="L144" s="4702"/>
      <c r="O144" s="4667"/>
      <c r="P144" s="4488"/>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3"/>
      <c r="B147" s="4434"/>
      <c r="C147" s="4434"/>
      <c r="D147" s="4434"/>
      <c r="E147" s="4434"/>
      <c r="F147" s="4434"/>
      <c r="G147" s="4434"/>
      <c r="H147" s="4434"/>
      <c r="I147" s="4434"/>
      <c r="J147" s="4434"/>
      <c r="K147" s="4434"/>
      <c r="L147" s="4434"/>
      <c r="M147" s="4434"/>
      <c r="N147" s="4434"/>
      <c r="O147" s="4434"/>
      <c r="P147" s="4435"/>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5"/>
      <c r="B149" s="4206"/>
      <c r="C149" s="4206"/>
      <c r="D149" s="4206"/>
      <c r="E149" s="4206"/>
      <c r="F149" s="4206"/>
      <c r="G149" s="4206"/>
      <c r="H149" s="4206"/>
      <c r="I149" s="4206"/>
      <c r="J149" s="4206"/>
      <c r="K149" s="4206"/>
      <c r="L149" s="4206"/>
      <c r="M149" s="4206"/>
      <c r="N149" s="4206"/>
      <c r="O149" s="4206"/>
      <c r="P149" s="420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88" t="s">
        <v>6890</v>
      </c>
      <c r="K154" s="4689"/>
      <c r="L154" s="4689"/>
      <c r="M154" s="4690"/>
      <c r="N154"/>
      <c r="O154"/>
      <c r="P154"/>
    </row>
    <row r="155" spans="1:19" ht="12.75" customHeight="1">
      <c r="B155" s="430"/>
      <c r="C155" s="430"/>
      <c r="D155" s="430"/>
      <c r="F155" s="4202" t="s">
        <v>6627</v>
      </c>
      <c r="G155" s="4202"/>
      <c r="H155" s="4202" t="s">
        <v>6269</v>
      </c>
      <c r="I155" s="4202"/>
      <c r="J155" s="4676" t="s">
        <v>6628</v>
      </c>
      <c r="K155" s="4677"/>
      <c r="L155" s="4679" t="s">
        <v>6889</v>
      </c>
      <c r="M155" s="4680"/>
      <c r="N155" s="44"/>
      <c r="O155" s="1866"/>
      <c r="P155" s="1867"/>
    </row>
    <row r="156" spans="1:19" ht="30.75" customHeight="1">
      <c r="B156" s="430"/>
      <c r="C156" s="430"/>
      <c r="D156" s="430"/>
      <c r="F156" s="4202"/>
      <c r="G156" s="4202"/>
      <c r="H156" s="4202"/>
      <c r="I156" s="4202"/>
      <c r="J156" s="4678"/>
      <c r="K156" s="4677"/>
      <c r="L156" s="4202"/>
      <c r="M156" s="4681"/>
      <c r="N156" s="44"/>
      <c r="O156" s="1868"/>
      <c r="P156" s="1867"/>
    </row>
    <row r="157" spans="1:19" ht="12" customHeight="1">
      <c r="B157" s="81" t="s">
        <v>6629</v>
      </c>
      <c r="C157" s="889"/>
      <c r="D157" s="36"/>
      <c r="F157" s="4324"/>
      <c r="G157" s="4324"/>
      <c r="H157" s="4324"/>
      <c r="I157" s="4324"/>
      <c r="J157" s="4678"/>
      <c r="K157" s="4677"/>
      <c r="L157" s="4324"/>
      <c r="M157" s="4682"/>
      <c r="N157" s="44"/>
      <c r="O157" s="1868"/>
      <c r="P157" s="1867"/>
    </row>
    <row r="158" spans="1:19">
      <c r="B158" s="4683"/>
      <c r="C158" s="4684"/>
      <c r="D158" s="4684"/>
      <c r="E158" s="4685"/>
      <c r="F158" s="4683"/>
      <c r="G158" s="4685"/>
      <c r="H158" s="4683"/>
      <c r="I158" s="4685"/>
      <c r="J158" s="4686"/>
      <c r="K158" s="4687"/>
      <c r="L158" s="4686"/>
      <c r="M158" s="4687"/>
      <c r="N158" s="4725"/>
      <c r="O158" s="4726"/>
    </row>
    <row r="159" spans="1:19">
      <c r="B159" s="4516"/>
      <c r="C159" s="4517"/>
      <c r="D159" s="4517"/>
      <c r="E159" s="4518"/>
      <c r="F159" s="4516"/>
      <c r="G159" s="4518"/>
      <c r="H159" s="4516"/>
      <c r="I159" s="4518"/>
      <c r="J159" s="4670"/>
      <c r="K159" s="4671"/>
      <c r="L159" s="4670"/>
      <c r="M159" s="4671"/>
      <c r="N159" s="4547"/>
      <c r="O159" s="4548"/>
    </row>
    <row r="160" spans="1:19">
      <c r="B160" s="4516"/>
      <c r="C160" s="4517"/>
      <c r="D160" s="4517"/>
      <c r="E160" s="4518"/>
      <c r="F160" s="4516"/>
      <c r="G160" s="4518"/>
      <c r="H160" s="4516"/>
      <c r="I160" s="4518"/>
      <c r="J160" s="4670"/>
      <c r="K160" s="4671"/>
      <c r="L160" s="4670"/>
      <c r="M160" s="4671"/>
      <c r="N160" s="4547"/>
      <c r="O160" s="4548"/>
    </row>
    <row r="161" spans="1:26">
      <c r="B161" s="4516"/>
      <c r="C161" s="4517"/>
      <c r="D161" s="4517"/>
      <c r="E161" s="4518"/>
      <c r="F161" s="4516"/>
      <c r="G161" s="4518"/>
      <c r="H161" s="4516"/>
      <c r="I161" s="4518"/>
      <c r="J161" s="4670"/>
      <c r="K161" s="4671"/>
      <c r="L161" s="4670"/>
      <c r="M161" s="4671"/>
      <c r="N161" s="4547"/>
      <c r="O161" s="4548"/>
    </row>
    <row r="162" spans="1:26">
      <c r="B162" s="4516"/>
      <c r="C162" s="4517"/>
      <c r="D162" s="4517"/>
      <c r="E162" s="4518"/>
      <c r="F162" s="4516"/>
      <c r="G162" s="4518"/>
      <c r="H162" s="4516"/>
      <c r="I162" s="4518"/>
      <c r="J162" s="4670"/>
      <c r="K162" s="4671"/>
      <c r="L162" s="4670"/>
      <c r="M162" s="4671"/>
      <c r="N162" s="4547"/>
      <c r="O162" s="4548"/>
    </row>
    <row r="163" spans="1:26">
      <c r="B163" s="4718"/>
      <c r="C163" s="4719"/>
      <c r="D163" s="4719"/>
      <c r="E163" s="4720"/>
      <c r="F163" s="4718"/>
      <c r="G163" s="4720"/>
      <c r="H163" s="4718"/>
      <c r="I163" s="4720"/>
      <c r="J163" s="4721"/>
      <c r="K163" s="4722"/>
      <c r="L163" s="4721"/>
      <c r="M163" s="4722"/>
      <c r="N163" s="4723"/>
      <c r="O163" s="4724"/>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3"/>
      <c r="B165" s="4434"/>
      <c r="C165" s="4434"/>
      <c r="D165" s="4434"/>
      <c r="E165" s="4434"/>
      <c r="F165" s="4434"/>
      <c r="G165" s="4434"/>
      <c r="H165" s="4434"/>
      <c r="I165" s="4434"/>
      <c r="J165" s="4434"/>
      <c r="K165" s="4434"/>
      <c r="L165" s="4434"/>
      <c r="M165" s="4434"/>
      <c r="N165" s="4434"/>
      <c r="O165" s="4434"/>
      <c r="P165" s="4435"/>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3"/>
      <c r="B167" s="4234"/>
      <c r="C167" s="4234"/>
      <c r="D167" s="4234"/>
      <c r="E167" s="4234"/>
      <c r="F167" s="4234"/>
      <c r="G167" s="4234"/>
      <c r="H167" s="4234"/>
      <c r="I167" s="4234"/>
      <c r="J167" s="4234"/>
      <c r="K167" s="4234"/>
      <c r="L167" s="4234"/>
      <c r="M167" s="4234"/>
      <c r="N167" s="4234"/>
      <c r="O167" s="4234"/>
      <c r="P167" s="4235"/>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4" t="s">
        <v>6680</v>
      </c>
      <c r="D173" s="4194"/>
      <c r="E173" s="4194"/>
      <c r="F173" s="4194"/>
      <c r="G173" s="4194"/>
      <c r="H173" s="4194"/>
      <c r="I173" s="4194"/>
      <c r="J173" s="4194"/>
      <c r="K173" s="4194"/>
      <c r="L173" s="128"/>
      <c r="M173" s="4660" t="s">
        <v>6090</v>
      </c>
      <c r="N173" s="4660"/>
      <c r="O173" s="4660"/>
      <c r="P173" s="4660"/>
      <c r="S173" s="1628"/>
      <c r="T173" s="1628"/>
      <c r="U173" s="1628"/>
      <c r="V173" s="334"/>
      <c r="W173" s="334"/>
      <c r="X173" s="334"/>
      <c r="Y173" s="334"/>
      <c r="Z173" s="334"/>
    </row>
    <row r="174" spans="1:26" s="36" customFormat="1" ht="12.75" customHeight="1">
      <c r="A174" s="305"/>
      <c r="B174" s="49"/>
      <c r="C174" s="4194"/>
      <c r="D174" s="4194"/>
      <c r="E174" s="4194"/>
      <c r="F174" s="4194"/>
      <c r="G174" s="4194"/>
      <c r="H174" s="4194"/>
      <c r="I174" s="4194"/>
      <c r="J174" s="4194"/>
      <c r="K174" s="4194"/>
      <c r="L174" s="128" t="s">
        <v>2240</v>
      </c>
      <c r="M174" s="4652" t="s">
        <v>3286</v>
      </c>
      <c r="N174" s="4653"/>
      <c r="O174" s="4653"/>
      <c r="P174" s="4654"/>
      <c r="S174" s="1628"/>
      <c r="T174" s="1628"/>
      <c r="U174" s="1628"/>
    </row>
    <row r="175" spans="1:26" s="26" customFormat="1" ht="12.75" customHeight="1">
      <c r="B175" s="49" t="s">
        <v>2241</v>
      </c>
      <c r="C175" s="29" t="s">
        <v>3956</v>
      </c>
      <c r="D175" s="29"/>
      <c r="E175" s="29"/>
      <c r="F175" s="29"/>
      <c r="G175" s="29"/>
      <c r="H175" s="29"/>
      <c r="L175" s="49" t="s">
        <v>2241</v>
      </c>
      <c r="M175" s="4468" t="s">
        <v>3286</v>
      </c>
      <c r="N175" s="4469"/>
      <c r="O175" s="4469"/>
      <c r="P175" s="4470"/>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68" t="s">
        <v>3286</v>
      </c>
      <c r="N176" s="4469"/>
      <c r="O176" s="4469"/>
      <c r="P176" s="4470"/>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07" t="s">
        <v>3286</v>
      </c>
      <c r="N177" s="4608"/>
      <c r="O177" s="4608"/>
      <c r="P177" s="460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194" t="s">
        <v>6178</v>
      </c>
      <c r="D180" s="4194"/>
      <c r="E180" s="4194"/>
      <c r="F180" s="4194"/>
      <c r="G180" s="4194"/>
      <c r="H180" s="4194"/>
      <c r="I180" s="4194"/>
      <c r="J180" s="4194"/>
      <c r="K180" s="4194"/>
      <c r="L180" s="4194"/>
      <c r="M180" s="1848">
        <v>1</v>
      </c>
      <c r="N180" s="128" t="s">
        <v>4076</v>
      </c>
      <c r="O180" s="1636"/>
      <c r="P180" s="1640"/>
      <c r="Q180" s="1212" t="str">
        <f>IF(OR($O180=$M180,$O180=0,$O180=""),"","*CHECK!*")</f>
        <v/>
      </c>
      <c r="R180" s="795" t="s">
        <v>4058</v>
      </c>
    </row>
    <row r="181" spans="1:26" ht="36.75" customHeight="1">
      <c r="A181" s="396"/>
      <c r="B181" s="117" t="s">
        <v>2241</v>
      </c>
      <c r="C181" s="4194" t="s">
        <v>6179</v>
      </c>
      <c r="D181" s="4194"/>
      <c r="E181" s="4194"/>
      <c r="F181" s="4194"/>
      <c r="G181" s="4194"/>
      <c r="H181" s="4194"/>
      <c r="I181" s="4194"/>
      <c r="J181" s="4194"/>
      <c r="K181" s="4194"/>
      <c r="L181" s="4194"/>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3"/>
      <c r="B186" s="4434"/>
      <c r="C186" s="4434"/>
      <c r="D186" s="4434"/>
      <c r="E186" s="4434"/>
      <c r="F186" s="4434"/>
      <c r="G186" s="4434"/>
      <c r="H186" s="4434"/>
      <c r="I186" s="4434"/>
      <c r="J186" s="4434"/>
      <c r="K186" s="4434"/>
      <c r="L186" s="4434"/>
      <c r="M186" s="4434"/>
      <c r="N186" s="4434"/>
      <c r="O186" s="4434"/>
      <c r="P186" s="4435"/>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3"/>
      <c r="B188" s="4234"/>
      <c r="C188" s="4234"/>
      <c r="D188" s="4234"/>
      <c r="E188" s="4234"/>
      <c r="F188" s="4234"/>
      <c r="G188" s="4234"/>
      <c r="H188" s="4234"/>
      <c r="I188" s="4234"/>
      <c r="J188" s="4234"/>
      <c r="K188" s="4234"/>
      <c r="L188" s="4234"/>
      <c r="M188" s="4234"/>
      <c r="N188" s="4234"/>
      <c r="O188" s="4234"/>
      <c r="P188" s="4235"/>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194" t="s">
        <v>6207</v>
      </c>
      <c r="D194" s="4194"/>
      <c r="E194" s="4194"/>
      <c r="F194" s="4194"/>
      <c r="G194" s="4194"/>
      <c r="H194" s="4194"/>
      <c r="I194" s="4194"/>
      <c r="J194" s="4194"/>
      <c r="K194" s="4194"/>
      <c r="L194" s="4194"/>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4" t="s">
        <v>6211</v>
      </c>
      <c r="D196" s="4194"/>
      <c r="E196" s="4194"/>
      <c r="F196" s="4194"/>
      <c r="G196" s="4194"/>
      <c r="H196" s="4194"/>
      <c r="I196" s="4194"/>
      <c r="J196" s="4194"/>
      <c r="K196" s="4194"/>
      <c r="L196" s="4194"/>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194" t="s">
        <v>6212</v>
      </c>
      <c r="D198" s="4194"/>
      <c r="E198" s="4194"/>
      <c r="F198" s="4194"/>
      <c r="G198" s="4194"/>
      <c r="H198" s="4194"/>
      <c r="I198" s="4194"/>
      <c r="J198" s="4194"/>
      <c r="K198" s="4194"/>
      <c r="L198" s="4194"/>
      <c r="M198" s="884" t="s">
        <v>1962</v>
      </c>
      <c r="N198" s="317" t="s">
        <v>1844</v>
      </c>
      <c r="O198" s="894"/>
      <c r="P198" s="893"/>
      <c r="Q198" s="947"/>
      <c r="V198" s="1599"/>
      <c r="W198" s="1599"/>
    </row>
    <row r="199" spans="1:24" s="26" customFormat="1" ht="23.25" customHeight="1">
      <c r="A199" s="396"/>
      <c r="B199" s="350" t="s">
        <v>1846</v>
      </c>
      <c r="C199" s="4194" t="s">
        <v>6253</v>
      </c>
      <c r="D199" s="4194"/>
      <c r="E199" s="4194"/>
      <c r="F199" s="4194"/>
      <c r="G199" s="4194"/>
      <c r="H199" s="4194"/>
      <c r="I199" s="4194"/>
      <c r="J199" s="4194"/>
      <c r="K199" s="4194"/>
      <c r="L199" s="4194"/>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6"/>
      <c r="B201" s="4587"/>
      <c r="C201" s="4587"/>
      <c r="D201" s="4587"/>
      <c r="E201" s="4587"/>
      <c r="F201" s="4587"/>
      <c r="G201" s="4587"/>
      <c r="H201" s="4587"/>
      <c r="I201" s="4587"/>
      <c r="J201" s="4587"/>
      <c r="K201" s="4587"/>
      <c r="L201" s="4587"/>
      <c r="M201" s="4587"/>
      <c r="N201" s="4587"/>
      <c r="O201" s="4587"/>
      <c r="P201" s="4588"/>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2"/>
      <c r="B203" s="4493"/>
      <c r="C203" s="4493"/>
      <c r="D203" s="4493"/>
      <c r="E203" s="4493"/>
      <c r="F203" s="4493"/>
      <c r="G203" s="4493"/>
      <c r="H203" s="4493"/>
      <c r="I203" s="4493"/>
      <c r="J203" s="4493"/>
      <c r="K203" s="4493"/>
      <c r="L203" s="4493"/>
      <c r="M203" s="4493"/>
      <c r="N203" s="4493"/>
      <c r="O203" s="4493"/>
      <c r="P203" s="4494"/>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31" t="s">
        <v>3204</v>
      </c>
      <c r="K208" s="4632"/>
      <c r="L208" s="4633"/>
      <c r="M208" s="4634"/>
      <c r="N208" s="53"/>
      <c r="R208" s="86"/>
      <c r="S208" s="70"/>
    </row>
    <row r="209" spans="1:27" ht="12.75" customHeight="1">
      <c r="C209" s="685" t="s">
        <v>6255</v>
      </c>
      <c r="D209" s="44"/>
      <c r="J209" s="4604"/>
      <c r="K209" s="4605"/>
      <c r="L209" s="4605"/>
      <c r="M209" s="4606"/>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36" t="s">
        <v>6218</v>
      </c>
      <c r="F212" s="4436"/>
      <c r="G212" s="4436"/>
      <c r="H212" s="4436"/>
      <c r="I212" s="1203" t="s">
        <v>6245</v>
      </c>
      <c r="J212" s="4436" t="s">
        <v>6218</v>
      </c>
      <c r="K212" s="4436"/>
      <c r="L212" s="4436"/>
      <c r="M212" s="4436"/>
      <c r="N212"/>
      <c r="O212"/>
      <c r="P212"/>
    </row>
    <row r="213" spans="1:27" ht="13.5" customHeight="1">
      <c r="B213" s="400"/>
      <c r="C213" s="29" t="s">
        <v>6216</v>
      </c>
      <c r="E213" s="4437"/>
      <c r="F213" s="4438"/>
      <c r="G213" s="4438"/>
      <c r="H213" s="4439"/>
      <c r="I213" s="1869" t="s">
        <v>906</v>
      </c>
      <c r="J213" s="4601"/>
      <c r="K213" s="4602"/>
      <c r="L213" s="4602"/>
      <c r="M213" s="4603"/>
      <c r="N213"/>
      <c r="Q213" s="24"/>
      <c r="R213" s="24"/>
      <c r="S213" s="24"/>
      <c r="T213" s="24"/>
      <c r="U213" s="24"/>
      <c r="V213" s="24"/>
      <c r="W213" s="24"/>
      <c r="X213" s="24"/>
      <c r="Y213" s="24"/>
      <c r="Z213" s="24"/>
      <c r="AA213" s="1870"/>
    </row>
    <row r="214" spans="1:27" ht="13.5" customHeight="1">
      <c r="C214" s="29" t="s">
        <v>6217</v>
      </c>
      <c r="E214" s="4549"/>
      <c r="F214" s="4550"/>
      <c r="G214" s="4550"/>
      <c r="H214" s="4551"/>
      <c r="I214" s="1908"/>
      <c r="J214" s="4430"/>
      <c r="K214" s="4431"/>
      <c r="L214" s="4431"/>
      <c r="M214" s="4432"/>
      <c r="N214" s="1212" t="str">
        <f>IF(P211&lt;=N211,"","*CHECK!*")</f>
        <v/>
      </c>
      <c r="Q214" s="24"/>
      <c r="R214" s="24"/>
      <c r="S214" s="24"/>
      <c r="T214" s="24"/>
      <c r="U214" s="24"/>
      <c r="V214" s="24"/>
      <c r="W214" s="24"/>
      <c r="X214" s="24"/>
      <c r="Y214" s="24"/>
      <c r="Z214" s="24"/>
      <c r="AA214" s="1870"/>
    </row>
    <row r="215" spans="1:27" ht="13.5" customHeight="1">
      <c r="B215" s="400"/>
      <c r="C215" s="29" t="s">
        <v>6214</v>
      </c>
      <c r="E215" s="4549"/>
      <c r="F215" s="4550"/>
      <c r="G215" s="4550"/>
      <c r="H215" s="4551"/>
      <c r="I215" s="1908"/>
      <c r="J215" s="4430"/>
      <c r="K215" s="4431"/>
      <c r="L215" s="4431"/>
      <c r="M215" s="4432"/>
      <c r="N215"/>
      <c r="Q215" s="24"/>
      <c r="R215" s="24"/>
      <c r="S215" s="24"/>
      <c r="T215" s="24"/>
      <c r="U215" s="24"/>
      <c r="V215" s="24"/>
      <c r="W215" s="24"/>
      <c r="X215" s="24"/>
      <c r="Y215" s="24"/>
      <c r="Z215" s="24"/>
      <c r="AA215" s="1870"/>
    </row>
    <row r="216" spans="1:27" ht="13.5" customHeight="1">
      <c r="B216" s="44"/>
      <c r="C216" s="29" t="s">
        <v>6215</v>
      </c>
      <c r="E216" s="4592"/>
      <c r="F216" s="4593"/>
      <c r="G216" s="4593"/>
      <c r="H216" s="4594"/>
      <c r="I216" s="1909"/>
      <c r="J216" s="4598"/>
      <c r="K216" s="4599"/>
      <c r="L216" s="4599"/>
      <c r="M216" s="4600"/>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3"/>
      <c r="B220" s="4434"/>
      <c r="C220" s="4434"/>
      <c r="D220" s="4434"/>
      <c r="E220" s="4434"/>
      <c r="F220" s="4434"/>
      <c r="G220" s="4434"/>
      <c r="H220" s="4434"/>
      <c r="I220" s="4434"/>
      <c r="J220" s="4434"/>
      <c r="K220" s="4434"/>
      <c r="L220" s="4434"/>
      <c r="M220" s="4434"/>
      <c r="N220" s="4434"/>
      <c r="O220" s="4434"/>
      <c r="P220" s="4435"/>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2"/>
      <c r="B223" s="4493"/>
      <c r="C223" s="4493"/>
      <c r="D223" s="4493"/>
      <c r="E223" s="4493"/>
      <c r="F223" s="4493"/>
      <c r="G223" s="4493"/>
      <c r="H223" s="4493"/>
      <c r="I223" s="4493"/>
      <c r="J223" s="4493"/>
      <c r="K223" s="4493"/>
      <c r="L223" s="4493"/>
      <c r="M223" s="4493"/>
      <c r="N223" s="4493"/>
      <c r="O223" s="4493"/>
      <c r="P223" s="4494"/>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26" t="str">
        <f>M55</f>
        <v>&lt;&lt; Select Activity Type &gt;&gt;</v>
      </c>
      <c r="L225" s="462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v>
      </c>
      <c r="J226" s="370" t="s">
        <v>3959</v>
      </c>
      <c r="K226" s="4596" t="str">
        <f>'Part V-Revenues &amp; Expenses'!$O$53</f>
        <v>Income Averaging</v>
      </c>
      <c r="L226" s="4597"/>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2"/>
      <c r="B231" s="4493"/>
      <c r="C231" s="4493"/>
      <c r="D231" s="4493"/>
      <c r="E231" s="4493"/>
      <c r="F231" s="4493"/>
      <c r="G231" s="4493"/>
      <c r="H231" s="4493"/>
      <c r="I231" s="4493"/>
      <c r="J231" s="4493"/>
      <c r="K231" s="4493"/>
      <c r="L231" s="4493"/>
      <c r="M231" s="4493"/>
      <c r="N231" s="4493"/>
      <c r="O231" s="4493"/>
      <c r="P231" s="4494"/>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90"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90"/>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3"/>
      <c r="B238" s="4434"/>
      <c r="C238" s="4434"/>
      <c r="D238" s="4434"/>
      <c r="E238" s="4434"/>
      <c r="F238" s="4434"/>
      <c r="G238" s="4434"/>
      <c r="H238" s="4434"/>
      <c r="I238" s="4434"/>
      <c r="J238" s="4434"/>
      <c r="K238" s="4434"/>
      <c r="L238" s="4434"/>
      <c r="M238" s="4434"/>
      <c r="N238" s="4434"/>
      <c r="O238" s="4434"/>
      <c r="P238" s="4435"/>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2"/>
      <c r="B240" s="4493"/>
      <c r="C240" s="4493"/>
      <c r="D240" s="4493"/>
      <c r="E240" s="4493"/>
      <c r="F240" s="4493"/>
      <c r="G240" s="4493"/>
      <c r="H240" s="4493"/>
      <c r="I240" s="4493"/>
      <c r="J240" s="4493"/>
      <c r="K240" s="4493"/>
      <c r="L240" s="4493"/>
      <c r="M240" s="4493"/>
      <c r="N240" s="4493"/>
      <c r="O240" s="4493"/>
      <c r="P240" s="4494"/>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61"/>
      <c r="J244" s="4461"/>
      <c r="L244" s="1662" t="s">
        <v>6259</v>
      </c>
      <c r="M244" s="4462"/>
      <c r="N244" s="4462"/>
    </row>
    <row r="245" spans="1:27" s="32" customFormat="1" ht="11.25" customHeight="1">
      <c r="A245" s="306"/>
      <c r="B245" s="350" t="s">
        <v>1846</v>
      </c>
      <c r="C245" s="29" t="s">
        <v>6258</v>
      </c>
      <c r="E245" s="33" t="s">
        <v>3309</v>
      </c>
      <c r="G245" s="1644"/>
      <c r="H245" s="48" t="s">
        <v>574</v>
      </c>
      <c r="I245" s="4591"/>
      <c r="J245" s="4591"/>
      <c r="L245" s="1662" t="s">
        <v>6259</v>
      </c>
      <c r="M245" s="4595"/>
      <c r="N245" s="4595"/>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3"/>
      <c r="B248" s="4434"/>
      <c r="C248" s="4434"/>
      <c r="D248" s="4434"/>
      <c r="E248" s="4434"/>
      <c r="F248" s="4434"/>
      <c r="G248" s="4434"/>
      <c r="H248" s="4434"/>
      <c r="I248" s="4434"/>
      <c r="J248" s="4434"/>
      <c r="K248" s="4434"/>
      <c r="L248" s="4434"/>
      <c r="M248" s="4434"/>
      <c r="N248" s="4434"/>
      <c r="O248" s="4434"/>
      <c r="P248" s="4435"/>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3"/>
      <c r="B250" s="4234"/>
      <c r="C250" s="4234"/>
      <c r="D250" s="4234"/>
      <c r="E250" s="4234"/>
      <c r="F250" s="4234"/>
      <c r="G250" s="4234"/>
      <c r="H250" s="4234"/>
      <c r="I250" s="4234"/>
      <c r="J250" s="4234"/>
      <c r="K250" s="4234"/>
      <c r="L250" s="4234"/>
      <c r="M250" s="4234"/>
      <c r="N250" s="4234"/>
      <c r="O250" s="4234"/>
      <c r="P250" s="4235"/>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3"/>
      <c r="B257" s="4434"/>
      <c r="C257" s="4434"/>
      <c r="D257" s="4434"/>
      <c r="E257" s="4434"/>
      <c r="F257" s="4434"/>
      <c r="G257" s="4434"/>
      <c r="H257" s="4434"/>
      <c r="I257" s="4434"/>
      <c r="J257" s="4434"/>
      <c r="K257" s="4434"/>
      <c r="L257" s="4434"/>
      <c r="M257" s="4434"/>
      <c r="N257" s="4434"/>
      <c r="O257" s="4434"/>
      <c r="P257" s="4435"/>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3"/>
      <c r="B259" s="4234"/>
      <c r="C259" s="4234"/>
      <c r="D259" s="4234"/>
      <c r="E259" s="4234"/>
      <c r="F259" s="4234"/>
      <c r="G259" s="4234"/>
      <c r="H259" s="4234"/>
      <c r="I259" s="4234"/>
      <c r="J259" s="4234"/>
      <c r="K259" s="4234"/>
      <c r="L259" s="4234"/>
      <c r="M259" s="4234"/>
      <c r="N259" s="4234"/>
      <c r="O259" s="4234"/>
      <c r="P259" s="4235"/>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6" t="s">
        <v>6615</v>
      </c>
      <c r="C267" s="4216"/>
      <c r="D267" s="4216"/>
      <c r="E267" s="4216"/>
      <c r="F267" s="4216"/>
      <c r="G267" s="4216"/>
      <c r="H267" s="4216"/>
      <c r="I267" s="4216"/>
      <c r="J267" s="4216"/>
      <c r="K267" s="4216"/>
      <c r="L267" s="4216"/>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4" t="s">
        <v>6616</v>
      </c>
      <c r="C269" s="4194"/>
      <c r="D269" s="4194"/>
      <c r="E269" s="4194"/>
      <c r="F269" s="4194"/>
      <c r="G269" s="4194"/>
      <c r="H269" s="4194"/>
      <c r="I269" s="4194"/>
      <c r="J269" s="4194"/>
      <c r="K269" s="4194"/>
      <c r="L269" s="4194"/>
      <c r="M269" s="5"/>
      <c r="N269" s="48"/>
      <c r="O269" s="896"/>
      <c r="P269" s="895"/>
      <c r="Q269" s="236"/>
      <c r="R269" s="307"/>
      <c r="T269" s="845"/>
      <c r="U269" s="845"/>
    </row>
    <row r="270" spans="1:21" s="36" customFormat="1" ht="22.5" customHeight="1">
      <c r="B270" s="4194" t="s">
        <v>6230</v>
      </c>
      <c r="C270" s="4194"/>
      <c r="D270" s="4194"/>
      <c r="E270" s="4194"/>
      <c r="F270" s="4194"/>
      <c r="G270" s="4194"/>
      <c r="H270" s="4194"/>
      <c r="I270" s="4194"/>
      <c r="J270" s="4194"/>
      <c r="K270" s="4194"/>
      <c r="L270" s="4194"/>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3"/>
      <c r="B272" s="4234"/>
      <c r="C272" s="4234"/>
      <c r="D272" s="4234"/>
      <c r="E272" s="4234"/>
      <c r="F272" s="4234"/>
      <c r="G272" s="4234"/>
      <c r="H272" s="4234"/>
      <c r="I272" s="4234"/>
      <c r="J272" s="4234"/>
      <c r="K272" s="4234"/>
      <c r="L272" s="4234"/>
      <c r="M272" s="4234"/>
      <c r="N272" s="4234"/>
      <c r="O272" s="4234"/>
      <c r="P272" s="4235"/>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12"/>
      <c r="C279" s="4613"/>
      <c r="D279" s="4613"/>
      <c r="E279" s="4613"/>
      <c r="F279" s="4613"/>
      <c r="G279" s="4613"/>
      <c r="H279" s="4613"/>
      <c r="I279" s="4613"/>
      <c r="J279" s="4613"/>
      <c r="K279" s="4613"/>
      <c r="L279" s="4613"/>
      <c r="M279" s="4613"/>
      <c r="N279" s="4613"/>
      <c r="O279" s="4613"/>
      <c r="P279" s="4614"/>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3"/>
      <c r="B281" s="4434"/>
      <c r="C281" s="4434"/>
      <c r="D281" s="4434"/>
      <c r="E281" s="4434"/>
      <c r="F281" s="4434"/>
      <c r="G281" s="4434"/>
      <c r="H281" s="4434"/>
      <c r="I281" s="4434"/>
      <c r="J281" s="4434"/>
      <c r="K281" s="4434"/>
      <c r="L281" s="4434"/>
      <c r="M281" s="4434"/>
      <c r="N281" s="4434"/>
      <c r="O281" s="4434"/>
      <c r="P281" s="4435"/>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2"/>
      <c r="B283" s="4493"/>
      <c r="C283" s="4493"/>
      <c r="D283" s="4493"/>
      <c r="E283" s="4493"/>
      <c r="F283" s="4493"/>
      <c r="G283" s="4493"/>
      <c r="H283" s="4493"/>
      <c r="I283" s="4493"/>
      <c r="J283" s="4493"/>
      <c r="K283" s="4493"/>
      <c r="L283" s="4493"/>
      <c r="M283" s="4493"/>
      <c r="N283" s="4493"/>
      <c r="O283" s="4493"/>
      <c r="P283" s="4494"/>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40"/>
      <c r="J287" s="4641"/>
      <c r="K287" s="4642"/>
      <c r="L287" s="4643"/>
      <c r="M287" s="456"/>
      <c r="O287" s="1919"/>
      <c r="P287" s="1920"/>
      <c r="Q287" s="86"/>
      <c r="R287" s="1630"/>
      <c r="S287" s="1630"/>
      <c r="T287" s="1630"/>
      <c r="U287" s="1630"/>
      <c r="V287" s="1630"/>
      <c r="W287" s="36"/>
      <c r="X287" s="36"/>
    </row>
    <row r="288" spans="1:24" s="70" customFormat="1" ht="11.25" customHeight="1">
      <c r="A288" s="120"/>
      <c r="C288" s="29" t="s">
        <v>6691</v>
      </c>
      <c r="G288" s="147"/>
      <c r="I288" s="4644"/>
      <c r="J288" s="4645"/>
      <c r="M288" s="456"/>
      <c r="O288" s="1919"/>
      <c r="P288" s="1920"/>
      <c r="Q288" s="86"/>
      <c r="R288" s="1630"/>
      <c r="S288" s="1630"/>
      <c r="T288" s="1630"/>
      <c r="U288" s="1630"/>
      <c r="V288" s="1630"/>
      <c r="W288" s="36"/>
      <c r="X288" s="36"/>
    </row>
    <row r="289" spans="1:24" s="70" customFormat="1" ht="11.25" customHeight="1">
      <c r="A289" s="120"/>
      <c r="C289" s="29" t="s">
        <v>6693</v>
      </c>
      <c r="G289" s="147"/>
      <c r="I289" s="4646" t="s">
        <v>6694</v>
      </c>
      <c r="J289" s="4647"/>
      <c r="K289" s="4648"/>
      <c r="L289" s="4649"/>
      <c r="M289" s="456"/>
      <c r="O289" s="4650" t="s">
        <v>3149</v>
      </c>
      <c r="P289" s="4650" t="s">
        <v>3150</v>
      </c>
      <c r="Q289" s="86"/>
      <c r="R289" s="1630"/>
      <c r="S289" s="1630"/>
      <c r="T289" s="1630"/>
      <c r="U289" s="1630"/>
      <c r="V289" s="1630"/>
      <c r="W289" s="36"/>
      <c r="X289" s="36"/>
    </row>
    <row r="290" spans="1:24" s="36" customFormat="1" ht="11.25" customHeight="1">
      <c r="A290" s="120"/>
      <c r="B290" s="29" t="s">
        <v>6581</v>
      </c>
      <c r="D290" s="34"/>
      <c r="H290" s="141"/>
      <c r="M290" s="119"/>
      <c r="N290" s="48"/>
      <c r="O290" s="4651"/>
      <c r="P290" s="4651"/>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4" t="s">
        <v>6587</v>
      </c>
      <c r="D296" s="4194"/>
      <c r="E296" s="4194"/>
      <c r="F296" s="4194"/>
      <c r="G296" s="4194"/>
      <c r="H296" s="4194"/>
      <c r="I296" s="4194"/>
      <c r="J296" s="4194"/>
      <c r="K296" s="4194"/>
      <c r="L296" s="4194"/>
      <c r="M296" s="4194"/>
      <c r="N296" s="150" t="s">
        <v>1844</v>
      </c>
      <c r="O296" s="1287"/>
      <c r="P296" s="1288"/>
      <c r="Q296" s="331"/>
      <c r="R296" s="1840"/>
      <c r="S296" s="1840"/>
      <c r="T296" s="1840"/>
      <c r="U296" s="1840"/>
    </row>
    <row r="297" spans="1:24" s="332" customFormat="1" ht="21.75" customHeight="1" thickBot="1">
      <c r="A297" s="1608"/>
      <c r="B297" s="350" t="s">
        <v>1846</v>
      </c>
      <c r="C297" s="4194" t="s">
        <v>6588</v>
      </c>
      <c r="D297" s="4194"/>
      <c r="E297" s="4194"/>
      <c r="F297" s="4194"/>
      <c r="G297" s="4194"/>
      <c r="H297" s="4194"/>
      <c r="I297" s="4194"/>
      <c r="J297" s="4194"/>
      <c r="K297" s="4194"/>
      <c r="L297" s="4194"/>
      <c r="M297" s="4194"/>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4" t="s">
        <v>6590</v>
      </c>
      <c r="D299" s="4194"/>
      <c r="E299" s="4194"/>
      <c r="F299" s="4194"/>
      <c r="G299" s="4194"/>
      <c r="H299" s="4194"/>
      <c r="I299" s="4194"/>
      <c r="J299" s="4194"/>
      <c r="K299" s="4194"/>
      <c r="L299" s="4194"/>
      <c r="M299" s="4194"/>
      <c r="N299" s="150" t="s">
        <v>1844</v>
      </c>
      <c r="O299" s="1287"/>
      <c r="P299" s="1288"/>
      <c r="Q299" s="331"/>
      <c r="R299" s="1840"/>
      <c r="S299" s="1840"/>
      <c r="T299" s="1840"/>
      <c r="U299" s="1840"/>
    </row>
    <row r="300" spans="1:24" s="332" customFormat="1" ht="10.5" customHeight="1">
      <c r="A300" s="1608"/>
      <c r="B300" s="350" t="s">
        <v>1846</v>
      </c>
      <c r="C300" s="4194" t="s">
        <v>6591</v>
      </c>
      <c r="D300" s="4194"/>
      <c r="E300" s="4194"/>
      <c r="F300" s="4194"/>
      <c r="G300" s="4194"/>
      <c r="H300" s="4194"/>
      <c r="I300" s="4194"/>
      <c r="J300" s="4194"/>
      <c r="K300" s="4194"/>
      <c r="L300" s="4194"/>
      <c r="M300" s="4194"/>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4" t="s">
        <v>6594</v>
      </c>
      <c r="D304" s="4194"/>
      <c r="E304" s="4194"/>
      <c r="F304" s="4194"/>
      <c r="G304" s="4194"/>
      <c r="H304" s="4194"/>
      <c r="I304" s="4194"/>
      <c r="J304" s="4194"/>
      <c r="K304" s="4194"/>
      <c r="L304" s="4194"/>
      <c r="M304" s="4194"/>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3"/>
      <c r="B306" s="4434"/>
      <c r="C306" s="4434"/>
      <c r="D306" s="4434"/>
      <c r="E306" s="4434"/>
      <c r="F306" s="4434"/>
      <c r="G306" s="4434"/>
      <c r="H306" s="4434"/>
      <c r="I306" s="4434"/>
      <c r="J306" s="4434"/>
      <c r="K306" s="4434"/>
      <c r="L306" s="4434"/>
      <c r="M306" s="4434"/>
      <c r="N306" s="4434"/>
      <c r="O306" s="4434"/>
      <c r="P306" s="4435"/>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2"/>
      <c r="B308" s="4493"/>
      <c r="C308" s="4493"/>
      <c r="D308" s="4493"/>
      <c r="E308" s="4493"/>
      <c r="F308" s="4493"/>
      <c r="G308" s="4493"/>
      <c r="H308" s="4493"/>
      <c r="I308" s="4493"/>
      <c r="J308" s="4493"/>
      <c r="K308" s="4493"/>
      <c r="L308" s="4493"/>
      <c r="M308" s="4493"/>
      <c r="N308" s="4493"/>
      <c r="O308" s="4493"/>
      <c r="P308" s="4494"/>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58"/>
      <c r="J311" s="4459"/>
      <c r="K311" s="4459"/>
      <c r="L311" s="4460"/>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3"/>
      <c r="B314" s="4434"/>
      <c r="C314" s="4434"/>
      <c r="D314" s="4434"/>
      <c r="E314" s="4434"/>
      <c r="F314" s="4434"/>
      <c r="G314" s="4434"/>
      <c r="H314" s="4434"/>
      <c r="I314" s="4434"/>
      <c r="J314" s="4434"/>
      <c r="K314" s="4434"/>
      <c r="L314" s="4434"/>
      <c r="M314" s="4434"/>
      <c r="N314" s="4434"/>
      <c r="O314" s="4434"/>
      <c r="P314" s="4435"/>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2"/>
      <c r="B316" s="4493"/>
      <c r="C316" s="4493"/>
      <c r="D316" s="4493"/>
      <c r="E316" s="4493"/>
      <c r="F316" s="4493"/>
      <c r="G316" s="4493"/>
      <c r="H316" s="4493"/>
      <c r="I316" s="4493"/>
      <c r="J316" s="4493"/>
      <c r="K316" s="4493"/>
      <c r="L316" s="4493"/>
      <c r="M316" s="4493"/>
      <c r="N316" s="4493"/>
      <c r="O316" s="4493"/>
      <c r="P316" s="4494"/>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3"/>
      <c r="B332" s="4234"/>
      <c r="C332" s="4234"/>
      <c r="D332" s="4234"/>
      <c r="E332" s="4234"/>
      <c r="F332" s="4234"/>
      <c r="G332" s="4234"/>
      <c r="H332" s="4234"/>
      <c r="I332" s="4234"/>
      <c r="J332" s="4234"/>
      <c r="K332" s="4234"/>
      <c r="L332" s="4234"/>
      <c r="M332" s="4234"/>
      <c r="N332" s="4234"/>
      <c r="O332" s="4234"/>
      <c r="P332" s="4235"/>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49" t="s">
        <v>6059</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3"/>
      <c r="B338" s="4434"/>
      <c r="C338" s="4434"/>
      <c r="D338" s="4434"/>
      <c r="E338" s="4434"/>
      <c r="F338" s="4434"/>
      <c r="G338" s="4434"/>
      <c r="H338" s="4434"/>
      <c r="I338" s="4434"/>
      <c r="J338" s="4434"/>
      <c r="K338" s="4434"/>
      <c r="L338" s="4434"/>
      <c r="M338" s="4434"/>
      <c r="N338" s="4434"/>
      <c r="O338" s="4434"/>
      <c r="P338" s="4435"/>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3"/>
      <c r="B340" s="4234"/>
      <c r="C340" s="4234"/>
      <c r="D340" s="4234"/>
      <c r="E340" s="4234"/>
      <c r="F340" s="4234"/>
      <c r="G340" s="4234"/>
      <c r="H340" s="4234"/>
      <c r="I340" s="4234"/>
      <c r="J340" s="4234"/>
      <c r="K340" s="4234"/>
      <c r="L340" s="4234"/>
      <c r="M340" s="4234"/>
      <c r="N340" s="4234"/>
      <c r="O340" s="4234"/>
      <c r="P340" s="4235"/>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9" t="str">
        <f>IF(OR(O344="No",O344="",O345="No",O345="",O346="No",O346="",O347="No",O347=""),"Unmet criterion results in no points!","")</f>
        <v>Unmet criterion results in no points!</v>
      </c>
      <c r="M344" s="4589"/>
      <c r="N344" s="49" t="s">
        <v>2240</v>
      </c>
      <c r="O344" s="175"/>
      <c r="P344" s="419"/>
      <c r="R344" s="4585" t="str">
        <f>IF(OR(P344="No",P344="",P345="No",P345="",P346="No",P346="",P347="No",P347=""),"Unmet criterion results in no points!","")</f>
        <v>Unmet criterion results in no points!</v>
      </c>
      <c r="S344" s="4585" t="e">
        <f>IF(OR(V344="No",V344="",V345="No",V345="",V346="No",V346="",V347="No",V347="",#REF!="No",#REF!="",#REF!="No",#REF!=""),"Unmet criterion results in no points!","")</f>
        <v>#REF!</v>
      </c>
    </row>
    <row r="345" spans="1:20" s="79" customFormat="1" ht="12.75" customHeight="1">
      <c r="B345" s="49" t="s">
        <v>2241</v>
      </c>
      <c r="C345" s="29" t="s">
        <v>3274</v>
      </c>
      <c r="L345" s="4589"/>
      <c r="M345" s="4589"/>
      <c r="N345" s="49" t="s">
        <v>2241</v>
      </c>
      <c r="O345" s="299"/>
      <c r="P345" s="420"/>
      <c r="R345" s="4585"/>
      <c r="S345" s="4585"/>
    </row>
    <row r="346" spans="1:20" s="79" customFormat="1" ht="12.75" customHeight="1">
      <c r="B346" s="49" t="s">
        <v>2242</v>
      </c>
      <c r="C346" s="29" t="s">
        <v>3273</v>
      </c>
      <c r="L346" s="4589"/>
      <c r="M346" s="4589"/>
      <c r="N346" s="49" t="s">
        <v>2242</v>
      </c>
      <c r="O346" s="299"/>
      <c r="P346" s="420"/>
      <c r="R346" s="4585"/>
      <c r="S346" s="4585"/>
    </row>
    <row r="347" spans="1:20" s="79" customFormat="1" ht="33.75" customHeight="1">
      <c r="B347" s="117" t="s">
        <v>2243</v>
      </c>
      <c r="C347" s="4194" t="s">
        <v>6596</v>
      </c>
      <c r="D347" s="4194"/>
      <c r="E347" s="4194"/>
      <c r="F347" s="4194"/>
      <c r="G347" s="4194"/>
      <c r="H347" s="4194"/>
      <c r="I347" s="4194"/>
      <c r="J347" s="4194"/>
      <c r="K347" s="4194"/>
      <c r="L347" s="4194"/>
      <c r="M347" s="4194"/>
      <c r="N347" s="117" t="s">
        <v>2243</v>
      </c>
      <c r="O347" s="896"/>
      <c r="P347" s="895"/>
    </row>
    <row r="348" spans="1:20" ht="3" customHeight="1" thickBot="1">
      <c r="C348" s="4194"/>
      <c r="D348" s="4194"/>
      <c r="E348" s="4194"/>
      <c r="F348" s="4194"/>
      <c r="G348" s="4194"/>
      <c r="H348" s="4194"/>
      <c r="I348" s="4194"/>
      <c r="J348" s="4194"/>
      <c r="K348" s="4194"/>
      <c r="L348" s="4194"/>
      <c r="M348" s="4194"/>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34" t="s">
        <v>1848</v>
      </c>
      <c r="K351" s="4534"/>
      <c r="M351" s="4534" t="s">
        <v>1848</v>
      </c>
      <c r="N351" s="4534"/>
      <c r="O351" s="4534"/>
      <c r="P351" s="4534"/>
      <c r="R351" s="1836"/>
      <c r="S351" s="1836"/>
      <c r="T351" s="1426"/>
    </row>
    <row r="352" spans="1:20" s="36" customFormat="1" ht="12.75" customHeight="1">
      <c r="A352" s="151"/>
      <c r="B352" s="150" t="s">
        <v>6598</v>
      </c>
      <c r="C352" s="29" t="s">
        <v>1388</v>
      </c>
      <c r="I352" s="49" t="s">
        <v>2240</v>
      </c>
      <c r="J352" s="4524"/>
      <c r="K352" s="4525"/>
      <c r="L352" s="49" t="s">
        <v>2240</v>
      </c>
      <c r="M352" s="4628"/>
      <c r="N352" s="4629"/>
      <c r="O352" s="4629"/>
      <c r="P352" s="4630"/>
      <c r="R352" s="307"/>
    </row>
    <row r="353" spans="1:18" ht="12.75" customHeight="1">
      <c r="A353" s="152"/>
      <c r="B353" s="117" t="s">
        <v>2241</v>
      </c>
      <c r="C353" s="29" t="s">
        <v>3155</v>
      </c>
      <c r="I353" s="117" t="s">
        <v>2241</v>
      </c>
      <c r="J353" s="4529"/>
      <c r="K353" s="4530"/>
      <c r="L353" s="117" t="s">
        <v>2241</v>
      </c>
      <c r="M353" s="4531"/>
      <c r="N353" s="4532"/>
      <c r="O353" s="4532"/>
      <c r="P353" s="4533"/>
      <c r="R353" s="307"/>
    </row>
    <row r="354" spans="1:18" ht="12.75" customHeight="1">
      <c r="B354" s="49" t="s">
        <v>2242</v>
      </c>
      <c r="C354" s="29" t="s">
        <v>3953</v>
      </c>
      <c r="I354" s="49" t="s">
        <v>2242</v>
      </c>
      <c r="J354" s="4529"/>
      <c r="K354" s="4530"/>
      <c r="L354" s="49" t="s">
        <v>2242</v>
      </c>
      <c r="M354" s="4531"/>
      <c r="N354" s="4532"/>
      <c r="O354" s="4532"/>
      <c r="P354" s="4533"/>
      <c r="R354" s="307"/>
    </row>
    <row r="355" spans="1:18" ht="12.75" customHeight="1">
      <c r="A355" s="152"/>
      <c r="B355" s="49" t="s">
        <v>2243</v>
      </c>
      <c r="C355" s="29" t="s">
        <v>3071</v>
      </c>
      <c r="I355" s="49" t="s">
        <v>2243</v>
      </c>
      <c r="J355" s="4529"/>
      <c r="K355" s="4530"/>
      <c r="L355" s="49" t="s">
        <v>2243</v>
      </c>
      <c r="M355" s="4531"/>
      <c r="N355" s="4532"/>
      <c r="O355" s="4532"/>
      <c r="P355" s="4533"/>
      <c r="R355" s="307"/>
    </row>
    <row r="356" spans="1:18" s="36" customFormat="1" ht="12.75" customHeight="1">
      <c r="A356" s="151"/>
      <c r="B356" s="117" t="s">
        <v>2244</v>
      </c>
      <c r="C356" s="29" t="s">
        <v>2473</v>
      </c>
      <c r="I356" s="117" t="s">
        <v>2244</v>
      </c>
      <c r="J356" s="4529"/>
      <c r="K356" s="4530"/>
      <c r="L356" s="117" t="s">
        <v>2244</v>
      </c>
      <c r="M356" s="4531"/>
      <c r="N356" s="4532"/>
      <c r="O356" s="4532"/>
      <c r="P356" s="4533"/>
      <c r="R356" s="307"/>
    </row>
    <row r="357" spans="1:18" ht="12.75" customHeight="1">
      <c r="B357" s="49" t="s">
        <v>2260</v>
      </c>
      <c r="C357" s="29" t="s">
        <v>1387</v>
      </c>
      <c r="I357" s="49" t="s">
        <v>2260</v>
      </c>
      <c r="J357" s="4529"/>
      <c r="K357" s="4530"/>
      <c r="L357" s="49" t="s">
        <v>2260</v>
      </c>
      <c r="M357" s="4531"/>
      <c r="N357" s="4532"/>
      <c r="O357" s="4532"/>
      <c r="P357" s="4533"/>
      <c r="R357" s="307"/>
    </row>
    <row r="358" spans="1:18" ht="12.75" customHeight="1">
      <c r="B358" s="49" t="s">
        <v>2261</v>
      </c>
      <c r="C358" s="29" t="s">
        <v>6232</v>
      </c>
      <c r="I358" s="49" t="s">
        <v>2261</v>
      </c>
      <c r="J358" s="4529"/>
      <c r="K358" s="4530"/>
      <c r="L358" s="49" t="s">
        <v>2261</v>
      </c>
      <c r="M358" s="1601"/>
      <c r="N358" s="1602"/>
      <c r="O358" s="1602"/>
      <c r="P358" s="1603"/>
      <c r="R358" s="307"/>
    </row>
    <row r="359" spans="1:18" ht="12.75" customHeight="1">
      <c r="A359" s="152"/>
      <c r="B359" s="48" t="s">
        <v>2262</v>
      </c>
      <c r="C359" s="29" t="s">
        <v>3154</v>
      </c>
      <c r="I359" s="48" t="s">
        <v>2262</v>
      </c>
      <c r="J359" s="4529"/>
      <c r="K359" s="4530"/>
      <c r="L359" s="48" t="s">
        <v>2262</v>
      </c>
      <c r="M359" s="4531"/>
      <c r="N359" s="4532"/>
      <c r="O359" s="4532"/>
      <c r="P359" s="4533"/>
      <c r="R359" s="307"/>
    </row>
    <row r="360" spans="1:18" ht="12.75" customHeight="1">
      <c r="B360" s="48" t="s">
        <v>2263</v>
      </c>
      <c r="C360" s="29" t="s">
        <v>6599</v>
      </c>
      <c r="I360" s="48" t="s">
        <v>2263</v>
      </c>
      <c r="J360" s="4529"/>
      <c r="K360" s="4530"/>
      <c r="L360" s="48" t="s">
        <v>2263</v>
      </c>
      <c r="M360" s="4531"/>
      <c r="N360" s="4532"/>
      <c r="O360" s="4532"/>
      <c r="P360" s="4533"/>
      <c r="R360" s="307"/>
    </row>
    <row r="361" spans="1:18" ht="12.75" customHeight="1">
      <c r="B361" s="48" t="s">
        <v>3156</v>
      </c>
      <c r="C361" s="29" t="s">
        <v>3825</v>
      </c>
      <c r="I361" s="48" t="s">
        <v>3156</v>
      </c>
      <c r="J361" s="4529"/>
      <c r="K361" s="4530"/>
      <c r="L361" s="48" t="s">
        <v>3156</v>
      </c>
      <c r="M361" s="4531"/>
      <c r="N361" s="4532"/>
      <c r="O361" s="4532"/>
      <c r="P361" s="4533"/>
      <c r="R361" s="307"/>
    </row>
    <row r="362" spans="1:18" ht="12.75" customHeight="1" thickBot="1">
      <c r="B362" s="48" t="s">
        <v>6233</v>
      </c>
      <c r="C362" s="29" t="s">
        <v>6234</v>
      </c>
      <c r="I362" s="48" t="s">
        <v>6233</v>
      </c>
      <c r="J362" s="4529"/>
      <c r="K362" s="4530"/>
      <c r="L362" s="48" t="s">
        <v>6233</v>
      </c>
      <c r="M362" s="4619"/>
      <c r="N362" s="4620"/>
      <c r="O362" s="4620"/>
      <c r="P362" s="4621"/>
      <c r="R362" s="307"/>
    </row>
    <row r="363" spans="1:18" ht="12.75" customHeight="1" thickBot="1">
      <c r="B363" s="919" t="s">
        <v>6600</v>
      </c>
      <c r="H363" s="89" t="s">
        <v>2413</v>
      </c>
      <c r="J363" s="4520">
        <f>SUM(J352:K362)</f>
        <v>0</v>
      </c>
      <c r="K363" s="4521"/>
      <c r="M363" s="4520">
        <f>SUM($M352:$M362)</f>
        <v>0</v>
      </c>
      <c r="N363" s="4523"/>
      <c r="O363" s="4523"/>
      <c r="P363" s="4521"/>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38">
        <f>'Part V-Revenues &amp; Expenses'!$P$67</f>
        <v>54</v>
      </c>
      <c r="K365" s="4639"/>
      <c r="L365" s="430"/>
      <c r="M365" s="393"/>
      <c r="N365" s="393"/>
      <c r="O365" s="881"/>
      <c r="P365" s="393"/>
    </row>
    <row r="366" spans="1:18" ht="13.5" customHeight="1">
      <c r="C366" s="230"/>
      <c r="D366" s="230"/>
      <c r="E366" s="230"/>
      <c r="F366" s="349" t="s">
        <v>6236</v>
      </c>
      <c r="J366" s="4636">
        <f>IF(J365=0,0,J363/J365)</f>
        <v>0</v>
      </c>
      <c r="K366" s="4637"/>
      <c r="M366" s="4526">
        <f>IF($J365=0,0,$M363/$J365)</f>
        <v>0</v>
      </c>
      <c r="N366" s="4527"/>
      <c r="O366" s="4527"/>
      <c r="P366" s="4528"/>
    </row>
    <row r="367" spans="1:18" s="36" customFormat="1" ht="12.75" customHeight="1">
      <c r="C367" s="230"/>
      <c r="D367" s="230"/>
      <c r="E367" s="230"/>
      <c r="F367" s="44" t="s">
        <v>6237</v>
      </c>
      <c r="I367"/>
      <c r="J367" s="4610">
        <f>IF(L344="", IF($J366&gt;=30000, 3,IF($J366&gt;=20000, 2,IF($J366&gt;=10000,1,0))),0)</f>
        <v>0</v>
      </c>
      <c r="K367" s="4611"/>
      <c r="L367" s="398"/>
      <c r="M367" s="4610">
        <f>IF(R344="", IF($M366&gt;=30000, 3,IF($M366&gt;=20000, 2,IF($M366&gt;=10000,1,0))),0)</f>
        <v>0</v>
      </c>
      <c r="N367" s="4635"/>
      <c r="O367" s="4635"/>
      <c r="P367" s="4611"/>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4" t="s">
        <v>6601</v>
      </c>
      <c r="D370" s="4194"/>
      <c r="E370" s="4194"/>
      <c r="F370" s="4194"/>
      <c r="G370" s="4194"/>
      <c r="H370" s="4194"/>
      <c r="I370" s="4194"/>
      <c r="J370" s="4194"/>
      <c r="K370" s="4194"/>
      <c r="L370" s="4194"/>
      <c r="M370" s="4194"/>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3"/>
      <c r="B374" s="4434"/>
      <c r="C374" s="4434"/>
      <c r="D374" s="4434"/>
      <c r="E374" s="4434"/>
      <c r="F374" s="4434"/>
      <c r="G374" s="4434"/>
      <c r="H374" s="4434"/>
      <c r="I374" s="4434"/>
      <c r="J374" s="4434"/>
      <c r="K374" s="4434"/>
      <c r="L374" s="4434"/>
      <c r="M374" s="4434"/>
      <c r="N374" s="4434"/>
      <c r="O374" s="4434"/>
      <c r="P374" s="4435"/>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3"/>
      <c r="B376" s="4234"/>
      <c r="C376" s="4234"/>
      <c r="D376" s="4234"/>
      <c r="E376" s="4234"/>
      <c r="F376" s="4234"/>
      <c r="G376" s="4234"/>
      <c r="H376" s="4234"/>
      <c r="I376" s="4234"/>
      <c r="J376" s="4234"/>
      <c r="K376" s="4234"/>
      <c r="L376" s="4234"/>
      <c r="M376" s="4234"/>
      <c r="N376" s="4234"/>
      <c r="O376" s="4234"/>
      <c r="P376" s="4235"/>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3885</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16" t="s">
        <v>6602</v>
      </c>
      <c r="C383" s="4216"/>
      <c r="D383" s="4216"/>
      <c r="E383" s="4216"/>
      <c r="F383" s="4216"/>
      <c r="G383" s="4216"/>
      <c r="H383" s="4216"/>
      <c r="I383" s="4216"/>
      <c r="J383" s="4216"/>
      <c r="K383" s="4216"/>
      <c r="L383" s="4216"/>
      <c r="M383" s="4618" t="s">
        <v>3886</v>
      </c>
      <c r="N383" s="4618"/>
      <c r="Q383" s="147"/>
    </row>
    <row r="384" spans="1:22" s="332" customFormat="1" ht="12" customHeight="1">
      <c r="B384" s="4216"/>
      <c r="C384" s="4216"/>
      <c r="D384" s="4216"/>
      <c r="E384" s="4216"/>
      <c r="F384" s="4216"/>
      <c r="G384" s="4216"/>
      <c r="H384" s="4216"/>
      <c r="I384" s="4216"/>
      <c r="J384" s="4216"/>
      <c r="K384" s="4216"/>
      <c r="L384" s="4216"/>
      <c r="M384" s="4618"/>
      <c r="N384" s="4618"/>
      <c r="O384" s="4624">
        <f>'Part V-Revenues &amp; Expenses'!$P$123</f>
        <v>0</v>
      </c>
      <c r="P384" s="4625"/>
      <c r="Q384" s="147"/>
    </row>
    <row r="385" spans="1:19" s="332" customFormat="1" ht="12" customHeight="1">
      <c r="B385" s="4216"/>
      <c r="C385" s="4216"/>
      <c r="D385" s="4216"/>
      <c r="E385" s="4216"/>
      <c r="F385" s="4216"/>
      <c r="G385" s="4216"/>
      <c r="H385" s="4216"/>
      <c r="I385" s="4216"/>
      <c r="J385" s="4216"/>
      <c r="K385" s="4216"/>
      <c r="L385" s="4216"/>
      <c r="M385" s="241" t="s">
        <v>2517</v>
      </c>
      <c r="N385" s="333"/>
      <c r="O385" s="4622">
        <f>'Part V-Revenues &amp; Expenses'!$P$67</f>
        <v>54</v>
      </c>
      <c r="P385" s="4623"/>
      <c r="Q385" s="147"/>
    </row>
    <row r="386" spans="1:19" s="332" customFormat="1" ht="12" customHeight="1">
      <c r="B386" s="4615"/>
      <c r="C386" s="4615"/>
      <c r="D386" s="4615"/>
      <c r="E386" s="4615"/>
      <c r="F386" s="4615"/>
      <c r="G386" s="4615"/>
      <c r="H386" s="4615"/>
      <c r="I386" s="4615"/>
      <c r="J386" s="4615"/>
      <c r="K386" s="4615"/>
      <c r="L386" s="4615"/>
      <c r="M386" s="1194" t="s">
        <v>2518</v>
      </c>
      <c r="N386" s="333"/>
      <c r="O386" s="4616">
        <f>IF(O385=0,0,O384/O385)</f>
        <v>0</v>
      </c>
      <c r="P386" s="4617"/>
      <c r="Q386" s="147"/>
    </row>
    <row r="387" spans="1:19" s="36" customFormat="1" ht="105.75" customHeight="1">
      <c r="A387" s="411"/>
      <c r="B387" s="4245" t="s">
        <v>3414</v>
      </c>
      <c r="C387" s="4246"/>
      <c r="D387" s="4246"/>
      <c r="E387" s="4246"/>
      <c r="F387" s="4246"/>
      <c r="G387" s="4246"/>
      <c r="H387" s="4246"/>
      <c r="I387" s="4246"/>
      <c r="J387" s="4246"/>
      <c r="K387" s="4246"/>
      <c r="L387" s="4246"/>
      <c r="M387" s="4246"/>
      <c r="N387" s="4246"/>
      <c r="O387" s="4246"/>
      <c r="P387" s="424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54</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3"/>
      <c r="B393" s="4434"/>
      <c r="C393" s="4434"/>
      <c r="D393" s="4434"/>
      <c r="E393" s="4434"/>
      <c r="F393" s="4434"/>
      <c r="G393" s="4434"/>
      <c r="H393" s="4434"/>
      <c r="I393" s="4434"/>
      <c r="J393" s="4434"/>
      <c r="K393" s="4434"/>
      <c r="L393" s="4434"/>
      <c r="M393" s="4434"/>
      <c r="N393" s="4434"/>
      <c r="O393" s="4434"/>
      <c r="P393" s="4435"/>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3"/>
      <c r="B395" s="4234"/>
      <c r="C395" s="4234"/>
      <c r="D395" s="4234"/>
      <c r="E395" s="4234"/>
      <c r="F395" s="4234"/>
      <c r="G395" s="4234"/>
      <c r="H395" s="4234"/>
      <c r="I395" s="4234"/>
      <c r="J395" s="4234"/>
      <c r="K395" s="4234"/>
      <c r="L395" s="4234"/>
      <c r="M395" s="4234"/>
      <c r="N395" s="4234"/>
      <c r="O395" s="4234"/>
      <c r="P395" s="4235"/>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3"/>
      <c r="B403" s="4234"/>
      <c r="C403" s="4234"/>
      <c r="D403" s="4234"/>
      <c r="E403" s="4234"/>
      <c r="F403" s="4234"/>
      <c r="G403" s="4234"/>
      <c r="H403" s="4234"/>
      <c r="I403" s="4234"/>
      <c r="J403" s="4234"/>
      <c r="K403" s="4234"/>
      <c r="L403" s="4234"/>
      <c r="M403" s="4234"/>
      <c r="N403" s="4234"/>
      <c r="O403" s="4234"/>
      <c r="P403" s="4235"/>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3"/>
      <c r="B414" s="4434"/>
      <c r="C414" s="4434"/>
      <c r="D414" s="4434"/>
      <c r="E414" s="4434"/>
      <c r="F414" s="4434"/>
      <c r="G414" s="4434"/>
      <c r="H414" s="4434"/>
      <c r="I414" s="4434"/>
      <c r="J414" s="4434"/>
      <c r="K414" s="4434"/>
      <c r="L414" s="4434"/>
      <c r="M414" s="4434"/>
      <c r="N414" s="4434"/>
      <c r="O414" s="4434"/>
      <c r="P414" s="4435"/>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3"/>
      <c r="B416" s="4234"/>
      <c r="C416" s="4234"/>
      <c r="D416" s="4234"/>
      <c r="E416" s="4234"/>
      <c r="F416" s="4234"/>
      <c r="G416" s="4234"/>
      <c r="H416" s="4234"/>
      <c r="I416" s="4234"/>
      <c r="J416" s="4234"/>
      <c r="K416" s="4234"/>
      <c r="L416" s="4234"/>
      <c r="M416" s="4234"/>
      <c r="N416" s="4234"/>
      <c r="O416" s="4234"/>
      <c r="P416" s="4235"/>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3"/>
      <c r="B420" s="4434"/>
      <c r="C420" s="4434"/>
      <c r="D420" s="4434"/>
      <c r="E420" s="4434"/>
      <c r="F420" s="4434"/>
      <c r="G420" s="4434"/>
      <c r="H420" s="4434"/>
      <c r="I420" s="4434"/>
      <c r="J420" s="4434"/>
      <c r="K420" s="4434"/>
      <c r="L420" s="4434"/>
      <c r="M420" s="4434"/>
      <c r="N420" s="4434"/>
      <c r="O420" s="4434"/>
      <c r="P420" s="4435"/>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3"/>
      <c r="B422" s="4234"/>
      <c r="C422" s="4234"/>
      <c r="D422" s="4234"/>
      <c r="E422" s="4234"/>
      <c r="F422" s="4234"/>
      <c r="G422" s="4234"/>
      <c r="H422" s="4234"/>
      <c r="I422" s="4234"/>
      <c r="J422" s="4234"/>
      <c r="K422" s="4234"/>
      <c r="L422" s="4234"/>
      <c r="M422" s="4234"/>
      <c r="N422" s="4234"/>
      <c r="O422" s="4234"/>
      <c r="P422" s="4235"/>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3"/>
      <c r="B426" s="4234"/>
      <c r="C426" s="4234"/>
      <c r="D426" s="4234"/>
      <c r="E426" s="4234"/>
      <c r="F426" s="4234"/>
      <c r="G426" s="4234"/>
      <c r="H426" s="4234"/>
      <c r="I426" s="4234"/>
      <c r="J426" s="4234"/>
      <c r="K426" s="4234"/>
      <c r="L426" s="4234"/>
      <c r="M426" s="4234"/>
      <c r="N426" s="4234"/>
      <c r="O426" s="4234"/>
      <c r="P426" s="4235"/>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3"/>
      <c r="B430" s="4434"/>
      <c r="C430" s="4434"/>
      <c r="D430" s="4434"/>
      <c r="E430" s="4434"/>
      <c r="F430" s="4434"/>
      <c r="G430" s="4434"/>
      <c r="H430" s="4434"/>
      <c r="I430" s="4434"/>
      <c r="J430" s="4434"/>
      <c r="K430" s="4434"/>
      <c r="L430" s="4434"/>
      <c r="M430" s="4434"/>
      <c r="N430" s="4434"/>
      <c r="O430" s="4434"/>
      <c r="P430" s="4435"/>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3"/>
      <c r="B432" s="4234"/>
      <c r="C432" s="4234"/>
      <c r="D432" s="4234"/>
      <c r="E432" s="4234"/>
      <c r="F432" s="4234"/>
      <c r="G432" s="4234"/>
      <c r="H432" s="4234"/>
      <c r="I432" s="4234"/>
      <c r="J432" s="4234"/>
      <c r="K432" s="4234"/>
      <c r="L432" s="4234"/>
      <c r="M432" s="4234"/>
      <c r="N432" s="4234"/>
      <c r="O432" s="4234"/>
      <c r="P432" s="4235"/>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3"/>
      <c r="B438" s="4434"/>
      <c r="C438" s="4434"/>
      <c r="D438" s="4434"/>
      <c r="E438" s="4434"/>
      <c r="F438" s="4434"/>
      <c r="G438" s="4434"/>
      <c r="H438" s="4434"/>
      <c r="I438" s="4434"/>
      <c r="J438" s="4434"/>
      <c r="K438" s="4434"/>
      <c r="L438" s="4434"/>
      <c r="M438" s="4434"/>
      <c r="N438" s="4434"/>
      <c r="O438" s="4434"/>
      <c r="P438" s="4435"/>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3"/>
      <c r="B440" s="4234"/>
      <c r="C440" s="4234"/>
      <c r="D440" s="4234"/>
      <c r="E440" s="4234"/>
      <c r="F440" s="4234"/>
      <c r="G440" s="4234"/>
      <c r="H440" s="4234"/>
      <c r="I440" s="4234"/>
      <c r="J440" s="4234"/>
      <c r="K440" s="4234"/>
      <c r="L440" s="4234"/>
      <c r="M440" s="4234"/>
      <c r="N440" s="4234"/>
      <c r="O440" s="4234"/>
      <c r="P440" s="4235"/>
      <c r="Q440" s="355"/>
      <c r="R440" s="355"/>
    </row>
    <row r="441" spans="1:27" ht="13.5" customHeight="1" thickBot="1">
      <c r="Q441" s="4717" t="s">
        <v>6744</v>
      </c>
      <c r="R441" s="4717"/>
      <c r="S441" s="4717"/>
      <c r="T441" s="4717"/>
      <c r="U441" s="4717"/>
      <c r="V441" s="4717"/>
      <c r="W441" s="4717"/>
      <c r="X441" s="4717"/>
      <c r="Y441" s="4717"/>
      <c r="Z441" s="4717"/>
      <c r="AA441" s="4717"/>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7"/>
      <c r="R442" s="4717"/>
      <c r="S442" s="4717"/>
      <c r="T442" s="4717"/>
      <c r="U442" s="4717"/>
      <c r="V442" s="4717"/>
      <c r="W442" s="4717"/>
      <c r="X442" s="4717"/>
      <c r="Y442" s="4717"/>
      <c r="Z442" s="4717"/>
      <c r="AA442" s="4717"/>
    </row>
    <row r="443" spans="1:27" s="36" customFormat="1" ht="15.75" thickTop="1">
      <c r="A443" s="35"/>
      <c r="C443" s="887"/>
      <c r="D443" s="887"/>
      <c r="E443" s="887"/>
      <c r="F443" s="887"/>
      <c r="G443" s="887"/>
      <c r="H443" s="887"/>
      <c r="I443" s="887"/>
      <c r="J443" s="887"/>
      <c r="K443" s="887"/>
      <c r="L443" s="887"/>
      <c r="M443" s="887"/>
      <c r="N443" s="887"/>
      <c r="O443" s="887"/>
      <c r="P443" s="887"/>
      <c r="Q443" s="4717"/>
      <c r="R443" s="4717"/>
      <c r="S443" s="4717"/>
      <c r="T443" s="4717"/>
      <c r="U443" s="4717"/>
      <c r="V443" s="4717"/>
      <c r="W443" s="4717"/>
      <c r="X443" s="4717"/>
      <c r="Y443" s="4717"/>
      <c r="Z443" s="4717"/>
      <c r="AA443" s="4717"/>
    </row>
    <row r="444" spans="1:27" s="115" customFormat="1" ht="6.75" customHeight="1">
      <c r="A444" s="36"/>
      <c r="B444" s="50"/>
      <c r="C444" s="36"/>
      <c r="F444" s="33"/>
      <c r="G444" s="33"/>
      <c r="H444" s="51"/>
      <c r="I444" s="51"/>
      <c r="L444" s="36"/>
      <c r="N444" s="119"/>
      <c r="O444" s="119"/>
      <c r="P444" s="3"/>
      <c r="Q444" s="4717"/>
      <c r="R444" s="4717"/>
      <c r="S444" s="4717"/>
      <c r="T444" s="4717"/>
      <c r="U444" s="4717"/>
      <c r="V444" s="4717"/>
      <c r="W444" s="4717"/>
      <c r="X444" s="4717"/>
      <c r="Y444" s="4717"/>
      <c r="Z444" s="4717"/>
      <c r="AA444" s="4717"/>
    </row>
    <row r="445" spans="1:27" s="36" customFormat="1" ht="22.5" customHeight="1">
      <c r="A445" s="4522" t="s">
        <v>6698</v>
      </c>
      <c r="B445" s="4522"/>
      <c r="C445" s="4522"/>
      <c r="D445" s="4522"/>
      <c r="E445" s="4522"/>
      <c r="F445" s="4522"/>
      <c r="G445" s="4522"/>
      <c r="H445" s="4522"/>
      <c r="I445" s="4522"/>
      <c r="J445" s="4522"/>
      <c r="K445" s="4522"/>
      <c r="L445" s="4522"/>
      <c r="M445" s="4522"/>
      <c r="N445" s="4522"/>
      <c r="O445" s="4522"/>
      <c r="P445" s="4522"/>
      <c r="Q445" s="4717"/>
      <c r="R445" s="4717"/>
      <c r="S445" s="4717"/>
      <c r="T445" s="4717"/>
      <c r="U445" s="4717"/>
      <c r="V445" s="4717"/>
      <c r="W445" s="4717"/>
      <c r="X445" s="4717"/>
      <c r="Y445" s="4717"/>
      <c r="Z445" s="4717"/>
      <c r="AA445" s="4717"/>
    </row>
    <row r="446" spans="1:27" s="36" customFormat="1" ht="409.15" customHeight="1">
      <c r="A446" s="4208"/>
      <c r="B446" s="4209"/>
      <c r="C446" s="4209"/>
      <c r="D446" s="4209"/>
      <c r="E446" s="4209"/>
      <c r="F446" s="4209"/>
      <c r="G446" s="4209"/>
      <c r="H446" s="4209"/>
      <c r="I446" s="4209"/>
      <c r="J446" s="4209"/>
      <c r="K446" s="4209"/>
      <c r="L446" s="4209"/>
      <c r="M446" s="4209"/>
      <c r="N446" s="4209"/>
      <c r="O446" s="4209"/>
      <c r="P446" s="4210"/>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9" t="s">
        <v>1407</v>
      </c>
      <c r="H466" s="4519"/>
      <c r="I466" s="4519"/>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7" t="s">
        <v>2581</v>
      </c>
      <c r="B1" s="4727"/>
      <c r="C1" s="4727"/>
      <c r="D1" s="4727"/>
      <c r="E1" s="4727"/>
      <c r="F1" s="4727"/>
      <c r="G1" s="4727"/>
      <c r="H1" s="4727"/>
      <c r="I1" s="4727"/>
      <c r="J1" s="4727"/>
    </row>
    <row r="2" spans="1:16" ht="15.75">
      <c r="A2" s="4727" t="str">
        <f>'Sensitivity Analysis'!C8</f>
        <v>The Bridges at Lincom</v>
      </c>
      <c r="B2" s="4727"/>
      <c r="C2" s="4727"/>
      <c r="D2" s="4727"/>
      <c r="E2" s="4727"/>
      <c r="F2" s="4727"/>
      <c r="G2" s="4727"/>
      <c r="H2" s="4727"/>
      <c r="I2" s="4727"/>
      <c r="J2" s="4727"/>
    </row>
    <row r="3" spans="1:16" ht="15.75">
      <c r="A3" s="4727" t="str">
        <f>'Subsidy Layering Memo'!F14</f>
        <v>Hartwell, Hart</v>
      </c>
      <c r="B3" s="4727"/>
      <c r="C3" s="4727"/>
      <c r="D3" s="4727"/>
      <c r="E3" s="4727"/>
      <c r="F3" s="4727"/>
      <c r="G3" s="4727"/>
      <c r="H3" s="4727"/>
      <c r="I3" s="4727"/>
      <c r="J3" s="4727"/>
    </row>
    <row r="4" spans="1:16" ht="15.75">
      <c r="A4" s="4728" t="s">
        <v>2582</v>
      </c>
      <c r="B4" s="4727"/>
      <c r="C4" s="4727"/>
      <c r="D4" s="4727"/>
      <c r="E4" s="4727"/>
      <c r="F4" s="4727"/>
      <c r="G4" s="4727"/>
      <c r="H4" s="4727"/>
      <c r="I4" s="4727"/>
      <c r="J4" s="4727"/>
    </row>
    <row r="5" spans="1:16" ht="5.25" customHeight="1"/>
    <row r="6" spans="1:16" ht="5.25" customHeight="1"/>
    <row r="7" spans="1:16" ht="15.75">
      <c r="A7" s="4729" t="s">
        <v>2583</v>
      </c>
      <c r="B7" s="4729"/>
      <c r="C7" s="4730"/>
      <c r="M7" s="4731"/>
      <c r="N7" s="4731"/>
      <c r="O7" s="4731"/>
      <c r="P7" s="4731"/>
    </row>
    <row r="8" spans="1:16" ht="57" customHeight="1">
      <c r="A8" s="4732" t="s">
        <v>6151</v>
      </c>
      <c r="B8" s="4732"/>
      <c r="C8" s="4732"/>
      <c r="D8" s="4732"/>
      <c r="E8" s="4732"/>
      <c r="F8" s="4732"/>
      <c r="G8" s="4732"/>
      <c r="H8" s="4732"/>
      <c r="I8" s="4732"/>
      <c r="J8" s="4732"/>
      <c r="K8" s="508"/>
    </row>
    <row r="9" spans="1:16" ht="45.75" customHeight="1">
      <c r="A9" s="473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Hartwell, Hart County, Georgia, with the development of 54 units set aside for &lt;&lt; Select PROPOSED Tenancy &gt;&gt;.</v>
      </c>
      <c r="B9" s="4732"/>
      <c r="C9" s="4732"/>
      <c r="D9" s="4732"/>
      <c r="E9" s="4732"/>
      <c r="F9" s="4732"/>
      <c r="G9" s="4732"/>
      <c r="H9" s="4732"/>
      <c r="I9" s="4732"/>
      <c r="J9" s="4732"/>
      <c r="K9" s="508"/>
    </row>
    <row r="10" spans="1:16" ht="15.75">
      <c r="A10" s="509" t="s">
        <v>2584</v>
      </c>
    </row>
    <row r="11" spans="1:16" ht="16.5" customHeight="1">
      <c r="A11" s="4732" t="str">
        <f>'Subsidy Layering Memo'!A50</f>
        <v xml:space="preserve">Ownership entity:  (NAME) LP, a Georgia Limited Partnership, will be the ownership entity for the proposed project. </v>
      </c>
      <c r="B11" s="4734"/>
      <c r="C11" s="4734"/>
      <c r="D11" s="4734"/>
      <c r="E11" s="4734"/>
      <c r="F11" s="4734"/>
      <c r="G11" s="4734"/>
      <c r="H11" s="4734"/>
      <c r="I11" s="4734"/>
      <c r="J11" s="4732"/>
    </row>
    <row r="12" spans="1:16" ht="63.75" customHeight="1">
      <c r="A12" s="473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2"/>
      <c r="C12" s="4732"/>
      <c r="D12" s="4732"/>
      <c r="E12" s="4732"/>
      <c r="F12" s="4732"/>
      <c r="G12" s="4732"/>
      <c r="H12" s="4732"/>
      <c r="I12" s="4732"/>
      <c r="J12" s="4732"/>
    </row>
    <row r="13" spans="1:16" ht="48.75" customHeight="1">
      <c r="A13" s="473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2"/>
      <c r="C13" s="4732"/>
      <c r="D13" s="4732"/>
      <c r="E13" s="4732"/>
      <c r="F13" s="4732"/>
      <c r="G13" s="4732"/>
      <c r="H13" s="4732"/>
      <c r="I13" s="4732"/>
      <c r="J13" s="4732"/>
    </row>
    <row r="14" spans="1:16" ht="15.75">
      <c r="A14" s="509" t="s">
        <v>2585</v>
      </c>
      <c r="B14" s="510"/>
    </row>
    <row r="15" spans="1:16">
      <c r="A15" s="507" t="s">
        <v>2586</v>
      </c>
      <c r="D15" s="1020" t="s">
        <v>2587</v>
      </c>
    </row>
    <row r="16" spans="1:16">
      <c r="A16" s="507" t="s">
        <v>2588</v>
      </c>
      <c r="D16" s="1254">
        <f>'Sensitivity Analysis'!C25</f>
        <v>1068777</v>
      </c>
    </row>
    <row r="17" spans="1:11">
      <c r="A17" s="511" t="s">
        <v>2589</v>
      </c>
      <c r="D17" s="1255">
        <f>'Sensitivity Analysis'!C13</f>
        <v>54</v>
      </c>
    </row>
    <row r="18" spans="1:11" ht="14.25" customHeight="1"/>
    <row r="19" spans="1:11" ht="15.75">
      <c r="A19" s="509" t="s">
        <v>2590</v>
      </c>
      <c r="B19" s="510"/>
      <c r="C19" s="510"/>
    </row>
    <row r="20" spans="1:11" ht="48.75" customHeight="1">
      <c r="A20" s="473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5"/>
      <c r="C20" s="4735"/>
      <c r="D20" s="4735"/>
      <c r="E20" s="4735"/>
      <c r="F20" s="4735"/>
      <c r="G20" s="4735"/>
      <c r="H20" s="4735"/>
      <c r="I20" s="4735"/>
      <c r="J20" s="4735"/>
    </row>
    <row r="21" spans="1:11" ht="72.75" customHeight="1">
      <c r="A21" s="4732" t="str">
        <f>'Subsidy Layering Memo'!A67</f>
        <v xml:space="preserve"> will make a capital contribution totaling 9048591.26355 via the syndication of the 2021 Federal LIHTC allocation of 1101315 per annum. will make a capital contribution totaling 5708115.645 via the syndication of the 2021 State LIHTC allocation of 1101315 per annum.</v>
      </c>
      <c r="B21" s="4732"/>
      <c r="C21" s="4732"/>
      <c r="D21" s="4732"/>
      <c r="E21" s="4732"/>
      <c r="F21" s="4732"/>
      <c r="G21" s="4732"/>
      <c r="H21" s="4732"/>
      <c r="I21" s="4732"/>
      <c r="J21" s="4732"/>
    </row>
    <row r="22" spans="1:11" ht="43.5" customHeight="1">
      <c r="A22" s="4736" t="str">
        <f>'Subsidy Layering Memo'!A68</f>
        <v xml:space="preserve">The total equity price per credit will be 1.34 (0.83 Federal tax credit and 0.51 State tax credit) for a (X%) ownership interest of the Federal Credits and a (X%) ownership interest of the State Credits. </v>
      </c>
      <c r="B22" s="4736"/>
      <c r="C22" s="4736"/>
      <c r="D22" s="4736"/>
      <c r="E22" s="4736"/>
      <c r="F22" s="4736"/>
      <c r="G22" s="4736"/>
      <c r="H22" s="4736"/>
      <c r="I22" s="4736"/>
      <c r="J22" s="4736"/>
    </row>
    <row r="23" spans="1:11" ht="15.75">
      <c r="A23" s="509" t="s">
        <v>6152</v>
      </c>
      <c r="B23" s="510"/>
      <c r="C23" s="510"/>
      <c r="D23" s="510"/>
      <c r="E23" s="510"/>
      <c r="F23" s="510"/>
    </row>
    <row r="24" spans="1:11" ht="102.75" customHeight="1">
      <c r="A24" s="473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2"/>
      <c r="C24" s="4732"/>
      <c r="D24" s="4732"/>
      <c r="E24" s="4732"/>
      <c r="F24" s="4732"/>
      <c r="G24" s="4732"/>
      <c r="H24" s="4732"/>
      <c r="I24" s="4732"/>
      <c r="J24" s="4732"/>
    </row>
    <row r="25" spans="1:11" ht="15" customHeight="1">
      <c r="A25" s="4733"/>
      <c r="B25" s="4733"/>
      <c r="C25" s="4733"/>
      <c r="D25" s="4733"/>
      <c r="E25" s="4733"/>
      <c r="F25" s="4733"/>
      <c r="G25" s="4733"/>
      <c r="H25" s="4733"/>
      <c r="I25" s="4733"/>
      <c r="J25" s="4733"/>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O28" sqref="O28:P28"/>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31" t="str">
        <f>CONCATENATE("PART ONE - PROJECT INFORMATION"," - ",$O$7," ",$F$25,", ",'Part I-Project Identification'!F26,", ",'Part I-Project Identification'!J26," County")</f>
        <v>PART ONE - PROJECT INFORMATION - 2023-0 The Bridges at Lincom, Hartwell, Hart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6745</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7034</v>
      </c>
      <c r="B6" s="3046"/>
      <c r="C6" s="3046"/>
      <c r="D6" s="3046"/>
      <c r="F6" s="242"/>
      <c r="G6" s="224" t="s">
        <v>3823</v>
      </c>
      <c r="L6" s="375"/>
      <c r="P6" s="1788" t="s">
        <v>3289</v>
      </c>
      <c r="Z6" s="1706">
        <v>6</v>
      </c>
    </row>
    <row r="7" spans="1:26" s="144" customFormat="1" ht="12" customHeight="1" thickBot="1">
      <c r="A7" s="3046"/>
      <c r="B7" s="3046"/>
      <c r="C7" s="3046"/>
      <c r="D7" s="3046"/>
      <c r="E7" s="999"/>
      <c r="F7" s="244"/>
      <c r="G7" s="224" t="s">
        <v>6083</v>
      </c>
      <c r="H7" s="248"/>
      <c r="I7" s="248"/>
      <c r="J7" s="248"/>
      <c r="O7" s="3034" t="s">
        <v>6911</v>
      </c>
      <c r="P7" s="3035"/>
      <c r="Q7" s="3048" t="s">
        <v>6634</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3266</v>
      </c>
      <c r="I10" s="3036">
        <f>'Part III-A-Uses of Funds'!$J$191</f>
        <v>1101315</v>
      </c>
      <c r="J10" s="3037"/>
      <c r="L10" s="144" t="s">
        <v>3267</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7082</v>
      </c>
      <c r="G12" s="3041"/>
      <c r="H12" s="3042"/>
      <c r="I12" s="1789" t="s">
        <v>6517</v>
      </c>
      <c r="J12" s="393" t="s">
        <v>6943</v>
      </c>
      <c r="K12" s="243"/>
      <c r="L12" s="248"/>
      <c r="O12" s="3043" t="s">
        <v>7103</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3672</v>
      </c>
      <c r="D14" s="246"/>
      <c r="E14" s="245"/>
      <c r="G14" s="245"/>
      <c r="H14" s="245"/>
      <c r="I14" s="751" t="s">
        <v>3294</v>
      </c>
      <c r="L14" s="247"/>
      <c r="Q14" s="3050"/>
      <c r="R14" s="3051"/>
      <c r="S14" s="3052"/>
      <c r="Z14" s="1706">
        <v>14</v>
      </c>
    </row>
    <row r="15" spans="1:26" s="144" customFormat="1">
      <c r="B15" s="144" t="s">
        <v>3295</v>
      </c>
      <c r="F15" s="3016" t="s">
        <v>7083</v>
      </c>
      <c r="G15" s="3017"/>
      <c r="H15" s="3018"/>
      <c r="I15" s="2444" t="s">
        <v>1670</v>
      </c>
      <c r="J15" s="3019" t="s">
        <v>7084</v>
      </c>
      <c r="K15" s="3020"/>
      <c r="L15" s="3021"/>
      <c r="M15" s="1898" t="s">
        <v>1839</v>
      </c>
      <c r="N15" s="3016" t="s">
        <v>7085</v>
      </c>
      <c r="O15" s="3017"/>
      <c r="P15" s="3018"/>
      <c r="Q15" s="3050"/>
      <c r="R15" s="3051"/>
      <c r="S15" s="3052"/>
      <c r="Z15" s="1706">
        <v>15</v>
      </c>
    </row>
    <row r="16" spans="1:26" s="144" customFormat="1" ht="12.75" customHeight="1">
      <c r="B16" s="246" t="s">
        <v>1599</v>
      </c>
      <c r="F16" s="3013">
        <v>2057229331</v>
      </c>
      <c r="G16" s="3014"/>
      <c r="H16" s="3015"/>
      <c r="I16" s="2445" t="s">
        <v>1598</v>
      </c>
      <c r="J16" s="823"/>
      <c r="M16" s="246" t="s">
        <v>1600</v>
      </c>
      <c r="N16" s="3013">
        <v>2057229331</v>
      </c>
      <c r="O16" s="3014"/>
      <c r="P16" s="3015"/>
      <c r="Q16" s="3050"/>
      <c r="R16" s="3051"/>
      <c r="S16" s="3052"/>
      <c r="V16" s="751"/>
      <c r="W16" s="751"/>
      <c r="X16" s="751"/>
      <c r="Z16" s="1706">
        <v>18</v>
      </c>
    </row>
    <row r="17" spans="1:26" s="144" customFormat="1">
      <c r="B17" s="246" t="s">
        <v>1842</v>
      </c>
      <c r="F17" s="3022" t="s">
        <v>7086</v>
      </c>
      <c r="G17" s="3023"/>
      <c r="H17" s="3023"/>
      <c r="I17" s="3020"/>
      <c r="J17" s="3023"/>
      <c r="K17" s="3020"/>
      <c r="L17" s="3021"/>
      <c r="M17" s="246" t="s">
        <v>1838</v>
      </c>
      <c r="N17" s="3024">
        <v>2053948000</v>
      </c>
      <c r="O17" s="3025"/>
      <c r="P17" s="3026"/>
      <c r="Q17" s="3050"/>
      <c r="R17" s="3051"/>
      <c r="S17" s="3052"/>
      <c r="U17" s="751"/>
      <c r="V17" s="751"/>
      <c r="W17" s="751"/>
      <c r="X17" s="751"/>
      <c r="Z17" s="1706">
        <v>19</v>
      </c>
    </row>
    <row r="18" spans="1:26" s="144" customFormat="1">
      <c r="A18" s="375"/>
      <c r="B18" s="243" t="s">
        <v>3671</v>
      </c>
      <c r="C18" s="145"/>
      <c r="H18" s="248"/>
      <c r="J18" s="145"/>
      <c r="P18" s="248"/>
      <c r="Q18" s="3050"/>
      <c r="R18" s="3051"/>
      <c r="S18" s="3052"/>
      <c r="Z18" s="1706">
        <v>20</v>
      </c>
    </row>
    <row r="19" spans="1:26" s="144" customFormat="1">
      <c r="B19" s="144" t="s">
        <v>3295</v>
      </c>
      <c r="F19" s="3016" t="s">
        <v>7035</v>
      </c>
      <c r="G19" s="3017"/>
      <c r="H19" s="3018"/>
      <c r="I19" s="2444" t="s">
        <v>1670</v>
      </c>
      <c r="J19" s="3019" t="s">
        <v>7036</v>
      </c>
      <c r="K19" s="3020"/>
      <c r="L19" s="3021"/>
      <c r="M19" s="1898" t="s">
        <v>1839</v>
      </c>
      <c r="N19" s="3016" t="s">
        <v>7087</v>
      </c>
      <c r="O19" s="3017"/>
      <c r="P19" s="3018"/>
      <c r="Q19" s="3050"/>
      <c r="R19" s="3051"/>
      <c r="S19" s="3052"/>
      <c r="Z19" s="1706">
        <v>21</v>
      </c>
    </row>
    <row r="20" spans="1:26" s="144" customFormat="1">
      <c r="B20" s="246" t="s">
        <v>1599</v>
      </c>
      <c r="F20" s="3013">
        <v>2564174920</v>
      </c>
      <c r="G20" s="3014"/>
      <c r="H20" s="3015"/>
      <c r="I20" s="2445" t="s">
        <v>1598</v>
      </c>
      <c r="J20" s="823">
        <v>288</v>
      </c>
      <c r="M20" s="246" t="s">
        <v>1600</v>
      </c>
      <c r="N20" s="3013">
        <v>4234132650</v>
      </c>
      <c r="O20" s="3014"/>
      <c r="P20" s="3015"/>
      <c r="Q20" s="3050"/>
      <c r="R20" s="3051"/>
      <c r="S20" s="3052"/>
      <c r="U20" s="230"/>
      <c r="V20" s="230"/>
      <c r="W20" s="230"/>
      <c r="X20" s="230"/>
      <c r="Z20" s="1706">
        <v>24</v>
      </c>
    </row>
    <row r="21" spans="1:26" s="144" customFormat="1">
      <c r="B21" s="246" t="s">
        <v>1842</v>
      </c>
      <c r="F21" s="3022" t="s">
        <v>7037</v>
      </c>
      <c r="G21" s="3023"/>
      <c r="H21" s="3023"/>
      <c r="I21" s="3020"/>
      <c r="J21" s="3023"/>
      <c r="K21" s="3020"/>
      <c r="L21" s="3021"/>
      <c r="M21" s="246" t="s">
        <v>1838</v>
      </c>
      <c r="N21" s="3024">
        <v>4234132650</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7088</v>
      </c>
      <c r="G25" s="3027"/>
      <c r="H25" s="3027"/>
      <c r="I25" s="3020"/>
      <c r="J25" s="3027"/>
      <c r="K25" s="3028"/>
      <c r="M25" s="246" t="s">
        <v>425</v>
      </c>
      <c r="P25" s="1899" t="s">
        <v>2652</v>
      </c>
      <c r="Q25" s="3050"/>
      <c r="R25" s="3051"/>
      <c r="S25" s="3052"/>
      <c r="Z25" s="1706">
        <v>29</v>
      </c>
    </row>
    <row r="26" spans="1:26" s="144" customFormat="1">
      <c r="A26" s="375"/>
      <c r="B26" s="144" t="s">
        <v>575</v>
      </c>
      <c r="F26" s="3058" t="s">
        <v>809</v>
      </c>
      <c r="G26" s="3071"/>
      <c r="H26" s="3072"/>
      <c r="I26" s="257" t="s">
        <v>576</v>
      </c>
      <c r="J26" s="3029" t="str">
        <f>IF(F26="","",VLOOKUP(F26,'DCA Underwriting Assumptions'!$T$141:$U$770,2,FALSE))</f>
        <v>Hart</v>
      </c>
      <c r="K26" s="3030"/>
      <c r="M26" s="246" t="s">
        <v>426</v>
      </c>
      <c r="P26" s="1956" t="s">
        <v>2649</v>
      </c>
      <c r="Q26" s="3050"/>
      <c r="R26" s="3051"/>
      <c r="S26" s="3052"/>
      <c r="U26" s="375"/>
      <c r="Z26" s="1706">
        <v>30</v>
      </c>
    </row>
    <row r="27" spans="1:26" s="144" customFormat="1" ht="13.5">
      <c r="A27" s="375"/>
      <c r="B27" s="144" t="s">
        <v>3906</v>
      </c>
      <c r="C27" s="251"/>
      <c r="D27" s="252"/>
      <c r="E27" s="252"/>
      <c r="F27" s="3058" t="s">
        <v>7038</v>
      </c>
      <c r="G27" s="3059"/>
      <c r="H27" s="3060"/>
      <c r="I27" s="248"/>
      <c r="J27" s="392" t="s">
        <v>6723</v>
      </c>
      <c r="K27" s="248"/>
      <c r="M27" s="246" t="s">
        <v>6666</v>
      </c>
      <c r="O27" s="3011">
        <v>5.726</v>
      </c>
      <c r="P27" s="3012"/>
      <c r="Q27" s="3050"/>
      <c r="R27" s="3051"/>
      <c r="S27" s="3052"/>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29" t="str">
        <f>IF($F$26="","",VLOOKUP($J$26,'DCA Underwriting Assumptions'!$G$141:$L$300,3,FALSE))</f>
        <v>Hart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6653</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6652</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3932</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7089</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The Bridges at Lincom</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8"/>
      <c r="J7" s="4738"/>
      <c r="K7" s="4738"/>
      <c r="L7" s="567"/>
      <c r="M7" s="507"/>
    </row>
    <row r="8" spans="1:14" ht="15.75">
      <c r="A8" s="576" t="s">
        <v>2647</v>
      </c>
      <c r="B8" s="576"/>
      <c r="C8" s="4738" t="str">
        <f>'Part I-Project Identification'!$F$25</f>
        <v>The Bridges at Lincom</v>
      </c>
      <c r="D8" s="4738"/>
      <c r="E8" s="1978" t="str">
        <f>'Part I-Project Identification'!$O$7</f>
        <v>2023-0</v>
      </c>
      <c r="F8" s="576" t="s">
        <v>2648</v>
      </c>
      <c r="G8" s="567"/>
      <c r="H8" s="4738" t="str">
        <f>CONCATENATE('Part I-Project Identification'!$F$26,", ",'Part I-Project Identification'!$J$26)</f>
        <v>Hartwell, Hart</v>
      </c>
      <c r="I8" s="4738"/>
      <c r="J8" s="4738"/>
      <c r="K8" s="4738"/>
      <c r="L8" s="567"/>
      <c r="M8" s="545"/>
    </row>
    <row r="9" spans="1:14" ht="15.75">
      <c r="A9" s="576" t="s">
        <v>2650</v>
      </c>
      <c r="B9" s="576"/>
      <c r="C9" s="4738" t="s">
        <v>1646</v>
      </c>
      <c r="D9" s="4738"/>
      <c r="E9" s="567"/>
      <c r="F9" s="576" t="s">
        <v>2651</v>
      </c>
      <c r="G9" s="567"/>
      <c r="H9" s="4739"/>
      <c r="I9" s="4739"/>
      <c r="J9" s="4739"/>
      <c r="K9" s="4739"/>
      <c r="L9" s="4739"/>
      <c r="M9" s="545"/>
    </row>
    <row r="10" spans="1:14" ht="15.75">
      <c r="A10" s="576" t="s">
        <v>2653</v>
      </c>
      <c r="B10" s="567"/>
      <c r="C10" s="4740"/>
      <c r="D10" s="4740"/>
      <c r="E10" s="567"/>
      <c r="F10" s="576" t="s">
        <v>3131</v>
      </c>
      <c r="G10" s="567"/>
      <c r="H10" s="4737"/>
      <c r="I10" s="4737"/>
      <c r="J10" s="4737"/>
      <c r="K10" s="4737"/>
      <c r="L10" s="4737"/>
    </row>
    <row r="11" spans="1:14" ht="15.75">
      <c r="A11" s="576" t="s">
        <v>2654</v>
      </c>
      <c r="B11" s="567"/>
      <c r="C11" s="4741"/>
      <c r="D11" s="4741"/>
      <c r="E11" s="1992"/>
      <c r="F11" s="576" t="s">
        <v>606</v>
      </c>
      <c r="G11" s="567"/>
      <c r="H11" s="4737"/>
      <c r="I11" s="4737"/>
      <c r="J11" s="4737"/>
      <c r="K11" s="4737"/>
      <c r="L11" s="4737"/>
      <c r="M11" s="4742"/>
      <c r="N11" s="4743"/>
    </row>
    <row r="12" spans="1:14" ht="15.75">
      <c r="A12" s="576" t="s">
        <v>2655</v>
      </c>
      <c r="B12" s="567"/>
      <c r="C12" s="4741"/>
      <c r="D12" s="4741"/>
      <c r="E12" s="567"/>
      <c r="F12" s="576" t="s">
        <v>2656</v>
      </c>
      <c r="G12" s="567"/>
      <c r="H12" s="4741"/>
      <c r="I12" s="4741"/>
      <c r="J12" s="4741"/>
      <c r="K12" s="4741"/>
      <c r="L12" s="4741"/>
      <c r="M12" s="507"/>
    </row>
    <row r="13" spans="1:14" ht="15.75">
      <c r="A13" s="576" t="s">
        <v>2657</v>
      </c>
      <c r="B13" s="576"/>
      <c r="C13" s="1979">
        <f>'Part V-Revenues &amp; Expenses'!$P$67</f>
        <v>54</v>
      </c>
      <c r="D13" s="26"/>
      <c r="E13" s="1980">
        <f>'Part V-Revenues &amp; Expenses'!$P$63</f>
        <v>54</v>
      </c>
      <c r="F13" s="576" t="s">
        <v>3451</v>
      </c>
      <c r="G13" s="567"/>
      <c r="H13" s="1990"/>
      <c r="I13" s="1982"/>
      <c r="J13" s="1982"/>
      <c r="K13" s="1981">
        <f>'Part V-Revenues &amp; Expenses'!$K$175</f>
        <v>66302</v>
      </c>
      <c r="L13" s="567"/>
      <c r="M13" s="507"/>
    </row>
    <row r="14" spans="1:14" ht="15.75">
      <c r="A14" s="576" t="s">
        <v>2949</v>
      </c>
      <c r="B14" s="567"/>
      <c r="C14" s="1981" t="str">
        <f>'Part VII-Threshold Criteria OLD'!J35</f>
        <v>&lt;&lt; Select PROPOSED Tenancy &gt;&gt;</v>
      </c>
      <c r="D14" s="4738" t="str">
        <f>IF('Part VII-Threshold Criteria OLD'!$N$35=0,"",'Part VII-Threshold Criteria OLD'!$N$35)</f>
        <v/>
      </c>
      <c r="E14" s="4738"/>
      <c r="F14" s="576" t="s">
        <v>2658</v>
      </c>
      <c r="G14" s="567"/>
      <c r="H14" s="4744" t="s">
        <v>3099</v>
      </c>
      <c r="I14" s="4744"/>
      <c r="J14" s="4744"/>
      <c r="K14" s="4744" t="s">
        <v>3099</v>
      </c>
      <c r="L14" s="4744"/>
      <c r="M14" s="507"/>
    </row>
    <row r="15" spans="1:14" ht="15.75">
      <c r="A15" s="576" t="s">
        <v>2659</v>
      </c>
      <c r="B15" s="567"/>
      <c r="C15" s="1983" t="s">
        <v>1646</v>
      </c>
      <c r="D15" s="567"/>
      <c r="E15" s="567"/>
      <c r="F15" s="576" t="s">
        <v>2950</v>
      </c>
      <c r="G15" s="567"/>
      <c r="H15" s="1978" t="str">
        <f>'Part I-Project Identification'!K28</f>
        <v>Rural</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15826399</v>
      </c>
      <c r="D18" s="1986">
        <f>IF(C18=0,"",$C$29/C18)</f>
        <v>6.7531281120866468E-2</v>
      </c>
      <c r="E18" s="567" t="s">
        <v>2953</v>
      </c>
      <c r="F18" s="576" t="s">
        <v>6749</v>
      </c>
      <c r="G18" s="567"/>
      <c r="H18" s="4745">
        <f>'Part III-A-Uses of Funds'!$C$49</f>
        <v>10872910</v>
      </c>
      <c r="I18" s="4745"/>
      <c r="J18" s="1987">
        <f>IF(H18=0,"",$C$29/H18)</f>
        <v>9.8297235974545913E-2</v>
      </c>
      <c r="K18" s="4738" t="s">
        <v>2955</v>
      </c>
      <c r="L18" s="4738"/>
      <c r="M18" s="507"/>
    </row>
    <row r="19" spans="1:13" ht="15.75">
      <c r="A19" s="576" t="s">
        <v>2660</v>
      </c>
      <c r="B19" s="567"/>
      <c r="C19" s="1988">
        <f>C18/C13</f>
        <v>293081.46296296298</v>
      </c>
      <c r="D19" s="567"/>
      <c r="E19" s="567"/>
      <c r="F19" s="576" t="s">
        <v>2660</v>
      </c>
      <c r="G19" s="567"/>
      <c r="H19" s="4746">
        <f>H18/C13</f>
        <v>201350.1851851852</v>
      </c>
      <c r="I19" s="4746"/>
      <c r="J19" s="567"/>
      <c r="K19" s="567"/>
      <c r="L19" s="567"/>
      <c r="M19" s="507"/>
    </row>
    <row r="20" spans="1:13" ht="15.75">
      <c r="A20" s="576" t="s">
        <v>2661</v>
      </c>
      <c r="B20" s="567"/>
      <c r="C20" s="1978">
        <f>C18/K13</f>
        <v>238.70168320714308</v>
      </c>
      <c r="D20" s="1989"/>
      <c r="E20" s="1989"/>
      <c r="F20" s="576" t="s">
        <v>2661</v>
      </c>
      <c r="G20" s="567"/>
      <c r="H20" s="4738">
        <f>H18/K13</f>
        <v>163.99067901420773</v>
      </c>
      <c r="I20" s="4746"/>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TBD - United Bank</v>
      </c>
      <c r="C25" s="553">
        <f>'Part II-Sources of Funds'!I40</f>
        <v>1068777</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1068777</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14756706.908549998</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1068777</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6.7531281120866468E-2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9.8297235974545913E-2</v>
      </c>
      <c r="D40" s="507"/>
      <c r="E40" s="507"/>
      <c r="F40" s="510"/>
      <c r="G40" s="510" t="s">
        <v>2681</v>
      </c>
      <c r="H40" s="507"/>
      <c r="I40" s="507"/>
      <c r="K40" s="555">
        <f>C30/C18</f>
        <v>0.93241089830668356</v>
      </c>
      <c r="L40" s="507"/>
      <c r="M40" s="507"/>
    </row>
    <row r="46" spans="1:13" ht="15.75">
      <c r="A46" s="550" t="s">
        <v>2682</v>
      </c>
      <c r="B46" s="540"/>
      <c r="C46" s="540"/>
      <c r="D46" s="540"/>
      <c r="E46" s="540"/>
      <c r="F46" s="540"/>
      <c r="G46" s="540"/>
      <c r="H46" s="540"/>
      <c r="I46" s="540"/>
      <c r="J46" s="540"/>
      <c r="K46" s="540"/>
      <c r="L46" s="540"/>
      <c r="M46" s="507"/>
    </row>
    <row r="47" spans="1:13" ht="15.75">
      <c r="A47" s="550" t="str">
        <f>C8</f>
        <v>The Bridges at Lincom</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7" t="s">
        <v>2685</v>
      </c>
      <c r="L50" s="4748"/>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409800</v>
      </c>
      <c r="D52" s="568"/>
      <c r="E52" s="568">
        <f>$C$52</f>
        <v>409800</v>
      </c>
      <c r="F52" s="568"/>
      <c r="G52" s="568">
        <f>$C$52</f>
        <v>409800</v>
      </c>
      <c r="H52" s="568"/>
      <c r="I52" s="568">
        <f>$C$52</f>
        <v>409800</v>
      </c>
      <c r="J52" s="568"/>
      <c r="K52" s="568">
        <f>$C$52</f>
        <v>409800</v>
      </c>
      <c r="L52" s="569"/>
      <c r="M52"/>
      <c r="N52"/>
    </row>
    <row r="53" spans="1:14" s="507" customFormat="1" ht="18.75" customHeight="1">
      <c r="B53" s="567" t="s">
        <v>2689</v>
      </c>
      <c r="C53" s="568">
        <f>'Part VI-Pro Forma'!B16</f>
        <v>8196</v>
      </c>
      <c r="D53" s="568"/>
      <c r="E53" s="568">
        <f>$C$53</f>
        <v>8196</v>
      </c>
      <c r="F53" s="568"/>
      <c r="G53" s="568">
        <f>$C$53</f>
        <v>8196</v>
      </c>
      <c r="H53" s="568"/>
      <c r="I53" s="568">
        <f>$C$53</f>
        <v>8196</v>
      </c>
      <c r="J53" s="568"/>
      <c r="K53" s="568">
        <f>$C$53</f>
        <v>8196</v>
      </c>
      <c r="L53" s="569"/>
      <c r="M53"/>
      <c r="N53"/>
    </row>
    <row r="54" spans="1:14" s="507" customFormat="1" ht="18.75" customHeight="1">
      <c r="B54" s="567" t="s">
        <v>2687</v>
      </c>
      <c r="C54" s="568">
        <f>'Part VI-Pro Forma'!B17</f>
        <v>-29259.72</v>
      </c>
      <c r="D54" s="568"/>
      <c r="E54" s="568">
        <f>-($C$52+E53)*F50</f>
        <v>-41799.600000000006</v>
      </c>
      <c r="F54" s="570"/>
      <c r="G54" s="568">
        <f>-($C$52+G53)*0.07</f>
        <v>-29259.72</v>
      </c>
      <c r="H54" s="568"/>
      <c r="I54" s="568">
        <f>-($C$52+I53)*0.07</f>
        <v>-29259.72</v>
      </c>
      <c r="J54" s="568"/>
      <c r="K54" s="568">
        <f>-($C$52+K53)*L54</f>
        <v>-41799.600000000006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388736.28</v>
      </c>
      <c r="D56" s="568"/>
      <c r="E56" s="574">
        <f>SUM(E52:E55)</f>
        <v>376196.4</v>
      </c>
      <c r="F56" s="568"/>
      <c r="G56" s="574">
        <f>SUM(G52:G55)</f>
        <v>388736.28</v>
      </c>
      <c r="H56" s="568"/>
      <c r="I56" s="574">
        <f>SUM(I52:I55)</f>
        <v>388736.28</v>
      </c>
      <c r="J56" s="568"/>
      <c r="K56" s="574">
        <f>SUM(K52:K55)</f>
        <v>376196.4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4428</v>
      </c>
      <c r="D58" s="568"/>
      <c r="E58" s="568">
        <f>$C$58</f>
        <v>4428</v>
      </c>
      <c r="F58" s="568"/>
      <c r="G58" s="568">
        <f>$C$58</f>
        <v>4428</v>
      </c>
      <c r="H58" s="568"/>
      <c r="I58" s="568">
        <f>$C$58</f>
        <v>4428</v>
      </c>
      <c r="J58" s="568"/>
      <c r="K58" s="568">
        <f>$C$58</f>
        <v>4428</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1296</v>
      </c>
      <c r="D60" s="568"/>
      <c r="E60" s="568">
        <f>$C$60</f>
        <v>1296</v>
      </c>
      <c r="F60" s="568"/>
      <c r="G60" s="568">
        <f>$C$60</f>
        <v>1296</v>
      </c>
      <c r="H60" s="568"/>
      <c r="I60" s="568">
        <f>$C$60*(1+$J$50)</f>
        <v>1334.88</v>
      </c>
      <c r="J60" s="570"/>
      <c r="K60" s="568">
        <f>$C$60*(1+$J$50)</f>
        <v>1334.88</v>
      </c>
      <c r="L60" s="571">
        <v>0.03</v>
      </c>
      <c r="M60"/>
      <c r="N60"/>
    </row>
    <row r="61" spans="1:14" s="507" customFormat="1" ht="18.75" customHeight="1">
      <c r="B61" s="567" t="s">
        <v>1298</v>
      </c>
      <c r="C61" s="568">
        <f>+'Part V-Revenues &amp; Expenses'!L244</f>
        <v>38610</v>
      </c>
      <c r="D61" s="568"/>
      <c r="E61" s="568">
        <f>$C$61</f>
        <v>38610</v>
      </c>
      <c r="F61" s="568"/>
      <c r="G61" s="568">
        <f>$C$61*(1+H50)</f>
        <v>40540.5</v>
      </c>
      <c r="H61" s="570"/>
      <c r="I61" s="568">
        <f>$C$61</f>
        <v>38610</v>
      </c>
      <c r="J61" s="568"/>
      <c r="K61" s="568">
        <f>$C$61*(1+$L$61)</f>
        <v>40540.5</v>
      </c>
      <c r="L61" s="571">
        <v>0.05</v>
      </c>
      <c r="M61"/>
      <c r="N61"/>
    </row>
    <row r="62" spans="1:14" s="507" customFormat="1" ht="18.75" customHeight="1">
      <c r="B62" s="573" t="s">
        <v>2693</v>
      </c>
      <c r="C62" s="574">
        <f>SUM(C58:C61)</f>
        <v>44334</v>
      </c>
      <c r="D62" s="568"/>
      <c r="E62" s="574">
        <f>SUM(E58:E61)</f>
        <v>44334</v>
      </c>
      <c r="F62" s="568"/>
      <c r="G62" s="574">
        <f>SUM(G58:G61)</f>
        <v>46264.5</v>
      </c>
      <c r="H62" s="568"/>
      <c r="I62" s="574">
        <f>SUM(I58:I61)</f>
        <v>44372.88</v>
      </c>
      <c r="J62" s="568"/>
      <c r="K62" s="574">
        <f>SUM(K58:K61)</f>
        <v>46303.38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344402.28</v>
      </c>
      <c r="D64" s="577"/>
      <c r="E64" s="577">
        <f>E56-E62</f>
        <v>331862.40000000002</v>
      </c>
      <c r="F64" s="577"/>
      <c r="G64" s="577">
        <f>G56-G62</f>
        <v>342471.78</v>
      </c>
      <c r="H64" s="577"/>
      <c r="I64" s="577">
        <f>I56-I62</f>
        <v>344363.4</v>
      </c>
      <c r="J64" s="577"/>
      <c r="K64" s="577">
        <f>K56-K62</f>
        <v>329893.02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344402.28</v>
      </c>
      <c r="D70" s="577"/>
      <c r="E70" s="580">
        <f>E64-E66-E68</f>
        <v>331862.40000000002</v>
      </c>
      <c r="F70" s="577"/>
      <c r="G70" s="580">
        <f>G64-G66-G68</f>
        <v>342471.78</v>
      </c>
      <c r="H70" s="577"/>
      <c r="I70" s="580">
        <f>I64-I66-I68</f>
        <v>344363.4</v>
      </c>
      <c r="J70" s="577"/>
      <c r="K70" s="580">
        <f>K64-K66-K68</f>
        <v>329893.02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3.1515518544893122</v>
      </c>
      <c r="D72" s="581"/>
      <c r="E72" s="1004">
        <f>-E70/E75</f>
        <v>3.0368020855009261</v>
      </c>
      <c r="F72" s="581"/>
      <c r="G72" s="1004">
        <f>-G70/G75</f>
        <v>3.1338862604778801</v>
      </c>
      <c r="H72" s="581"/>
      <c r="I72" s="1004">
        <f>-I70/I75</f>
        <v>3.1511960718966345</v>
      </c>
      <c r="J72" s="581"/>
      <c r="K72" s="1004">
        <f>-K70/K75</f>
        <v>3.0187807088968159</v>
      </c>
      <c r="L72" s="4"/>
      <c r="M72" s="10"/>
      <c r="N72" s="10"/>
    </row>
    <row r="73" spans="1:14" s="507" customFormat="1" ht="18.75" customHeight="1">
      <c r="A73"/>
      <c r="B73" s="567" t="s">
        <v>2699</v>
      </c>
      <c r="C73" s="1005">
        <f>C76/C62</f>
        <v>5.3034253620246314</v>
      </c>
      <c r="D73" s="582"/>
      <c r="E73" s="1005">
        <f>E76/E62</f>
        <v>5.0205751793206126</v>
      </c>
      <c r="F73" s="582"/>
      <c r="G73" s="1005">
        <f>G76/G62</f>
        <v>5.040399442336998</v>
      </c>
      <c r="H73" s="582"/>
      <c r="I73" s="1005">
        <f>I76/I62</f>
        <v>5.2979022321742475</v>
      </c>
      <c r="J73" s="582"/>
      <c r="K73" s="1005">
        <f>K76/K62</f>
        <v>4.7645074722406884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-109280.22</v>
      </c>
      <c r="D75" s="568"/>
      <c r="E75" s="568">
        <f>$C$75</f>
        <v>-109280.22</v>
      </c>
      <c r="F75" s="568"/>
      <c r="G75" s="568">
        <f>$C$75</f>
        <v>-109280.22</v>
      </c>
      <c r="H75" s="568"/>
      <c r="I75" s="568">
        <f>$C$75</f>
        <v>-109280.22</v>
      </c>
      <c r="J75" s="568"/>
      <c r="K75" s="568">
        <f>$C$75</f>
        <v>-109280.22</v>
      </c>
      <c r="L75" s="26"/>
      <c r="M75"/>
      <c r="N75"/>
    </row>
    <row r="76" spans="1:14" s="507" customFormat="1" ht="18.75" customHeight="1">
      <c r="A76"/>
      <c r="B76" s="567" t="s">
        <v>1096</v>
      </c>
      <c r="C76" s="568">
        <f>C70+C75</f>
        <v>235122.06000000003</v>
      </c>
      <c r="D76" s="568"/>
      <c r="E76" s="568">
        <f>E70+E75</f>
        <v>222582.18000000002</v>
      </c>
      <c r="F76" s="568"/>
      <c r="G76" s="568">
        <f>G70+G75</f>
        <v>233191.56000000003</v>
      </c>
      <c r="H76" s="568"/>
      <c r="I76" s="568">
        <f>I70+I75</f>
        <v>235083.18000000002</v>
      </c>
      <c r="J76" s="568"/>
      <c r="K76" s="568">
        <f>K70+K75</f>
        <v>220612.80000000002</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The Bridges at Lincom</v>
      </c>
    </row>
    <row r="13" spans="1:10" ht="15">
      <c r="A13" s="517"/>
      <c r="D13" s="516" t="s">
        <v>2604</v>
      </c>
      <c r="F13" s="1024" t="str">
        <f>'Sensitivity Analysis'!E8</f>
        <v>2023-0</v>
      </c>
    </row>
    <row r="14" spans="1:10" ht="15">
      <c r="A14" s="517"/>
      <c r="D14" s="516" t="s">
        <v>2605</v>
      </c>
      <c r="F14" s="1024" t="str">
        <f>'Sensitivity Analysis'!H8</f>
        <v>Hartwell, Hart</v>
      </c>
    </row>
    <row r="15" spans="1:10" ht="15">
      <c r="A15" s="517"/>
      <c r="D15" s="516" t="s">
        <v>2946</v>
      </c>
      <c r="F15" s="4758">
        <f>'Sensitivity Analysis'!$C$25</f>
        <v>1068777</v>
      </c>
      <c r="G15" s="4758"/>
      <c r="H15" s="4758"/>
    </row>
    <row r="16" spans="1:10" ht="15">
      <c r="A16" s="517"/>
      <c r="D16" s="519" t="s">
        <v>2606</v>
      </c>
      <c r="F16" s="520">
        <f>'Sensitivity Analysis'!C13</f>
        <v>54</v>
      </c>
      <c r="G16" s="521" t="s">
        <v>2947</v>
      </c>
      <c r="H16" s="972">
        <f>'Sensitivity Analysis'!E13</f>
        <v>54</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6154</v>
      </c>
    </row>
    <row r="22" spans="1:18" ht="111.75" customHeight="1">
      <c r="A22" s="4750" t="s">
        <v>3098</v>
      </c>
      <c r="B22" s="4750"/>
      <c r="C22" s="4750"/>
      <c r="D22" s="4750"/>
      <c r="E22" s="4750"/>
      <c r="F22" s="4750"/>
      <c r="G22" s="4750"/>
      <c r="H22" s="4750"/>
      <c r="I22" s="4750"/>
      <c r="J22" s="4750"/>
      <c r="K22" s="4749" t="s">
        <v>3897</v>
      </c>
      <c r="L22" s="4749"/>
      <c r="M22" s="4749"/>
      <c r="N22" s="4749"/>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1"/>
      <c r="B24" s="4751"/>
      <c r="C24" s="4751"/>
      <c r="D24" s="4751"/>
      <c r="E24" s="4751"/>
      <c r="F24" s="4751"/>
      <c r="G24" s="4751"/>
      <c r="H24" s="4751"/>
      <c r="I24" s="4751"/>
      <c r="J24" s="4751"/>
    </row>
    <row r="25" spans="1:18" ht="10.5" hidden="1" customHeight="1">
      <c r="A25" s="4736"/>
      <c r="B25" s="4736"/>
      <c r="C25" s="4736"/>
      <c r="D25" s="4736"/>
      <c r="E25" s="4736"/>
      <c r="F25" s="4736"/>
      <c r="G25" s="4736"/>
      <c r="H25" s="4736"/>
      <c r="I25" s="4736"/>
      <c r="J25" s="4736"/>
    </row>
    <row r="26" spans="1:18" ht="15">
      <c r="A26" s="522" t="s">
        <v>6153</v>
      </c>
    </row>
    <row r="27" spans="1:18" ht="14.25" customHeight="1">
      <c r="A27" s="4752" t="s">
        <v>6155</v>
      </c>
      <c r="B27" s="4752"/>
      <c r="C27" s="4752"/>
      <c r="D27" s="4752"/>
      <c r="E27" s="4752"/>
      <c r="F27" s="4752"/>
      <c r="G27" s="4752"/>
      <c r="H27" s="4752"/>
      <c r="I27" s="4752"/>
      <c r="J27" s="4752"/>
    </row>
    <row r="28" spans="1:18" ht="14.25" customHeight="1">
      <c r="A28" s="4752"/>
      <c r="B28" s="4752"/>
      <c r="C28" s="4752"/>
      <c r="D28" s="4752"/>
      <c r="E28" s="4752"/>
      <c r="F28" s="4752"/>
      <c r="G28" s="4752"/>
      <c r="H28" s="4752"/>
      <c r="I28" s="4752"/>
      <c r="J28" s="4752"/>
    </row>
    <row r="29" spans="1:18" ht="6.75" customHeight="1">
      <c r="A29" s="4752"/>
      <c r="B29" s="4752"/>
      <c r="C29" s="4752"/>
      <c r="D29" s="4752"/>
      <c r="E29" s="4752"/>
      <c r="F29" s="4752"/>
      <c r="G29" s="4752"/>
      <c r="H29" s="4752"/>
      <c r="I29" s="4752"/>
      <c r="J29" s="4752"/>
    </row>
    <row r="30" spans="1:18" ht="21.75" customHeight="1">
      <c r="A30" s="4752"/>
      <c r="B30" s="4752"/>
      <c r="C30" s="4752"/>
      <c r="D30" s="4752"/>
      <c r="E30" s="4752"/>
      <c r="F30" s="4752"/>
      <c r="G30" s="4752"/>
      <c r="H30" s="4752"/>
      <c r="I30" s="4752"/>
      <c r="J30" s="4752"/>
    </row>
    <row r="31" spans="1:18" ht="20.25" customHeight="1">
      <c r="A31" s="4752"/>
      <c r="B31" s="4752"/>
      <c r="C31" s="4752"/>
      <c r="D31" s="4752"/>
      <c r="E31" s="4752"/>
      <c r="F31" s="4752"/>
      <c r="G31" s="4752"/>
      <c r="H31" s="4752"/>
      <c r="I31" s="4752"/>
      <c r="J31" s="4752"/>
    </row>
    <row r="32" spans="1:18" ht="54.75" customHeight="1">
      <c r="A32" s="4752"/>
      <c r="B32" s="4752"/>
      <c r="C32" s="4752"/>
      <c r="D32" s="4752"/>
      <c r="E32" s="4752"/>
      <c r="F32" s="4752"/>
      <c r="G32" s="4752"/>
      <c r="H32" s="4752"/>
      <c r="I32" s="4752"/>
      <c r="J32" s="4752"/>
    </row>
    <row r="33" spans="1:10" ht="0.75" hidden="1" customHeight="1">
      <c r="A33" s="4752"/>
      <c r="B33" s="4752"/>
      <c r="C33" s="4752"/>
      <c r="D33" s="4752"/>
      <c r="E33" s="4752"/>
      <c r="F33" s="4752"/>
      <c r="G33" s="4752"/>
      <c r="H33" s="4752"/>
      <c r="I33" s="4752"/>
      <c r="J33" s="4752"/>
    </row>
    <row r="34" spans="1:10" ht="3.75" hidden="1" customHeight="1">
      <c r="A34" s="4752"/>
      <c r="B34" s="4752"/>
      <c r="C34" s="4752"/>
      <c r="D34" s="4752"/>
      <c r="E34" s="4752"/>
      <c r="F34" s="4752"/>
      <c r="G34" s="4752"/>
      <c r="H34" s="4752"/>
      <c r="I34" s="4752"/>
      <c r="J34" s="4752"/>
    </row>
    <row r="35" spans="1:10" ht="5.25" customHeight="1">
      <c r="A35" s="1251"/>
      <c r="B35" s="1251"/>
      <c r="C35" s="1251"/>
      <c r="D35" s="1251"/>
      <c r="E35" s="1251"/>
      <c r="F35" s="1251"/>
      <c r="G35" s="1251"/>
      <c r="H35" s="1251"/>
      <c r="I35" s="1251"/>
      <c r="J35" s="1251"/>
    </row>
    <row r="36" spans="1:10" ht="19.5" customHeight="1">
      <c r="A36" s="4751" t="s">
        <v>6156</v>
      </c>
      <c r="B36" s="4751"/>
      <c r="C36" s="4751"/>
      <c r="D36" s="1249"/>
      <c r="E36" s="1249"/>
      <c r="F36" s="1249"/>
      <c r="G36" s="1249"/>
      <c r="H36" s="1249"/>
      <c r="I36" s="1249"/>
      <c r="J36" s="1249"/>
    </row>
    <row r="37" spans="1:10" ht="22.5" customHeight="1">
      <c r="A37" s="4736" t="s">
        <v>1614</v>
      </c>
      <c r="B37" s="4736"/>
      <c r="C37" s="4736"/>
      <c r="D37" s="4736"/>
      <c r="E37" s="4736"/>
      <c r="F37" s="4736"/>
      <c r="G37" s="4736"/>
      <c r="H37" s="4736"/>
      <c r="I37" s="4736"/>
      <c r="J37" s="4736"/>
    </row>
    <row r="38" spans="1:10" ht="22.5" customHeight="1">
      <c r="A38" s="4736" t="s">
        <v>1615</v>
      </c>
      <c r="B38" s="4736"/>
      <c r="C38" s="4736"/>
      <c r="D38" s="4736"/>
      <c r="E38" s="4736"/>
      <c r="F38" s="4736"/>
      <c r="G38" s="4736"/>
      <c r="H38" s="4736"/>
      <c r="I38" s="4736"/>
      <c r="J38" s="4736"/>
    </row>
    <row r="39" spans="1:10" ht="22.5" customHeight="1">
      <c r="A39" s="4736" t="s">
        <v>1616</v>
      </c>
      <c r="B39" s="4736"/>
      <c r="C39" s="4736"/>
      <c r="D39" s="4736"/>
      <c r="E39" s="4736"/>
      <c r="F39" s="4736"/>
      <c r="G39" s="4736"/>
      <c r="H39" s="4736"/>
      <c r="I39" s="4736"/>
      <c r="J39" s="4736"/>
    </row>
    <row r="40" spans="1:10" ht="22.5" customHeight="1">
      <c r="A40" s="4736" t="s">
        <v>2182</v>
      </c>
      <c r="B40" s="4736"/>
      <c r="C40" s="4736"/>
      <c r="D40" s="4736"/>
      <c r="E40" s="4736"/>
      <c r="F40" s="4736"/>
      <c r="G40" s="4736"/>
      <c r="H40" s="4736"/>
      <c r="I40" s="4736"/>
      <c r="J40" s="4736"/>
    </row>
    <row r="41" spans="1:10" ht="22.5" customHeight="1">
      <c r="A41" s="4736" t="s">
        <v>1448</v>
      </c>
      <c r="B41" s="4736"/>
      <c r="C41" s="4736"/>
      <c r="D41" s="4736"/>
      <c r="E41" s="4736"/>
      <c r="F41" s="4736"/>
      <c r="G41" s="4736"/>
      <c r="H41" s="4736"/>
      <c r="I41" s="4736"/>
      <c r="J41" s="4736"/>
    </row>
    <row r="42" spans="1:10" ht="22.5" customHeight="1">
      <c r="A42" s="4736" t="s">
        <v>1449</v>
      </c>
      <c r="B42" s="4736"/>
      <c r="C42" s="4736"/>
      <c r="D42" s="4736"/>
      <c r="E42" s="4736"/>
      <c r="F42" s="4736"/>
      <c r="G42" s="4736"/>
      <c r="H42" s="4736"/>
      <c r="I42" s="4736"/>
      <c r="J42" s="4736"/>
    </row>
    <row r="43" spans="1:10" ht="22.5" customHeight="1">
      <c r="A43" s="4736" t="s">
        <v>93</v>
      </c>
      <c r="B43" s="4736"/>
      <c r="C43" s="4736"/>
      <c r="D43" s="4736"/>
      <c r="E43" s="4736"/>
      <c r="F43" s="4736"/>
      <c r="G43" s="4736"/>
      <c r="H43" s="4736"/>
      <c r="I43" s="4736"/>
      <c r="J43" s="4736"/>
    </row>
    <row r="44" spans="1:10" ht="22.5" customHeight="1">
      <c r="A44" s="4736" t="s">
        <v>481</v>
      </c>
      <c r="B44" s="4736"/>
      <c r="C44" s="4736"/>
      <c r="D44" s="4736"/>
      <c r="E44" s="4736"/>
      <c r="F44" s="4736"/>
      <c r="G44" s="4736"/>
      <c r="H44" s="4736"/>
      <c r="I44" s="4736"/>
      <c r="J44" s="4736"/>
    </row>
    <row r="45" spans="1:10" ht="2.25" customHeight="1">
      <c r="A45" s="1249"/>
      <c r="B45" s="1249"/>
      <c r="C45" s="1249"/>
      <c r="D45" s="1249"/>
      <c r="E45" s="1249"/>
      <c r="F45" s="1249"/>
      <c r="G45" s="1249"/>
      <c r="H45" s="1249"/>
      <c r="I45" s="1249"/>
      <c r="J45" s="1249"/>
    </row>
    <row r="46" spans="1:10" ht="15">
      <c r="A46" s="522" t="s">
        <v>2607</v>
      </c>
    </row>
    <row r="47" spans="1:10" ht="135" customHeight="1">
      <c r="A47" s="4736" t="s">
        <v>6157</v>
      </c>
      <c r="B47" s="4736"/>
      <c r="C47" s="4736"/>
      <c r="D47" s="4736"/>
      <c r="E47" s="4736"/>
      <c r="F47" s="4736"/>
      <c r="G47" s="4736"/>
      <c r="H47" s="4736"/>
      <c r="I47" s="4736"/>
      <c r="J47" s="4736"/>
    </row>
    <row r="48" spans="1:10" ht="6" customHeight="1">
      <c r="A48" s="1250"/>
      <c r="B48" s="1250"/>
      <c r="C48" s="1250"/>
      <c r="D48" s="1250"/>
      <c r="E48" s="1250"/>
      <c r="F48" s="1250"/>
      <c r="G48" s="1250"/>
      <c r="H48" s="1250"/>
      <c r="I48" s="1250"/>
      <c r="J48" s="1250"/>
    </row>
    <row r="49" spans="1:12" ht="15">
      <c r="A49" s="522" t="s">
        <v>2608</v>
      </c>
    </row>
    <row r="50" spans="1:12" ht="33" customHeight="1">
      <c r="A50" s="4732" t="s">
        <v>3452</v>
      </c>
      <c r="B50" s="4734"/>
      <c r="C50" s="4734"/>
      <c r="D50" s="4734"/>
      <c r="E50" s="4734"/>
      <c r="F50" s="4734"/>
      <c r="G50" s="4734"/>
      <c r="H50" s="4734"/>
      <c r="I50" s="4734"/>
      <c r="J50" s="4732"/>
    </row>
    <row r="51" spans="1:12" ht="3" customHeight="1"/>
    <row r="52" spans="1:12" ht="72.75" customHeight="1">
      <c r="A52" s="4732" t="s">
        <v>3453</v>
      </c>
      <c r="B52" s="4732"/>
      <c r="C52" s="4732"/>
      <c r="D52" s="4732"/>
      <c r="E52" s="4732"/>
      <c r="F52" s="4732"/>
      <c r="G52" s="4732"/>
      <c r="H52" s="4732"/>
      <c r="I52" s="4732"/>
      <c r="J52" s="4732"/>
    </row>
    <row r="53" spans="1:12" ht="3" customHeight="1">
      <c r="A53" s="1249"/>
      <c r="B53" s="1249"/>
      <c r="C53" s="1249"/>
      <c r="D53" s="1249"/>
      <c r="E53" s="1249"/>
      <c r="F53" s="1249"/>
      <c r="G53" s="1249"/>
      <c r="H53" s="1249"/>
      <c r="I53" s="1249"/>
      <c r="J53" s="1249"/>
    </row>
    <row r="54" spans="1:12" ht="56.25" customHeight="1">
      <c r="A54" s="4732" t="s">
        <v>3454</v>
      </c>
      <c r="B54" s="4732"/>
      <c r="C54" s="4732"/>
      <c r="D54" s="4732"/>
      <c r="E54" s="4732"/>
      <c r="F54" s="4732"/>
      <c r="G54" s="4732"/>
      <c r="H54" s="4732"/>
      <c r="I54" s="4732"/>
      <c r="J54" s="4732"/>
    </row>
    <row r="55" spans="1:12" ht="3" customHeight="1">
      <c r="A55" s="1249"/>
      <c r="B55" s="1249"/>
      <c r="C55" s="1249"/>
      <c r="D55" s="1249"/>
      <c r="E55" s="1249"/>
      <c r="F55" s="1249"/>
      <c r="G55" s="1249"/>
      <c r="H55" s="1249"/>
      <c r="I55" s="1249"/>
      <c r="J55" s="1249"/>
    </row>
    <row r="56" spans="1:12" ht="49.5" customHeight="1">
      <c r="A56" s="4732" t="s">
        <v>3455</v>
      </c>
      <c r="B56" s="4732"/>
      <c r="C56" s="4732"/>
      <c r="D56" s="4732"/>
      <c r="E56" s="4732"/>
      <c r="F56" s="4732"/>
      <c r="G56" s="4732"/>
      <c r="H56" s="4732"/>
      <c r="I56" s="4732"/>
      <c r="J56" s="1249"/>
    </row>
    <row r="57" spans="1:12" ht="3" customHeight="1">
      <c r="A57" s="1249"/>
      <c r="B57" s="1249"/>
      <c r="C57" s="1249"/>
      <c r="D57" s="1249"/>
      <c r="E57" s="1249"/>
      <c r="F57" s="1249"/>
      <c r="G57" s="1249"/>
      <c r="H57" s="1249"/>
      <c r="I57" s="1249"/>
      <c r="J57" s="1249"/>
    </row>
    <row r="58" spans="1:12" ht="54.75" customHeight="1">
      <c r="A58" s="4763" t="s">
        <v>2956</v>
      </c>
      <c r="B58" s="4732"/>
      <c r="C58" s="4732"/>
      <c r="D58" s="4732"/>
      <c r="E58" s="4732"/>
      <c r="F58" s="4732"/>
      <c r="G58" s="4732"/>
      <c r="H58" s="4732"/>
      <c r="I58" s="4732"/>
      <c r="J58" s="1249"/>
    </row>
    <row r="59" spans="1:12" ht="3" customHeight="1">
      <c r="A59" s="1249"/>
      <c r="B59" s="1249"/>
      <c r="C59" s="1249"/>
      <c r="D59" s="1249"/>
      <c r="E59" s="1249"/>
      <c r="F59" s="1249"/>
      <c r="G59" s="1249"/>
      <c r="H59" s="1249"/>
      <c r="I59" s="1249"/>
      <c r="J59" s="1249"/>
    </row>
    <row r="60" spans="1:12" ht="62.25" customHeight="1">
      <c r="A60" s="4732" t="s">
        <v>3456</v>
      </c>
      <c r="B60" s="4732"/>
      <c r="C60" s="4732"/>
      <c r="D60" s="4732"/>
      <c r="E60" s="4732"/>
      <c r="F60" s="4732"/>
      <c r="G60" s="4732"/>
      <c r="H60" s="4732"/>
      <c r="I60" s="4732"/>
      <c r="J60" s="4732"/>
    </row>
    <row r="61" spans="1:12" ht="3" customHeight="1"/>
    <row r="62" spans="1:12" ht="73.5" customHeight="1">
      <c r="A62" s="4732" t="s">
        <v>3457</v>
      </c>
      <c r="B62" s="4732"/>
      <c r="C62" s="4732"/>
      <c r="D62" s="4732"/>
      <c r="E62" s="4732"/>
      <c r="F62" s="4732"/>
      <c r="G62" s="4732"/>
      <c r="H62" s="4732"/>
      <c r="I62" s="4732"/>
      <c r="J62" s="4732"/>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50" t="s">
        <v>2610</v>
      </c>
      <c r="B65" s="4750"/>
      <c r="C65" s="4750"/>
      <c r="D65" s="4750"/>
      <c r="E65" s="4750"/>
      <c r="F65" s="4750"/>
      <c r="G65" s="4750"/>
      <c r="H65" s="4750"/>
      <c r="I65" s="4750"/>
      <c r="J65" s="4750"/>
      <c r="L65" s="524">
        <f>'Closing term sheet'!C135</f>
        <v>731042.5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9048591.26355 via the syndication of the 2021 Federal LIHTC allocation of 1101315 per annum. will make a capital contribution totaling 5708115.645 via the syndication of the 2021 State LIHTC allocation of 1101315 per annum.</v>
      </c>
      <c r="B67" s="4732"/>
      <c r="C67" s="4732"/>
      <c r="D67" s="4732"/>
      <c r="E67" s="4732"/>
      <c r="F67" s="4732"/>
      <c r="G67" s="4732"/>
      <c r="H67" s="4732"/>
      <c r="I67" s="4732"/>
      <c r="J67" s="529"/>
      <c r="L67" s="530">
        <f>'Part II-Sources of Funds'!I51</f>
        <v>9048591.2635499984</v>
      </c>
      <c r="M67" s="531">
        <f>'Part III-A-Uses of Funds'!$J$191</f>
        <v>1101315</v>
      </c>
      <c r="N67" s="532">
        <f>'Part III-A-Uses of Funds'!N182</f>
        <v>0.83</v>
      </c>
      <c r="O67" s="530">
        <f>'Part II-Sources of Funds'!I52</f>
        <v>5708115.6449999996</v>
      </c>
      <c r="P67" s="531">
        <f>M67</f>
        <v>1101315</v>
      </c>
      <c r="Q67" s="532">
        <f>'Part III-A-Uses of Funds'!Q182</f>
        <v>0.51</v>
      </c>
    </row>
    <row r="68" spans="1:17" ht="39.75" customHeight="1">
      <c r="A68" s="473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(0.83 Federal tax credit and 0.51 State tax credit) for a (X%) ownership interest of the Federal Credits and a (X%) ownership interest of the State Credits. </v>
      </c>
      <c r="B68" s="4736"/>
      <c r="C68" s="4736"/>
      <c r="D68" s="4736"/>
      <c r="E68" s="4736"/>
      <c r="F68" s="4736"/>
      <c r="G68" s="4736"/>
      <c r="H68" s="4736"/>
      <c r="I68" s="4736"/>
      <c r="J68" s="529"/>
      <c r="L68" s="1552"/>
      <c r="M68" s="1552"/>
      <c r="N68" s="635"/>
      <c r="O68" s="1552"/>
      <c r="P68" s="1552"/>
      <c r="Q68" s="635"/>
    </row>
    <row r="69" spans="1:17" ht="18.75" customHeight="1">
      <c r="A69" s="533" t="s">
        <v>2611</v>
      </c>
    </row>
    <row r="70" spans="1:17" ht="177" customHeight="1">
      <c r="A70" s="4732" t="s">
        <v>6158</v>
      </c>
      <c r="B70" s="4732"/>
      <c r="C70" s="4732"/>
      <c r="D70" s="4732"/>
      <c r="E70" s="4732"/>
      <c r="F70" s="4732"/>
      <c r="G70" s="4732"/>
      <c r="H70" s="4732"/>
      <c r="I70" s="4732"/>
      <c r="J70" s="4732"/>
      <c r="L70" s="534">
        <f>'Part VI-Pro Forma'!K72</f>
        <v>0</v>
      </c>
      <c r="M70" s="4757" t="s">
        <v>3097</v>
      </c>
      <c r="N70" s="4749"/>
    </row>
    <row r="71" spans="1:17" ht="6" customHeight="1">
      <c r="A71" s="522"/>
    </row>
    <row r="72" spans="1:17" ht="15">
      <c r="A72" s="522" t="s">
        <v>2612</v>
      </c>
    </row>
    <row r="73" spans="1:17" ht="72.599999999999994" customHeight="1">
      <c r="A73" s="4732" t="s">
        <v>2613</v>
      </c>
      <c r="B73" s="4732"/>
      <c r="C73" s="4732"/>
      <c r="D73" s="4732"/>
      <c r="E73" s="4732"/>
      <c r="F73" s="4732"/>
      <c r="G73" s="4732"/>
      <c r="H73" s="4732"/>
      <c r="I73" s="4732"/>
      <c r="J73" s="4732"/>
    </row>
    <row r="74" spans="1:17" ht="36" customHeight="1">
      <c r="A74" s="4732" t="s">
        <v>2614</v>
      </c>
      <c r="B74" s="4732"/>
      <c r="C74" s="4732"/>
      <c r="D74" s="4732"/>
      <c r="E74" s="4732"/>
      <c r="F74" s="4732"/>
      <c r="G74" s="4732"/>
      <c r="H74" s="4732"/>
      <c r="I74" s="4732"/>
      <c r="J74" s="4732"/>
    </row>
    <row r="75" spans="1:17" ht="6" customHeight="1">
      <c r="A75" s="522"/>
    </row>
    <row r="76" spans="1:17" ht="15">
      <c r="A76" s="522" t="s">
        <v>2615</v>
      </c>
    </row>
    <row r="77" spans="1:17" ht="105.75" customHeight="1">
      <c r="A77" s="4732" t="s">
        <v>2616</v>
      </c>
      <c r="B77" s="4732"/>
      <c r="C77" s="4732"/>
      <c r="D77" s="4732"/>
      <c r="E77" s="4732"/>
      <c r="F77" s="4732"/>
      <c r="G77" s="4732"/>
      <c r="H77" s="4732"/>
      <c r="I77" s="4732"/>
      <c r="J77" s="4732"/>
    </row>
    <row r="78" spans="1:17" ht="6" customHeight="1">
      <c r="A78" s="522"/>
    </row>
    <row r="79" spans="1:17" ht="15">
      <c r="A79" s="522" t="s">
        <v>2617</v>
      </c>
    </row>
    <row r="80" spans="1:17" ht="66" customHeight="1">
      <c r="A80" s="4732" t="s">
        <v>2618</v>
      </c>
      <c r="B80" s="4732"/>
      <c r="C80" s="4732"/>
      <c r="D80" s="4732"/>
      <c r="E80" s="4732"/>
      <c r="F80" s="4732"/>
      <c r="G80" s="4732"/>
      <c r="H80" s="4732"/>
      <c r="I80" s="4732"/>
      <c r="J80" s="4732"/>
    </row>
    <row r="81" spans="1:15" s="1251" customFormat="1" ht="6" customHeight="1">
      <c r="A81" s="4732"/>
      <c r="B81" s="4732"/>
      <c r="C81" s="4732"/>
      <c r="D81" s="4732"/>
      <c r="E81" s="4732"/>
      <c r="F81" s="4732"/>
      <c r="G81" s="4732"/>
      <c r="H81" s="4732"/>
      <c r="I81" s="4732"/>
      <c r="J81" s="4732"/>
    </row>
    <row r="82" spans="1:15" ht="16.5" customHeight="1">
      <c r="A82" s="1252" t="s">
        <v>2619</v>
      </c>
      <c r="B82" s="521"/>
      <c r="C82" s="521"/>
      <c r="D82" s="1024"/>
      <c r="E82" s="521"/>
      <c r="F82" s="521"/>
      <c r="G82" s="521"/>
      <c r="H82" s="521"/>
      <c r="I82" s="521"/>
      <c r="J82" s="535"/>
    </row>
    <row r="83" spans="1:15" s="1251" customFormat="1" ht="63" customHeight="1">
      <c r="A83" s="4732" t="s">
        <v>3659</v>
      </c>
      <c r="B83" s="4732"/>
      <c r="C83" s="4732"/>
      <c r="D83" s="4732"/>
      <c r="E83" s="4732"/>
      <c r="F83" s="4732"/>
      <c r="G83" s="4732"/>
      <c r="H83" s="4732"/>
      <c r="I83" s="4732"/>
      <c r="J83" s="4732"/>
    </row>
    <row r="84" spans="1:15" s="1251" customFormat="1" ht="6" customHeight="1">
      <c r="A84" s="1249"/>
      <c r="B84" s="1249"/>
      <c r="C84" s="1249"/>
      <c r="D84" s="1249"/>
      <c r="E84" s="1249"/>
      <c r="F84" s="1249"/>
      <c r="G84" s="1249"/>
      <c r="H84" s="1249"/>
      <c r="I84" s="1249"/>
      <c r="J84" s="1249"/>
    </row>
    <row r="85" spans="1:15" ht="16.5" customHeight="1">
      <c r="A85" s="4754" t="s">
        <v>2620</v>
      </c>
      <c r="B85" s="4755"/>
      <c r="C85" s="4755"/>
      <c r="D85" s="521"/>
      <c r="E85" s="521"/>
      <c r="F85" s="521"/>
      <c r="G85" s="521"/>
      <c r="H85" s="521"/>
      <c r="I85" s="521"/>
      <c r="J85" s="535"/>
    </row>
    <row r="86" spans="1:15" ht="41.25" customHeight="1">
      <c r="A86" s="4732" t="s">
        <v>6159</v>
      </c>
      <c r="B86" s="4756"/>
      <c r="C86" s="4756"/>
      <c r="D86" s="4756"/>
      <c r="E86" s="4756"/>
      <c r="F86" s="4756"/>
      <c r="G86" s="4756"/>
      <c r="H86" s="4756"/>
      <c r="I86" s="4756"/>
      <c r="J86" s="4756"/>
    </row>
    <row r="87" spans="1:15" ht="6" customHeight="1">
      <c r="A87" s="536"/>
      <c r="B87" s="521"/>
      <c r="C87" s="521"/>
      <c r="D87" s="521"/>
      <c r="E87" s="521"/>
      <c r="F87" s="521"/>
      <c r="G87" s="521"/>
      <c r="H87" s="521"/>
      <c r="I87" s="521"/>
      <c r="J87" s="535"/>
    </row>
    <row r="88" spans="1:15" ht="15">
      <c r="A88" s="522" t="s">
        <v>2621</v>
      </c>
    </row>
    <row r="89" spans="1:15" ht="124.15" customHeight="1">
      <c r="A89" s="4732" t="s">
        <v>2622</v>
      </c>
      <c r="B89" s="4732"/>
      <c r="C89" s="4732"/>
      <c r="D89" s="4732"/>
      <c r="E89" s="4732"/>
      <c r="F89" s="4732"/>
      <c r="G89" s="4732"/>
      <c r="H89" s="4732"/>
      <c r="I89" s="4732"/>
      <c r="J89" s="4732"/>
      <c r="L89" s="4749" t="s">
        <v>2623</v>
      </c>
      <c r="M89" s="4749"/>
      <c r="N89" s="4749"/>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2" t="s">
        <v>2625</v>
      </c>
      <c r="B92" s="4732"/>
      <c r="C92" s="4732"/>
      <c r="D92" s="4732"/>
      <c r="E92" s="4732"/>
      <c r="F92" s="4732"/>
      <c r="G92" s="4732"/>
      <c r="H92" s="4732"/>
      <c r="I92" s="4732"/>
      <c r="J92" s="4732"/>
      <c r="L92" s="4749" t="s">
        <v>2626</v>
      </c>
      <c r="M92" s="4749"/>
      <c r="N92" s="537" t="e">
        <f>'After-Tax Analysis'!G66</f>
        <v>#VALUE!</v>
      </c>
      <c r="O92" s="538" t="s">
        <v>2627</v>
      </c>
    </row>
    <row r="93" spans="1:15" ht="6" customHeight="1">
      <c r="A93" s="522"/>
    </row>
    <row r="94" spans="1:15" ht="15">
      <c r="A94" s="522" t="s">
        <v>2628</v>
      </c>
    </row>
    <row r="95" spans="1:15" ht="118.5" customHeight="1">
      <c r="A95" s="4732" t="s">
        <v>2629</v>
      </c>
      <c r="B95" s="4732"/>
      <c r="C95" s="4732"/>
      <c r="D95" s="4732"/>
      <c r="E95" s="4732"/>
      <c r="F95" s="4732"/>
      <c r="G95" s="4732"/>
      <c r="H95" s="4732"/>
      <c r="I95" s="4732"/>
      <c r="J95" s="4732"/>
    </row>
    <row r="96" spans="1:15" ht="20.25" customHeight="1">
      <c r="A96" s="4734" t="s">
        <v>2630</v>
      </c>
      <c r="B96" s="4734"/>
      <c r="C96" s="4734"/>
      <c r="D96" s="4732"/>
      <c r="E96" s="1249"/>
      <c r="F96" s="1249"/>
      <c r="G96" s="1249"/>
      <c r="H96" s="1249"/>
      <c r="I96" s="1249"/>
      <c r="J96" s="1249"/>
    </row>
    <row r="97" spans="1:14" ht="109.5" customHeight="1">
      <c r="A97" s="4761" t="s">
        <v>2631</v>
      </c>
      <c r="B97" s="4762"/>
      <c r="C97" s="4762"/>
      <c r="D97" s="4762"/>
      <c r="E97" s="4762"/>
      <c r="F97" s="4762"/>
      <c r="G97" s="4762"/>
      <c r="H97" s="4762"/>
      <c r="I97" s="4762"/>
      <c r="J97" s="4762"/>
    </row>
    <row r="98" spans="1:14" ht="11.25" customHeight="1">
      <c r="A98" s="522"/>
    </row>
    <row r="99" spans="1:14" ht="15">
      <c r="A99" s="522" t="s">
        <v>2632</v>
      </c>
    </row>
    <row r="100" spans="1:14" ht="110.65" customHeight="1">
      <c r="A100" s="4750" t="s">
        <v>2633</v>
      </c>
      <c r="B100" s="4750"/>
      <c r="C100" s="4750"/>
      <c r="D100" s="4750"/>
      <c r="E100" s="4750"/>
      <c r="F100" s="4750"/>
      <c r="G100" s="4750"/>
      <c r="H100" s="4750"/>
      <c r="I100" s="4750"/>
      <c r="J100" s="4750"/>
      <c r="L100" s="975">
        <f>'Part VI-Pro Forma'!K72</f>
        <v>0</v>
      </c>
      <c r="M100" s="4753" t="s">
        <v>2634</v>
      </c>
      <c r="N100" s="475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4" t="s">
        <v>2635</v>
      </c>
      <c r="B104" s="4734"/>
      <c r="C104" s="4734"/>
      <c r="D104" s="1249"/>
      <c r="E104" s="1249"/>
      <c r="F104" s="1249"/>
      <c r="G104" s="1249"/>
      <c r="H104" s="1249"/>
      <c r="I104" s="1249"/>
      <c r="J104" s="535"/>
    </row>
    <row r="105" spans="1:14" ht="37.5" customHeight="1">
      <c r="A105" s="4732" t="s">
        <v>2636</v>
      </c>
      <c r="B105" s="4732"/>
      <c r="C105" s="4732"/>
      <c r="D105" s="4732"/>
      <c r="E105" s="4732"/>
      <c r="F105" s="4732"/>
      <c r="G105" s="4732"/>
      <c r="H105" s="4732"/>
      <c r="I105" s="4732"/>
      <c r="J105" s="4732"/>
    </row>
    <row r="106" spans="1:14" ht="6" customHeight="1">
      <c r="A106" s="522"/>
    </row>
    <row r="107" spans="1:14" ht="15">
      <c r="A107" s="522" t="s">
        <v>2637</v>
      </c>
    </row>
    <row r="108" spans="1:14" ht="43.5" customHeight="1">
      <c r="A108" s="4732" t="s">
        <v>2638</v>
      </c>
      <c r="B108" s="4732"/>
      <c r="C108" s="4732"/>
      <c r="D108" s="4732"/>
      <c r="E108" s="4732"/>
      <c r="F108" s="4732"/>
      <c r="G108" s="4732"/>
      <c r="H108" s="4732"/>
      <c r="I108" s="4732"/>
      <c r="J108" s="4732"/>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9" t="s">
        <v>6064</v>
      </c>
      <c r="B120" s="4759"/>
      <c r="C120" s="4759"/>
      <c r="D120" s="4759"/>
      <c r="E120" s="4760"/>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The Bridges at Lincom</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75">
      <c r="A8" s="510" t="s">
        <v>2647</v>
      </c>
      <c r="B8" s="510"/>
      <c r="C8" s="4764" t="str">
        <f>'Part I-Project Identification'!F25</f>
        <v>The Bridges at Lincom</v>
      </c>
      <c r="D8" s="4764"/>
      <c r="E8" s="1020" t="str">
        <f>'Part I-Project Identification'!O7</f>
        <v>2023-0</v>
      </c>
      <c r="F8" s="510" t="s">
        <v>2648</v>
      </c>
      <c r="G8" s="507"/>
      <c r="H8" s="4764" t="str">
        <f>CONCATENATE('Part I-Project Identification'!F26,", ",'Part I-Project Identification'!J26)</f>
        <v>Hartwell, Hart</v>
      </c>
      <c r="I8" s="4764"/>
      <c r="J8" s="4764"/>
      <c r="K8" s="4764"/>
      <c r="L8" s="507"/>
      <c r="M8" s="545"/>
    </row>
    <row r="9" spans="1:14" ht="15.75">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75">
      <c r="A10" s="510" t="s">
        <v>2653</v>
      </c>
      <c r="B10" s="507"/>
      <c r="C10" s="1020">
        <f>'Part II-Development Team'!H15</f>
        <v>0</v>
      </c>
      <c r="D10" s="507"/>
      <c r="E10" s="507"/>
      <c r="F10" s="510" t="s">
        <v>3131</v>
      </c>
      <c r="G10" s="507"/>
      <c r="H10" s="4764">
        <f>'Part II-Development Team'!H34</f>
        <v>0</v>
      </c>
      <c r="I10" s="4764"/>
      <c r="J10" s="4764"/>
      <c r="K10" s="4764">
        <f>'Part II-Development Team'!H40</f>
        <v>0</v>
      </c>
      <c r="L10" s="4764"/>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75">
      <c r="A12" s="510" t="s">
        <v>2655</v>
      </c>
      <c r="B12" s="507"/>
      <c r="C12" s="1020">
        <f>'Part II-Development Team'!H87</f>
        <v>0</v>
      </c>
      <c r="D12" s="507"/>
      <c r="E12" s="507"/>
      <c r="F12" s="510" t="s">
        <v>2656</v>
      </c>
      <c r="G12" s="507"/>
      <c r="H12" s="4764">
        <f>'Part II-Development Team'!H93</f>
        <v>0</v>
      </c>
      <c r="I12" s="4764"/>
      <c r="J12" s="4764"/>
      <c r="K12" s="4764"/>
      <c r="L12" s="507"/>
      <c r="M12" s="507"/>
    </row>
    <row r="13" spans="1:14" ht="15.75">
      <c r="A13" s="510" t="s">
        <v>2657</v>
      </c>
      <c r="B13" s="510"/>
      <c r="C13" s="506">
        <f>'Part V-Revenues &amp; Expenses'!$P$67</f>
        <v>54</v>
      </c>
      <c r="E13" s="970">
        <f>'Part V-Revenues &amp; Expenses'!$P$63</f>
        <v>54</v>
      </c>
      <c r="F13" s="510" t="s">
        <v>3451</v>
      </c>
      <c r="G13" s="507"/>
      <c r="H13" s="1021" t="e">
        <f>'Part I-Project Identification'!#REF!</f>
        <v>#REF!</v>
      </c>
      <c r="I13" s="971"/>
      <c r="J13" s="971"/>
      <c r="K13" s="1021">
        <f>'Part V-Revenues &amp; Expenses'!K175</f>
        <v>66302</v>
      </c>
      <c r="L13" s="507"/>
      <c r="M13" s="507"/>
    </row>
    <row r="14" spans="1:14" ht="15.75">
      <c r="A14" s="510" t="s">
        <v>2949</v>
      </c>
      <c r="B14" s="507"/>
      <c r="C14" s="1021" t="e">
        <f>'Part I-Project Identification'!#REF!</f>
        <v>#REF!</v>
      </c>
      <c r="D14" s="4764" t="e">
        <f>IF('Part V-Revenues &amp; Expenses'!#REF!=0,"",'Part V-Revenues &amp; Expenses'!#REF!)</f>
        <v>#REF!</v>
      </c>
      <c r="E14" s="4764"/>
      <c r="F14" s="510" t="s">
        <v>2658</v>
      </c>
      <c r="G14" s="507"/>
      <c r="H14" s="4744" t="s">
        <v>3099</v>
      </c>
      <c r="I14" s="4744"/>
      <c r="J14" s="4744"/>
      <c r="K14" s="4744" t="s">
        <v>3099</v>
      </c>
      <c r="L14" s="4744"/>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15826399</v>
      </c>
      <c r="D18" s="1003">
        <f>IF(C18=0,"",$C$29/C18)</f>
        <v>6.7531281120866468E-2</v>
      </c>
      <c r="E18" s="507" t="s">
        <v>2953</v>
      </c>
      <c r="F18" s="510" t="s">
        <v>2954</v>
      </c>
      <c r="G18" s="507"/>
      <c r="H18" s="4765">
        <f>'Part III-A-Uses of Funds'!C49</f>
        <v>10872910</v>
      </c>
      <c r="I18" s="4765"/>
      <c r="J18" s="1002">
        <f>IF(H18=0,"",$C$29/H18)</f>
        <v>9.8297235974545913E-2</v>
      </c>
      <c r="K18" s="4764" t="s">
        <v>2955</v>
      </c>
      <c r="L18" s="4764"/>
      <c r="M18" s="507"/>
    </row>
    <row r="19" spans="1:13" ht="15.75">
      <c r="A19" s="510" t="s">
        <v>2660</v>
      </c>
      <c r="B19" s="507"/>
      <c r="C19" s="1022">
        <f>C18/C13</f>
        <v>293081.46296296298</v>
      </c>
      <c r="D19" s="507"/>
      <c r="E19" s="507"/>
      <c r="F19" s="510" t="s">
        <v>2660</v>
      </c>
      <c r="G19" s="507"/>
      <c r="H19" s="4766">
        <f>H18/C13</f>
        <v>201350.1851851852</v>
      </c>
      <c r="I19" s="4766"/>
      <c r="J19" s="507"/>
      <c r="K19" s="507"/>
      <c r="L19" s="507"/>
      <c r="M19" s="507"/>
    </row>
    <row r="20" spans="1:13" ht="15.75">
      <c r="A20" s="510" t="s">
        <v>2661</v>
      </c>
      <c r="B20" s="507"/>
      <c r="C20" s="1020">
        <f>C18/K13</f>
        <v>238.70168320714308</v>
      </c>
      <c r="D20" s="548"/>
      <c r="E20" s="548"/>
      <c r="F20" s="510" t="s">
        <v>2661</v>
      </c>
      <c r="G20" s="507"/>
      <c r="H20" s="4764">
        <f>H18/K13</f>
        <v>163.99067901420773</v>
      </c>
      <c r="I20" s="4766"/>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TBD - United Bank</v>
      </c>
      <c r="C25" s="553">
        <f>'Part II-Sources of Funds'!I40</f>
        <v>1068777</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1068777</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14756706.908549998</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1068777</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6.7531281120866468E-2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9.8297235974545913E-2</v>
      </c>
      <c r="D40" s="507"/>
      <c r="E40" s="507"/>
      <c r="F40" s="510"/>
      <c r="G40" s="510" t="s">
        <v>2681</v>
      </c>
      <c r="H40" s="507"/>
      <c r="I40" s="507"/>
      <c r="K40" s="555">
        <f>C30/C18</f>
        <v>0.93241089830668356</v>
      </c>
      <c r="L40" s="507"/>
      <c r="M40" s="507"/>
    </row>
    <row r="46" spans="1:13" ht="15.75">
      <c r="A46" s="550" t="s">
        <v>2682</v>
      </c>
      <c r="B46" s="540"/>
      <c r="C46" s="540"/>
      <c r="D46" s="540"/>
      <c r="E46" s="540"/>
      <c r="F46" s="540"/>
      <c r="G46" s="540"/>
      <c r="H46" s="540"/>
      <c r="I46" s="540"/>
      <c r="J46" s="540"/>
      <c r="K46" s="540"/>
      <c r="L46" s="540"/>
      <c r="M46" s="507"/>
    </row>
    <row r="47" spans="1:13" ht="15.75">
      <c r="A47" s="550" t="str">
        <f>C8</f>
        <v>The Bridges at Lincom</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7" t="s">
        <v>2685</v>
      </c>
      <c r="L50" s="4748"/>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409800</v>
      </c>
      <c r="D52" s="568"/>
      <c r="E52" s="568">
        <f>$C$52</f>
        <v>409800</v>
      </c>
      <c r="F52" s="568"/>
      <c r="G52" s="568">
        <f>$C$52</f>
        <v>409800</v>
      </c>
      <c r="H52" s="568"/>
      <c r="I52" s="568">
        <f>$C$52</f>
        <v>409800</v>
      </c>
      <c r="J52" s="568"/>
      <c r="K52" s="568">
        <f>$C$52</f>
        <v>409800</v>
      </c>
      <c r="L52" s="569"/>
      <c r="M52"/>
      <c r="N52"/>
    </row>
    <row r="53" spans="1:14" s="507" customFormat="1" ht="18.75" customHeight="1">
      <c r="B53" s="567" t="s">
        <v>2689</v>
      </c>
      <c r="C53" s="568">
        <f>'Part VI-Pro Forma'!B16</f>
        <v>8196</v>
      </c>
      <c r="D53" s="568"/>
      <c r="E53" s="568">
        <f>$C$53</f>
        <v>8196</v>
      </c>
      <c r="F53" s="568"/>
      <c r="G53" s="568">
        <f>$C$53</f>
        <v>8196</v>
      </c>
      <c r="H53" s="568"/>
      <c r="I53" s="568">
        <f>$C$53</f>
        <v>8196</v>
      </c>
      <c r="J53" s="568"/>
      <c r="K53" s="568">
        <f>$C$53</f>
        <v>8196</v>
      </c>
      <c r="L53" s="569"/>
      <c r="M53"/>
      <c r="N53"/>
    </row>
    <row r="54" spans="1:14" s="507" customFormat="1" ht="18.75" customHeight="1">
      <c r="B54" s="567" t="s">
        <v>2687</v>
      </c>
      <c r="C54" s="568">
        <f>'Part VI-Pro Forma'!B17</f>
        <v>-29259.72</v>
      </c>
      <c r="D54" s="568"/>
      <c r="E54" s="568">
        <f>-($C$52+E53)*F50</f>
        <v>-41799.600000000006</v>
      </c>
      <c r="F54" s="570"/>
      <c r="G54" s="568">
        <f>-($C$52+G53)*0.07</f>
        <v>-29259.72</v>
      </c>
      <c r="H54" s="568"/>
      <c r="I54" s="568">
        <f>-($C$52+I53)*0.07</f>
        <v>-29259.72</v>
      </c>
      <c r="J54" s="568"/>
      <c r="K54" s="568">
        <f>-($C$52+K53)*L54</f>
        <v>-41799.600000000006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388736.28</v>
      </c>
      <c r="D56" s="568"/>
      <c r="E56" s="574">
        <f>SUM(E52:E55)</f>
        <v>376196.4</v>
      </c>
      <c r="F56" s="568"/>
      <c r="G56" s="574">
        <f>SUM(G52:G55)</f>
        <v>388736.28</v>
      </c>
      <c r="H56" s="568"/>
      <c r="I56" s="574">
        <f>SUM(I52:I55)</f>
        <v>388736.28</v>
      </c>
      <c r="J56" s="568"/>
      <c r="K56" s="574">
        <f>SUM(K52:K55)</f>
        <v>376196.4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91260</v>
      </c>
      <c r="D58" s="568"/>
      <c r="E58" s="568">
        <f>$C$58</f>
        <v>91260</v>
      </c>
      <c r="F58" s="568"/>
      <c r="G58" s="568">
        <f>$C$58</f>
        <v>91260</v>
      </c>
      <c r="H58" s="568"/>
      <c r="I58" s="568">
        <f>$C$58</f>
        <v>91260</v>
      </c>
      <c r="J58" s="568"/>
      <c r="K58" s="568">
        <f>$C$58</f>
        <v>91260</v>
      </c>
      <c r="L58" s="569"/>
      <c r="M58"/>
      <c r="N58"/>
    </row>
    <row r="59" spans="1:14" s="507" customFormat="1" ht="18.75" customHeight="1">
      <c r="B59" s="567" t="s">
        <v>2692</v>
      </c>
      <c r="C59" s="568">
        <f>+'Part V-Revenues &amp; Expenses'!F247</f>
        <v>34128</v>
      </c>
      <c r="D59" s="568"/>
      <c r="E59" s="568">
        <f>$C$59</f>
        <v>34128</v>
      </c>
      <c r="F59" s="568"/>
      <c r="G59" s="568">
        <f>$C$59</f>
        <v>34128</v>
      </c>
      <c r="H59" s="568"/>
      <c r="I59" s="568">
        <f>$C$59</f>
        <v>34128</v>
      </c>
      <c r="J59" s="568"/>
      <c r="K59" s="568">
        <f>$C$59*(1+$L$59)</f>
        <v>35493.120000000003</v>
      </c>
      <c r="L59" s="575">
        <v>0.04</v>
      </c>
      <c r="M59"/>
      <c r="N59"/>
    </row>
    <row r="60" spans="1:14" s="507" customFormat="1" ht="18.75" customHeight="1">
      <c r="B60" s="567" t="s">
        <v>1297</v>
      </c>
      <c r="C60" s="568">
        <f>+'Part V-Revenues &amp; Expenses'!L241</f>
        <v>15336</v>
      </c>
      <c r="D60" s="568"/>
      <c r="E60" s="568">
        <f>$C$60</f>
        <v>15336</v>
      </c>
      <c r="F60" s="568"/>
      <c r="G60" s="568">
        <f>$C$60</f>
        <v>15336</v>
      </c>
      <c r="H60" s="568"/>
      <c r="I60" s="568">
        <f>$C$60*(1+$J$50)</f>
        <v>15796.08</v>
      </c>
      <c r="J60" s="570"/>
      <c r="K60" s="568">
        <f>$C$60*(1+$J$50)</f>
        <v>15796.08</v>
      </c>
      <c r="L60" s="571">
        <v>0.03</v>
      </c>
      <c r="M60"/>
      <c r="N60"/>
    </row>
    <row r="61" spans="1:14" s="507" customFormat="1" ht="18.75" customHeight="1">
      <c r="B61" s="567" t="s">
        <v>1298</v>
      </c>
      <c r="C61" s="568">
        <f>+'Part V-Revenues &amp; Expenses'!L247</f>
        <v>57510</v>
      </c>
      <c r="D61" s="568"/>
      <c r="E61" s="568">
        <f>$C$61</f>
        <v>57510</v>
      </c>
      <c r="F61" s="568"/>
      <c r="G61" s="568">
        <f>$C$61*(1+H50)</f>
        <v>60385.5</v>
      </c>
      <c r="H61" s="570"/>
      <c r="I61" s="568">
        <f>$C$61</f>
        <v>57510</v>
      </c>
      <c r="J61" s="568"/>
      <c r="K61" s="568">
        <f>$C$61*(1+$L$61)</f>
        <v>60385.5</v>
      </c>
      <c r="L61" s="571">
        <v>0.05</v>
      </c>
      <c r="M61"/>
      <c r="N61"/>
    </row>
    <row r="62" spans="1:14" s="507" customFormat="1" ht="18.75" customHeight="1">
      <c r="B62" s="573" t="s">
        <v>2693</v>
      </c>
      <c r="C62" s="574">
        <f>SUM(C58:C61)</f>
        <v>198234</v>
      </c>
      <c r="D62" s="568"/>
      <c r="E62" s="574">
        <f>SUM(E58:E61)</f>
        <v>198234</v>
      </c>
      <c r="F62" s="568"/>
      <c r="G62" s="574">
        <f>SUM(G58:G61)</f>
        <v>201109.5</v>
      </c>
      <c r="H62" s="568"/>
      <c r="I62" s="574">
        <f>SUM(I58:I61)</f>
        <v>198694.08</v>
      </c>
      <c r="J62" s="568"/>
      <c r="K62" s="574">
        <f>SUM(K58:K61)</f>
        <v>202934.69999999998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190502.28000000003</v>
      </c>
      <c r="D64" s="577"/>
      <c r="E64" s="577">
        <f>E56-E62</f>
        <v>177962.40000000002</v>
      </c>
      <c r="F64" s="577"/>
      <c r="G64" s="577">
        <f>G56-G62</f>
        <v>187626.78000000003</v>
      </c>
      <c r="H64" s="577"/>
      <c r="I64" s="577">
        <f>I56-I62</f>
        <v>190042.20000000004</v>
      </c>
      <c r="J64" s="577"/>
      <c r="K64" s="577">
        <f>K56-K62</f>
        <v>173261.70000000004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13500</v>
      </c>
      <c r="D66" s="568"/>
      <c r="E66" s="568">
        <f>$C$66</f>
        <v>13500</v>
      </c>
      <c r="F66" s="568"/>
      <c r="G66" s="568">
        <f>$C$66</f>
        <v>13500</v>
      </c>
      <c r="H66" s="568"/>
      <c r="I66" s="568">
        <f>$C$66</f>
        <v>13500</v>
      </c>
      <c r="J66" s="568"/>
      <c r="K66" s="568">
        <f>$C$66</f>
        <v>13500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34986</v>
      </c>
      <c r="D68" s="568"/>
      <c r="E68" s="568">
        <f>$C$68</f>
        <v>34986</v>
      </c>
      <c r="F68" s="568"/>
      <c r="G68" s="568">
        <f>$C$68</f>
        <v>34986</v>
      </c>
      <c r="H68" s="568"/>
      <c r="I68" s="568">
        <f>$C$68</f>
        <v>34986</v>
      </c>
      <c r="J68" s="568"/>
      <c r="K68" s="568">
        <f>$C$68</f>
        <v>34986</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142016.28000000003</v>
      </c>
      <c r="D70" s="577"/>
      <c r="E70" s="580">
        <f>E64-E66-E68</f>
        <v>129476.40000000002</v>
      </c>
      <c r="F70" s="577"/>
      <c r="G70" s="580">
        <f>G64-G66-G68</f>
        <v>139140.78000000003</v>
      </c>
      <c r="H70" s="577"/>
      <c r="I70" s="580">
        <f>I64-I66-I68</f>
        <v>141556.20000000004</v>
      </c>
      <c r="J70" s="577"/>
      <c r="K70" s="580">
        <f>K64-K66-K68</f>
        <v>124775.70000000004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1.2995607073265412</v>
      </c>
      <c r="D72" s="581"/>
      <c r="E72" s="1004">
        <f>-E70/E75</f>
        <v>1.1848109383381551</v>
      </c>
      <c r="F72" s="581"/>
      <c r="G72" s="1004">
        <f>-G70/G75</f>
        <v>1.2732476197430791</v>
      </c>
      <c r="H72" s="581"/>
      <c r="I72" s="1004">
        <f>-I70/I75</f>
        <v>1.2953506133131873</v>
      </c>
      <c r="J72" s="581"/>
      <c r="K72" s="1004">
        <f>-K70/K75</f>
        <v>1.14179583459843</v>
      </c>
      <c r="L72" s="4"/>
      <c r="M72" s="10"/>
      <c r="N72" s="10"/>
    </row>
    <row r="73" spans="1:14" s="507" customFormat="1" ht="18.75" customHeight="1">
      <c r="A73"/>
      <c r="B73" s="567" t="s">
        <v>2699</v>
      </c>
      <c r="C73" s="1005">
        <f>C76/C62</f>
        <v>0.16513847271406534</v>
      </c>
      <c r="D73" s="582"/>
      <c r="E73" s="1005">
        <f>E76/E62</f>
        <v>0.10188050485789532</v>
      </c>
      <c r="F73" s="582"/>
      <c r="G73" s="1005">
        <f>G76/G62</f>
        <v>0.14847911212548401</v>
      </c>
      <c r="H73" s="582"/>
      <c r="I73" s="1005">
        <f>I76/I62</f>
        <v>0.16244057195866149</v>
      </c>
      <c r="J73" s="582"/>
      <c r="K73" s="1005">
        <f>K76/K62</f>
        <v>7.6356975913927191E-2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-109280.22</v>
      </c>
      <c r="D75" s="568"/>
      <c r="E75" s="568">
        <f>$C$75</f>
        <v>-109280.22</v>
      </c>
      <c r="F75" s="568"/>
      <c r="G75" s="568">
        <f>$C$75</f>
        <v>-109280.22</v>
      </c>
      <c r="H75" s="568"/>
      <c r="I75" s="568">
        <f>$C$75</f>
        <v>-109280.22</v>
      </c>
      <c r="J75" s="568"/>
      <c r="K75" s="568">
        <f>$C$75</f>
        <v>-109280.22</v>
      </c>
      <c r="L75" s="26"/>
      <c r="M75"/>
      <c r="N75"/>
    </row>
    <row r="76" spans="1:14" s="507" customFormat="1" ht="18.75" customHeight="1">
      <c r="A76"/>
      <c r="B76" s="567" t="s">
        <v>1096</v>
      </c>
      <c r="C76" s="568">
        <f>C70+C75</f>
        <v>32736.060000000027</v>
      </c>
      <c r="D76" s="568"/>
      <c r="E76" s="568">
        <f>E70+E75</f>
        <v>20196.180000000022</v>
      </c>
      <c r="F76" s="568"/>
      <c r="G76" s="568">
        <f>G70+G75</f>
        <v>29860.560000000027</v>
      </c>
      <c r="H76" s="568"/>
      <c r="I76" s="568">
        <f>I70+I75</f>
        <v>32275.98000000004</v>
      </c>
      <c r="J76" s="568"/>
      <c r="K76" s="568">
        <f>K70+K75</f>
        <v>15495.48000000004</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15826399</v>
      </c>
    </row>
    <row r="5" spans="1:7">
      <c r="A5" s="953" t="s">
        <v>3447</v>
      </c>
      <c r="B5" s="954">
        <f>+B18+B26+B38</f>
        <v>1140644.9265301262</v>
      </c>
    </row>
    <row r="6" spans="1:7">
      <c r="A6" s="953" t="s">
        <v>3417</v>
      </c>
      <c r="B6" s="955">
        <f>+B5-B4</f>
        <v>-14685754.073469874</v>
      </c>
    </row>
    <row r="7" spans="1:7">
      <c r="A7" s="953" t="s">
        <v>3418</v>
      </c>
      <c r="B7" s="956">
        <f>+B6/B4</f>
        <v>-0.92792770316670736</v>
      </c>
    </row>
    <row r="8" spans="1:7" ht="9" customHeight="1"/>
    <row r="9" spans="1:7">
      <c r="A9" s="953" t="s">
        <v>3419</v>
      </c>
      <c r="B9" s="954">
        <f>+B18+B26+B33</f>
        <v>1140644.9265301262</v>
      </c>
    </row>
    <row r="10" spans="1:7">
      <c r="A10" s="953" t="s">
        <v>3417</v>
      </c>
      <c r="B10" s="955">
        <f>+B9-B4</f>
        <v>-14685754.073469874</v>
      </c>
    </row>
    <row r="11" spans="1:7">
      <c r="A11" s="953" t="s">
        <v>3418</v>
      </c>
      <c r="B11" s="956">
        <f>+B10/B4</f>
        <v>-0.92792770316670736</v>
      </c>
    </row>
    <row r="12" spans="1:7" ht="24" customHeight="1"/>
    <row r="13" spans="1:7">
      <c r="A13" s="952" t="s">
        <v>3420</v>
      </c>
      <c r="D13" s="1010" t="s">
        <v>3664</v>
      </c>
      <c r="E13" s="1011"/>
    </row>
    <row r="14" spans="1:7">
      <c r="A14" s="953" t="s">
        <v>3421</v>
      </c>
      <c r="B14" s="957">
        <f>+SUM('Part II-Sources of Funds'!L51:M52)</f>
        <v>14757621</v>
      </c>
      <c r="D14" s="1011"/>
      <c r="E14" s="1011"/>
    </row>
    <row r="15" spans="1:7">
      <c r="A15" s="953" t="s">
        <v>3422</v>
      </c>
      <c r="B15" s="958">
        <f>+'Part III-A-Uses of Funds'!J180</f>
        <v>1475762.2</v>
      </c>
      <c r="D15" s="1011" t="s">
        <v>1895</v>
      </c>
      <c r="G15" s="1012">
        <f>'Part III-A-Uses of Funds'!J168</f>
        <v>18561626.199999999</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8827909.4207199998</v>
      </c>
    </row>
    <row r="20" spans="1:7">
      <c r="A20" s="953" t="s">
        <v>3425</v>
      </c>
      <c r="B20" s="957">
        <f>+B18-B14</f>
        <v>-14757621</v>
      </c>
      <c r="D20" s="1011" t="s">
        <v>3669</v>
      </c>
      <c r="G20" s="1014">
        <f>+B14-G19</f>
        <v>5929711.5792800002</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1068777</v>
      </c>
    </row>
    <row r="25" spans="1:7">
      <c r="A25" s="953" t="s">
        <v>3429</v>
      </c>
      <c r="B25" s="961">
        <f>IF('Part II-Sources of Funds'!E6="Yes","N/A",MAX(B46:P46))</f>
        <v>-9066.6800000000221</v>
      </c>
    </row>
    <row r="26" spans="1:7">
      <c r="A26" s="953" t="s">
        <v>3430</v>
      </c>
      <c r="B26" s="951">
        <f>IFERROR(PV('Part II-Sources of Funds'!K40,'Part II-Sources of Funds'!L40,B25+B45),B24)</f>
        <v>1140644.9265301262</v>
      </c>
    </row>
    <row r="27" spans="1:7" ht="9" customHeight="1">
      <c r="B27" s="951"/>
    </row>
    <row r="28" spans="1:7">
      <c r="A28" s="953" t="s">
        <v>3431</v>
      </c>
      <c r="B28" s="962">
        <f>+B26-B24</f>
        <v>71867.926530126249</v>
      </c>
      <c r="C28" s="963"/>
    </row>
    <row r="29" spans="1:7">
      <c r="A29" s="953" t="s">
        <v>3426</v>
      </c>
      <c r="B29" s="964">
        <f>+B28/B24</f>
        <v>6.7243144762776749E-2</v>
      </c>
    </row>
    <row r="30" spans="1:7" ht="24" customHeight="1"/>
    <row r="31" spans="1:7">
      <c r="A31" s="952" t="s">
        <v>3361</v>
      </c>
    </row>
    <row r="32" spans="1:7">
      <c r="A32" s="953" t="s">
        <v>3432</v>
      </c>
      <c r="B32" s="965">
        <f>+'Part II-Sources of Funds'!I45</f>
        <v>915</v>
      </c>
    </row>
    <row r="33" spans="1:11">
      <c r="A33" s="953" t="s">
        <v>3433</v>
      </c>
      <c r="B33" s="951"/>
    </row>
    <row r="34" spans="1:11" ht="9" customHeight="1">
      <c r="B34" s="951"/>
    </row>
    <row r="35" spans="1:11">
      <c r="A35" s="953" t="s">
        <v>3434</v>
      </c>
      <c r="B35" s="965">
        <f>+B33-B32</f>
        <v>-915</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142016.28000000003</v>
      </c>
      <c r="C44" s="954">
        <f>+'Part VI-Pro Forma'!C25</f>
        <v>142738.98559999996</v>
      </c>
      <c r="D44" s="954">
        <f>+'Part VI-Pro Forma'!D25</f>
        <v>143412.62511200001</v>
      </c>
      <c r="E44" s="954">
        <f>+'Part VI-Pro Forma'!E25</f>
        <v>144034.59160823995</v>
      </c>
      <c r="F44" s="954">
        <f>+'Part VI-Pro Forma'!F25</f>
        <v>144602.16885422476</v>
      </c>
      <c r="G44" s="954">
        <f>+'Part VI-Pro Forma'!G25</f>
        <v>145110.52740754391</v>
      </c>
      <c r="H44" s="954">
        <f>+'Part VI-Pro Forma'!H25</f>
        <v>145558.72058721643</v>
      </c>
      <c r="I44" s="954">
        <f>+'Part VI-Pro Forma'!I25</f>
        <v>145941.6803094279</v>
      </c>
      <c r="J44" s="954">
        <f>+'Part VI-Pro Forma'!J25</f>
        <v>146256.21278539789</v>
      </c>
      <c r="K44" s="954">
        <f>+'Part VI-Pro Forma'!K25</f>
        <v>146498.99407698057</v>
      </c>
    </row>
    <row r="45" spans="1:11">
      <c r="A45" s="953" t="s">
        <v>3438</v>
      </c>
      <c r="B45" s="954">
        <f>SUM('Part VI-Pro Forma'!B26:B29)</f>
        <v>-109280.22</v>
      </c>
      <c r="C45" s="954">
        <f>SUM('Part VI-Pro Forma'!C26:C29)</f>
        <v>-109280.22</v>
      </c>
      <c r="D45" s="954">
        <f>SUM('Part VI-Pro Forma'!D26:D29)</f>
        <v>-109280.22</v>
      </c>
      <c r="E45" s="954">
        <f>SUM('Part VI-Pro Forma'!E26:E29)</f>
        <v>-109280.22</v>
      </c>
      <c r="F45" s="954">
        <f>SUM('Part VI-Pro Forma'!F26:F29)</f>
        <v>-109280.22</v>
      </c>
      <c r="G45" s="954">
        <f>SUM('Part VI-Pro Forma'!G26:G29)</f>
        <v>-109280.22</v>
      </c>
      <c r="H45" s="954">
        <f>SUM('Part VI-Pro Forma'!H26:H29)</f>
        <v>-109280.22</v>
      </c>
      <c r="I45" s="954">
        <f>SUM('Part VI-Pro Forma'!I26:I29)</f>
        <v>-109280.22</v>
      </c>
      <c r="J45" s="954">
        <f>SUM('Part VI-Pro Forma'!J26:J29)</f>
        <v>-109280.22</v>
      </c>
      <c r="K45" s="954">
        <f>SUM('Part VI-Pro Forma'!K26:K29)</f>
        <v>-109280.22</v>
      </c>
    </row>
    <row r="46" spans="1:11">
      <c r="A46" s="953" t="s">
        <v>3439</v>
      </c>
      <c r="B46" s="955">
        <f t="shared" ref="B46:K46" si="0">-B44/B48-B45</f>
        <v>-9066.6800000000221</v>
      </c>
      <c r="C46" s="955">
        <f t="shared" si="0"/>
        <v>-9668.9346666666388</v>
      </c>
      <c r="D46" s="955">
        <f t="shared" si="0"/>
        <v>-10230.300926666678</v>
      </c>
      <c r="E46" s="955">
        <f t="shared" si="0"/>
        <v>-10748.606340199956</v>
      </c>
      <c r="F46" s="955">
        <f t="shared" si="0"/>
        <v>-11221.587378520635</v>
      </c>
      <c r="G46" s="955">
        <f t="shared" si="0"/>
        <v>-11645.219506286594</v>
      </c>
      <c r="H46" s="955">
        <f t="shared" si="0"/>
        <v>-12018.713822680365</v>
      </c>
      <c r="I46" s="955">
        <f t="shared" si="0"/>
        <v>-12337.846924523255</v>
      </c>
      <c r="J46" s="955">
        <f t="shared" si="0"/>
        <v>-12599.957321164911</v>
      </c>
      <c r="K46" s="955">
        <f t="shared" si="0"/>
        <v>-12802.275064150483</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142016.28000000003</v>
      </c>
      <c r="C51" s="955">
        <f t="shared" ref="C51:K51" si="2">+C44</f>
        <v>142738.98559999996</v>
      </c>
      <c r="D51" s="955">
        <f t="shared" si="2"/>
        <v>143412.62511200001</v>
      </c>
      <c r="E51" s="955">
        <f t="shared" si="2"/>
        <v>144034.59160823995</v>
      </c>
      <c r="F51" s="955">
        <f t="shared" si="2"/>
        <v>144602.16885422476</v>
      </c>
      <c r="G51" s="955">
        <f t="shared" si="2"/>
        <v>145110.52740754391</v>
      </c>
      <c r="H51" s="955">
        <f t="shared" si="2"/>
        <v>145558.72058721643</v>
      </c>
      <c r="I51" s="955">
        <f t="shared" si="2"/>
        <v>145941.6803094279</v>
      </c>
      <c r="J51" s="955">
        <f t="shared" si="2"/>
        <v>146256.21278539789</v>
      </c>
      <c r="K51" s="955">
        <f t="shared" si="2"/>
        <v>146498.99407698057</v>
      </c>
    </row>
    <row r="52" spans="1:17">
      <c r="A52" s="953" t="s">
        <v>3441</v>
      </c>
      <c r="B52" s="955">
        <f>IF($B$25="N/A",B45,B45+$B$25)</f>
        <v>-118346.90000000002</v>
      </c>
      <c r="C52" s="955">
        <f t="shared" ref="C52:K52" si="3">IF($B$25="N/A",C45,C45+$B$25)</f>
        <v>-118346.90000000002</v>
      </c>
      <c r="D52" s="955">
        <f t="shared" si="3"/>
        <v>-118346.90000000002</v>
      </c>
      <c r="E52" s="955">
        <f t="shared" si="3"/>
        <v>-118346.90000000002</v>
      </c>
      <c r="F52" s="955">
        <f t="shared" si="3"/>
        <v>-118346.90000000002</v>
      </c>
      <c r="G52" s="955">
        <f t="shared" si="3"/>
        <v>-118346.90000000002</v>
      </c>
      <c r="H52" s="955">
        <f t="shared" si="3"/>
        <v>-118346.90000000002</v>
      </c>
      <c r="I52" s="955">
        <f t="shared" si="3"/>
        <v>-118346.90000000002</v>
      </c>
      <c r="J52" s="955">
        <f t="shared" si="3"/>
        <v>-118346.90000000002</v>
      </c>
      <c r="K52" s="955">
        <f t="shared" si="3"/>
        <v>-118346.90000000002</v>
      </c>
    </row>
    <row r="53" spans="1:17">
      <c r="A53" s="953" t="s">
        <v>3442</v>
      </c>
      <c r="B53" s="954">
        <f>+'Part VI-Pro Forma'!B31</f>
        <v>-6075</v>
      </c>
      <c r="C53" s="954">
        <f>+'Part VI-Pro Forma'!C31</f>
        <v>-6257.25</v>
      </c>
      <c r="D53" s="954">
        <f>+'Part VI-Pro Forma'!D31</f>
        <v>-6444.9674999999997</v>
      </c>
      <c r="E53" s="954">
        <f>+'Part VI-Pro Forma'!E31</f>
        <v>-6638.3165250000002</v>
      </c>
      <c r="F53" s="954">
        <f>+'Part VI-Pro Forma'!F31</f>
        <v>-6837.4660207500001</v>
      </c>
      <c r="G53" s="954">
        <f>+'Part VI-Pro Forma'!G31</f>
        <v>-7042.5900013725004</v>
      </c>
      <c r="H53" s="954">
        <f>+'Part VI-Pro Forma'!H31</f>
        <v>-7253.8677014136756</v>
      </c>
      <c r="I53" s="954">
        <f>+'Part VI-Pro Forma'!I31</f>
        <v>-7471.4837324560858</v>
      </c>
      <c r="J53" s="954">
        <f>+'Part VI-Pro Forma'!J31</f>
        <v>-7695.6282444297685</v>
      </c>
      <c r="K53" s="954">
        <f>+'Part VI-Pro Forma'!K31</f>
        <v>-7926.4970917626615</v>
      </c>
    </row>
    <row r="54" spans="1:17">
      <c r="A54" s="953" t="s">
        <v>3443</v>
      </c>
      <c r="B54" s="955">
        <f>+SUM(B51:B53)</f>
        <v>17594.380000000005</v>
      </c>
      <c r="C54" s="955">
        <f t="shared" ref="C54:K54" si="4">+SUM(C51:C53)</f>
        <v>18134.835599999933</v>
      </c>
      <c r="D54" s="955">
        <f t="shared" si="4"/>
        <v>18620.757611999987</v>
      </c>
      <c r="E54" s="955">
        <f t="shared" si="4"/>
        <v>19049.375083239924</v>
      </c>
      <c r="F54" s="955">
        <f t="shared" si="4"/>
        <v>19417.802833474736</v>
      </c>
      <c r="G54" s="955">
        <f t="shared" si="4"/>
        <v>19721.037406171385</v>
      </c>
      <c r="H54" s="955">
        <f t="shared" si="4"/>
        <v>19957.952885802733</v>
      </c>
      <c r="I54" s="955">
        <f t="shared" si="4"/>
        <v>20123.296576971792</v>
      </c>
      <c r="J54" s="955">
        <f t="shared" si="4"/>
        <v>20213.684540968097</v>
      </c>
      <c r="K54" s="955">
        <f t="shared" si="4"/>
        <v>20225.596985217882</v>
      </c>
    </row>
    <row r="55" spans="1:17">
      <c r="A55" s="953" t="s">
        <v>3361</v>
      </c>
      <c r="B55" s="955">
        <f>-B54</f>
        <v>-17594.380000000005</v>
      </c>
      <c r="C55" s="955">
        <f t="shared" ref="C55:K55" si="5">-C54</f>
        <v>-18134.835599999933</v>
      </c>
      <c r="D55" s="955">
        <f t="shared" si="5"/>
        <v>-18620.757611999987</v>
      </c>
      <c r="E55" s="955">
        <f t="shared" si="5"/>
        <v>-19049.375083239924</v>
      </c>
      <c r="F55" s="955">
        <f t="shared" si="5"/>
        <v>-19417.802833474736</v>
      </c>
      <c r="G55" s="955">
        <f t="shared" si="5"/>
        <v>-19721.037406171385</v>
      </c>
      <c r="H55" s="955">
        <f t="shared" si="5"/>
        <v>-19957.952885802733</v>
      </c>
      <c r="I55" s="955">
        <f t="shared" si="5"/>
        <v>-20123.296576971792</v>
      </c>
      <c r="J55" s="955">
        <f t="shared" si="5"/>
        <v>-20213.684540968097</v>
      </c>
      <c r="K55" s="955">
        <f t="shared" si="5"/>
        <v>-20225.596985217882</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1115463.1816900435</v>
      </c>
      <c r="C58" s="954">
        <f>IF($B$26="","",-FV('Part II-Sources of Funds'!$K$40/12,12,C52/12,B58))</f>
        <v>1088123.559280437</v>
      </c>
      <c r="D58" s="954">
        <f>IF($B$26="","",-FV('Part II-Sources of Funds'!$K$40/12,12,D52/12,C58))</f>
        <v>1058441.1461574945</v>
      </c>
      <c r="E58" s="954">
        <f>IF($B$26="","",-FV('Part II-Sources of Funds'!$K$40/12,12,E52/12,D58))</f>
        <v>1026215.1835746521</v>
      </c>
      <c r="F58" s="954">
        <f>IF($B$26="","",-FV('Part II-Sources of Funds'!$K$40/12,12,F52/12,E58))</f>
        <v>991227.70933900541</v>
      </c>
      <c r="G58" s="954">
        <f>IF($B$26="","",-FV('Part II-Sources of Funds'!$K$40/12,12,G52/12,F58))</f>
        <v>953242.08361120266</v>
      </c>
      <c r="H58" s="954">
        <f>IF($B$26="","",-FV('Part II-Sources of Funds'!$K$40/12,12,H52/12,G58))</f>
        <v>912001.38837797474</v>
      </c>
      <c r="I58" s="954">
        <f>IF($B$26="","",-FV('Part II-Sources of Funds'!$K$40/12,12,I52/12,H58))</f>
        <v>867226.68977204582</v>
      </c>
      <c r="J58" s="954">
        <f>IF($B$26="","",-FV('Part II-Sources of Funds'!$K$40/12,12,J52/12,I58))</f>
        <v>818615.15148651972</v>
      </c>
      <c r="K58" s="954">
        <f>IF($B$26="","",-FV('Part II-Sources of Funds'!$K$40/12,12,K52/12,J58))</f>
        <v>765837.98652371066</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146666.56550547123</v>
      </c>
      <c r="C64" s="954">
        <f>+'Part VI-Pro Forma'!C57</f>
        <v>146754.32890894002</v>
      </c>
      <c r="D64" s="954">
        <f>+'Part VI-Pro Forma'!D57</f>
        <v>146758.54174327932</v>
      </c>
      <c r="E64" s="954">
        <f>+'Part VI-Pro Forma'!E57</f>
        <v>146675.31202199007</v>
      </c>
      <c r="F64" s="954">
        <f>+'Part VI-Pro Forma'!F57</f>
        <v>146498.59308959029</v>
      </c>
      <c r="G64" s="954">
        <f>+'Part VI-Pro Forma'!G57</f>
        <v>146226.17822335719</v>
      </c>
      <c r="H64" s="954">
        <f>+'Part VI-Pro Forma'!H57</f>
        <v>145851.69505795906</v>
      </c>
      <c r="I64" s="954">
        <f>+'Part VI-Pro Forma'!I57</f>
        <v>145371.59982735675</v>
      </c>
      <c r="J64" s="954">
        <f>+'Part VI-Pro Forma'!J57</f>
        <v>144779.17141818957</v>
      </c>
      <c r="K64" s="954">
        <f>+'Part VI-Pro Forma'!K57</f>
        <v>144070.50522866775</v>
      </c>
    </row>
    <row r="65" spans="1:11">
      <c r="A65" s="953" t="s">
        <v>3438</v>
      </c>
      <c r="B65" s="954">
        <f>SUM('Part VI-Pro Forma'!B58:B61)</f>
        <v>-109280.22</v>
      </c>
      <c r="C65" s="954">
        <f>SUM('Part VI-Pro Forma'!C58:C61)</f>
        <v>-109280.22</v>
      </c>
      <c r="D65" s="954">
        <f>SUM('Part VI-Pro Forma'!D58:D61)</f>
        <v>-109280.22</v>
      </c>
      <c r="E65" s="954">
        <f>SUM('Part VI-Pro Forma'!E58:E61)</f>
        <v>-109280.22</v>
      </c>
      <c r="F65" s="954">
        <f>SUM('Part VI-Pro Forma'!F58:F61)</f>
        <v>-109280.22</v>
      </c>
      <c r="G65" s="954">
        <f>SUM('Part VI-Pro Forma'!G58:G61)</f>
        <v>-109280.22</v>
      </c>
      <c r="H65" s="954">
        <f>SUM('Part VI-Pro Forma'!H58:H61)</f>
        <v>-109280.22</v>
      </c>
      <c r="I65" s="954">
        <f>SUM('Part VI-Pro Forma'!I58:I61)</f>
        <v>-109280.22</v>
      </c>
      <c r="J65" s="954">
        <f>SUM('Part VI-Pro Forma'!J58:J61)</f>
        <v>-109280.22</v>
      </c>
      <c r="K65" s="954">
        <f>SUM('Part VI-Pro Forma'!K58:K61)</f>
        <v>-109280.22</v>
      </c>
    </row>
    <row r="66" spans="1:11">
      <c r="A66" s="953" t="s">
        <v>3439</v>
      </c>
      <c r="B66" s="955">
        <f t="shared" ref="B66:K66" si="7">-B64/B68-B65</f>
        <v>-12941.917921226021</v>
      </c>
      <c r="C66" s="955">
        <f t="shared" si="7"/>
        <v>-13015.054090783349</v>
      </c>
      <c r="D66" s="955">
        <f t="shared" si="7"/>
        <v>-13018.564786066097</v>
      </c>
      <c r="E66" s="955">
        <f t="shared" si="7"/>
        <v>-12949.206684991732</v>
      </c>
      <c r="F66" s="955">
        <f t="shared" si="7"/>
        <v>-12801.940907991913</v>
      </c>
      <c r="G66" s="955">
        <f t="shared" si="7"/>
        <v>-12574.928519464331</v>
      </c>
      <c r="H66" s="955">
        <f t="shared" si="7"/>
        <v>-12262.859214965894</v>
      </c>
      <c r="I66" s="955">
        <f t="shared" si="7"/>
        <v>-11862.779856130626</v>
      </c>
      <c r="J66" s="955">
        <f t="shared" si="7"/>
        <v>-11369.089515157975</v>
      </c>
      <c r="K66" s="955">
        <f t="shared" si="7"/>
        <v>-10778.534357223136</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146666.56550547123</v>
      </c>
      <c r="C71" s="955">
        <f t="shared" si="9"/>
        <v>146754.32890894002</v>
      </c>
      <c r="D71" s="955">
        <f t="shared" si="9"/>
        <v>146758.54174327932</v>
      </c>
      <c r="E71" s="955">
        <f t="shared" si="9"/>
        <v>146675.31202199007</v>
      </c>
      <c r="F71" s="955">
        <f t="shared" si="9"/>
        <v>146498.59308959029</v>
      </c>
      <c r="G71" s="955">
        <f t="shared" si="9"/>
        <v>146226.17822335719</v>
      </c>
      <c r="H71" s="955">
        <f>+H64</f>
        <v>145851.69505795906</v>
      </c>
      <c r="I71" s="955">
        <f>+I64</f>
        <v>145371.59982735675</v>
      </c>
      <c r="J71" s="955">
        <f>+J64</f>
        <v>144779.17141818957</v>
      </c>
      <c r="K71" s="955">
        <f>+K64</f>
        <v>144070.50522866775</v>
      </c>
    </row>
    <row r="72" spans="1:11">
      <c r="A72" s="953" t="s">
        <v>3441</v>
      </c>
      <c r="B72" s="955">
        <f t="shared" ref="B72:G72" si="10">IF($B$25="N/A",B65,B65+$B$25)</f>
        <v>-118346.90000000002</v>
      </c>
      <c r="C72" s="955">
        <f t="shared" si="10"/>
        <v>-118346.90000000002</v>
      </c>
      <c r="D72" s="955">
        <f t="shared" si="10"/>
        <v>-118346.90000000002</v>
      </c>
      <c r="E72" s="955">
        <f t="shared" si="10"/>
        <v>-118346.90000000002</v>
      </c>
      <c r="F72" s="955">
        <f t="shared" si="10"/>
        <v>-118346.90000000002</v>
      </c>
      <c r="G72" s="955">
        <f t="shared" si="10"/>
        <v>-118346.90000000002</v>
      </c>
      <c r="H72" s="955">
        <f>IF($B$25="N/A",H65,H65+$B$25)</f>
        <v>-118346.90000000002</v>
      </c>
      <c r="I72" s="955">
        <f>IF($B$25="N/A",I65,I65+$B$25)</f>
        <v>-118346.90000000002</v>
      </c>
      <c r="J72" s="955">
        <f>IF($B$25="N/A",J65,J65+$B$25)</f>
        <v>-118346.90000000002</v>
      </c>
      <c r="K72" s="955">
        <f>IF($B$25="N/A",K65,K65+$B$25)</f>
        <v>-118346.90000000002</v>
      </c>
    </row>
    <row r="73" spans="1:11">
      <c r="A73" s="953" t="s">
        <v>3442</v>
      </c>
      <c r="B73" s="954">
        <f>+'Part VI-Pro Forma'!B63</f>
        <v>-8164.2920045155415</v>
      </c>
      <c r="C73" s="954">
        <f>+'Part VI-Pro Forma'!C63</f>
        <v>-8409.2207646510069</v>
      </c>
      <c r="D73" s="954">
        <f>+'Part VI-Pro Forma'!D63</f>
        <v>-8661.497387590538</v>
      </c>
      <c r="E73" s="954">
        <f>+'Part VI-Pro Forma'!E63</f>
        <v>-8921.3423092182547</v>
      </c>
      <c r="F73" s="954">
        <f>+'Part VI-Pro Forma'!F63</f>
        <v>-9188.9825784948025</v>
      </c>
      <c r="G73" s="954">
        <f>+'Part VI-Pro Forma'!G63</f>
        <v>-9464.6520558496468</v>
      </c>
      <c r="H73" s="954">
        <f>+'Part VI-Pro Forma'!H63</f>
        <v>-9748.5916175251368</v>
      </c>
      <c r="I73" s="954">
        <f>+'Part VI-Pro Forma'!I63</f>
        <v>-10041.049366050891</v>
      </c>
      <c r="J73" s="954">
        <f>+'Part VI-Pro Forma'!J63</f>
        <v>-10342.280847032418</v>
      </c>
      <c r="K73" s="954">
        <f>+'Part VI-Pro Forma'!K63</f>
        <v>-10652.54927244339</v>
      </c>
    </row>
    <row r="74" spans="1:11">
      <c r="A74" s="953" t="s">
        <v>3443</v>
      </c>
      <c r="B74" s="955">
        <f t="shared" ref="B74:G74" si="11">+SUM(B71:B73)</f>
        <v>20155.373500955662</v>
      </c>
      <c r="C74" s="955">
        <f t="shared" si="11"/>
        <v>19998.20814428899</v>
      </c>
      <c r="D74" s="955">
        <f t="shared" si="11"/>
        <v>19750.144355688757</v>
      </c>
      <c r="E74" s="955">
        <f t="shared" si="11"/>
        <v>19407.069712771794</v>
      </c>
      <c r="F74" s="955">
        <f t="shared" si="11"/>
        <v>18962.710511095458</v>
      </c>
      <c r="G74" s="955">
        <f t="shared" si="11"/>
        <v>18414.626167507515</v>
      </c>
      <c r="H74" s="955">
        <f>+SUM(H71:H73)</f>
        <v>17756.203440433903</v>
      </c>
      <c r="I74" s="955">
        <f>+SUM(I71:I73)</f>
        <v>16983.650461305839</v>
      </c>
      <c r="J74" s="955">
        <f>+SUM(J71:J73)</f>
        <v>16089.990571157125</v>
      </c>
      <c r="K74" s="955">
        <f>+SUM(K71:K73)</f>
        <v>15071.05595622434</v>
      </c>
    </row>
    <row r="75" spans="1:11">
      <c r="A75" s="953" t="s">
        <v>3361</v>
      </c>
      <c r="B75" s="955">
        <f t="shared" ref="B75:G75" si="12">-B74</f>
        <v>-20155.373500955662</v>
      </c>
      <c r="C75" s="955">
        <f t="shared" si="12"/>
        <v>-19998.20814428899</v>
      </c>
      <c r="D75" s="955">
        <f t="shared" si="12"/>
        <v>-19750.144355688757</v>
      </c>
      <c r="E75" s="955">
        <f t="shared" si="12"/>
        <v>-19407.069712771794</v>
      </c>
      <c r="F75" s="955">
        <f t="shared" si="12"/>
        <v>-18962.710511095458</v>
      </c>
      <c r="G75" s="955">
        <f t="shared" si="12"/>
        <v>-18414.626167507515</v>
      </c>
      <c r="H75" s="955">
        <f>-H74</f>
        <v>-17756.203440433903</v>
      </c>
      <c r="I75" s="955">
        <f>-I74</f>
        <v>-16983.650461305839</v>
      </c>
      <c r="J75" s="955">
        <f>-J74</f>
        <v>-16089.990571157125</v>
      </c>
      <c r="K75" s="955">
        <f>-K74</f>
        <v>-15071.05595622434</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708538.23342495074</v>
      </c>
      <c r="C78" s="954">
        <f>IF($B$26="","",-FV('Part II-Sources of Funds'!$K$40/12,12,C72/12,B78))</f>
        <v>646328.341940774</v>
      </c>
      <c r="D78" s="954">
        <f>IF($B$26="","",-FV('Part II-Sources of Funds'!$K$40/12,12,D72/12,C78))</f>
        <v>578787.55181201501</v>
      </c>
      <c r="E78" s="954">
        <f>IF($B$26="","",-FV('Part II-Sources of Funds'!$K$40/12,12,E72/12,D78))</f>
        <v>505459.04693305446</v>
      </c>
      <c r="F78" s="954">
        <f>IF($B$26="","",-FV('Part II-Sources of Funds'!$K$40/12,12,F72/12,E78))</f>
        <v>425846.86564922635</v>
      </c>
      <c r="G78" s="954">
        <f>IF($B$26="","",-FV('Part II-Sources of Funds'!$K$40/12,12,G72/12,F78))</f>
        <v>339412.54629100318</v>
      </c>
      <c r="H78" s="954">
        <f>IF($B$26="","",-FV('Part II-Sources of Funds'!$K$40/12,12,H72/12,G78))</f>
        <v>245571.48525683064</v>
      </c>
      <c r="I78" s="954">
        <f>IF($B$26="","",-FV('Part II-Sources of Funds'!$K$40/12,12,I72/12,H78))</f>
        <v>143688.98301229259</v>
      </c>
      <c r="J78" s="954">
        <f>IF($B$26="","",-FV('Part II-Sources of Funds'!$K$40/12,12,J72/12,I78))</f>
        <v>33075.951262487812</v>
      </c>
      <c r="K78" s="954">
        <f>IF($B$26="","",-FV('Part II-Sources of Funds'!$K$40/12,12,K72/12,J78))</f>
        <v>-87015.747737172962</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The Bridges at Lincom</v>
      </c>
    </row>
    <row r="2" spans="1:15" ht="13.5" customHeight="1"/>
    <row r="3" spans="1:15" ht="13.5" customHeight="1">
      <c r="A3" s="517" t="s">
        <v>2706</v>
      </c>
      <c r="C3" s="516" t="s">
        <v>2707</v>
      </c>
      <c r="E3" s="586">
        <f>SUM('Part III-A-Uses of Funds'!J162,'Part III-A-Uses of Funds'!M162,'Part III-A-Uses of Funds'!P162)</f>
        <v>14278174</v>
      </c>
      <c r="F3" s="1024" t="s">
        <v>2708</v>
      </c>
      <c r="H3" s="1006">
        <v>27.5</v>
      </c>
      <c r="I3" s="516" t="s">
        <v>2273</v>
      </c>
      <c r="K3" s="521" t="s">
        <v>2729</v>
      </c>
      <c r="M3" s="1024"/>
      <c r="O3" s="587"/>
    </row>
    <row r="4" spans="1:15" ht="13.5" customHeight="1">
      <c r="C4" s="516" t="s">
        <v>3127</v>
      </c>
      <c r="E4" s="586">
        <f>SUM('Part III-A-Uses of Funds'!G97:H101)</f>
        <v>70064</v>
      </c>
      <c r="F4" s="1024" t="s">
        <v>3661</v>
      </c>
      <c r="H4" s="517">
        <f>'Part II-Sources of Funds'!M40</f>
        <v>20</v>
      </c>
      <c r="I4" s="516" t="s">
        <v>2273</v>
      </c>
      <c r="K4" s="588" t="s">
        <v>2957</v>
      </c>
      <c r="M4" s="1024"/>
    </row>
    <row r="5" spans="1:15" ht="13.5" customHeight="1">
      <c r="C5" s="516" t="s">
        <v>3128</v>
      </c>
      <c r="E5" s="586">
        <f>SUM('Part III-A-Uses of Funds'!G105:H111)</f>
        <v>160106</v>
      </c>
      <c r="F5" s="1024" t="s">
        <v>3660</v>
      </c>
      <c r="H5" s="1006">
        <v>15</v>
      </c>
      <c r="I5" s="516" t="s">
        <v>2273</v>
      </c>
      <c r="K5" s="587">
        <f>-E6</f>
        <v>-14756706.908549998</v>
      </c>
    </row>
    <row r="6" spans="1:15" ht="13.5" customHeight="1">
      <c r="C6" s="516" t="s">
        <v>2709</v>
      </c>
      <c r="E6" s="589">
        <f>'Part II-Sources of Funds'!$I$51+'Part II-Sources of Funds'!$I$52</f>
        <v>14756706.908549998</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25746.060000000027</v>
      </c>
      <c r="D9" s="594">
        <f>'Part VI-Pro Forma'!C33</f>
        <v>27201.515599999955</v>
      </c>
      <c r="E9" s="594">
        <f>'Part VI-Pro Forma'!D33</f>
        <v>27687.437612000009</v>
      </c>
      <c r="F9" s="594">
        <f>'Part VI-Pro Forma'!E33</f>
        <v>28116.055083239946</v>
      </c>
      <c r="G9" s="594">
        <f>'Part VI-Pro Forma'!F33</f>
        <v>28484.482833474758</v>
      </c>
      <c r="H9" s="594">
        <f>'Part VI-Pro Forma'!G33</f>
        <v>28787.717406171407</v>
      </c>
      <c r="I9" s="594">
        <f>'Part VI-Pro Forma'!H33</f>
        <v>29024.632885802755</v>
      </c>
      <c r="K9" s="587" t="e">
        <f>F24</f>
        <v>#VALUE!</v>
      </c>
      <c r="N9" s="595" t="s">
        <v>2715</v>
      </c>
    </row>
    <row r="10" spans="1:15" ht="13.5" customHeight="1">
      <c r="A10" s="516" t="s">
        <v>2714</v>
      </c>
      <c r="C10" s="978">
        <f>'Part II-Sources of Funds'!I40-'Part VI-Pro Forma'!B40</f>
        <v>21922.767836786807</v>
      </c>
      <c r="D10" s="596">
        <f>'Part VI-Pro Forma'!B40-'Part VI-Pro Forma'!C40</f>
        <v>23801.376697185449</v>
      </c>
      <c r="E10" s="596">
        <f>'Part VI-Pro Forma'!C40-'Part VI-Pro Forma'!D40</f>
        <v>25840.967568461783</v>
      </c>
      <c r="F10" s="596">
        <f>'Part VI-Pro Forma'!D40-'Part VI-Pro Forma'!E40</f>
        <v>28055.335343407001</v>
      </c>
      <c r="G10" s="596">
        <f>'Part VI-Pro Forma'!E40-'Part VI-Pro Forma'!F40</f>
        <v>30459.457028678153</v>
      </c>
      <c r="H10" s="596">
        <f>'Part VI-Pro Forma'!F40-'Part VI-Pro Forma'!G40</f>
        <v>33069.593042662134</v>
      </c>
      <c r="I10" s="596">
        <f>'Part VI-Pro Forma'!G40-'Part VI-Pro Forma'!H40</f>
        <v>35903.397193772951</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-13500</v>
      </c>
      <c r="D13" s="979">
        <f>'Part VI-Pro Forma'!C23</f>
        <v>-13905</v>
      </c>
      <c r="E13" s="979">
        <f>'Part VI-Pro Forma'!D23</f>
        <v>-14322.15</v>
      </c>
      <c r="F13" s="979">
        <f>'Part VI-Pro Forma'!E23</f>
        <v>-14751.8145</v>
      </c>
      <c r="G13" s="979">
        <f>'Part VI-Pro Forma'!F23</f>
        <v>-15194.368934999999</v>
      </c>
      <c r="H13" s="979">
        <f>'Part VI-Pro Forma'!G23</f>
        <v>-15650.200003049998</v>
      </c>
      <c r="I13" s="979">
        <f>'Part VI-Pro Forma'!H23</f>
        <v>-16119.706003141499</v>
      </c>
      <c r="K13" s="587" t="e">
        <f>C44</f>
        <v>#VALUE!</v>
      </c>
      <c r="O13" s="592"/>
    </row>
    <row r="14" spans="1:15" ht="13.5" customHeight="1">
      <c r="A14" s="598" t="s">
        <v>3130</v>
      </c>
      <c r="B14" s="598"/>
      <c r="C14" s="979">
        <f>'Part VI-Pro Forma'!B32</f>
        <v>-915</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519206.32727272727</v>
      </c>
      <c r="D15" s="599">
        <f t="shared" si="0"/>
        <v>519206.32727272727</v>
      </c>
      <c r="E15" s="599">
        <f t="shared" si="0"/>
        <v>519206.32727272727</v>
      </c>
      <c r="F15" s="599">
        <f t="shared" si="0"/>
        <v>519206.32727272727</v>
      </c>
      <c r="G15" s="599">
        <f t="shared" si="0"/>
        <v>519206.32727272727</v>
      </c>
      <c r="H15" s="599">
        <f t="shared" si="0"/>
        <v>519206.32727272727</v>
      </c>
      <c r="I15" s="599">
        <f t="shared" si="0"/>
        <v>519206.32727272727</v>
      </c>
      <c r="K15" s="587" t="e">
        <f>E44</f>
        <v>#VALUE!</v>
      </c>
      <c r="O15" s="592"/>
    </row>
    <row r="16" spans="1:15" ht="13.5" customHeight="1">
      <c r="A16" s="516" t="s">
        <v>2719</v>
      </c>
      <c r="C16" s="599">
        <f>IF(C$8&lt;=$H$4,($E$4/$H$4),0)+IF(C$8&lt;=$H$5,($E$5/$H$5),0)</f>
        <v>14176.933333333334</v>
      </c>
      <c r="D16" s="599">
        <f t="shared" ref="D16:I16" si="1">IF(D$8&lt;=$H$4,($E$4/$H$4),0)+IF(D$8&lt;=$H$5,($E$5/$H$5),0)</f>
        <v>14176.933333333334</v>
      </c>
      <c r="E16" s="599">
        <f t="shared" si="1"/>
        <v>14176.933333333334</v>
      </c>
      <c r="F16" s="599">
        <f t="shared" si="1"/>
        <v>14176.933333333334</v>
      </c>
      <c r="G16" s="599">
        <f t="shared" si="1"/>
        <v>14176.933333333334</v>
      </c>
      <c r="H16" s="599">
        <f t="shared" si="1"/>
        <v>14176.933333333334</v>
      </c>
      <c r="I16" s="599">
        <f t="shared" si="1"/>
        <v>14176.933333333334</v>
      </c>
      <c r="K16" s="587" t="e">
        <f>F44</f>
        <v>#VALUE!</v>
      </c>
      <c r="M16" s="516" t="s">
        <v>2723</v>
      </c>
      <c r="O16" s="592">
        <f>E3</f>
        <v>14278174</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10384126.545454545</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3894047.4545454551</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1101315</v>
      </c>
      <c r="D21" s="600">
        <f t="shared" ref="D21:I21" si="5">C21</f>
        <v>1101315</v>
      </c>
      <c r="E21" s="600">
        <f t="shared" si="5"/>
        <v>1101315</v>
      </c>
      <c r="F21" s="600">
        <f t="shared" si="5"/>
        <v>1101315</v>
      </c>
      <c r="G21" s="600">
        <f t="shared" si="5"/>
        <v>1101315</v>
      </c>
      <c r="H21" s="600">
        <f t="shared" si="5"/>
        <v>1101315</v>
      </c>
      <c r="I21" s="600">
        <f t="shared" si="5"/>
        <v>1101315</v>
      </c>
      <c r="J21" s="516" t="s">
        <v>233</v>
      </c>
      <c r="K21" s="587" t="e">
        <f>D64</f>
        <v>#VALUE!</v>
      </c>
      <c r="O21" s="592"/>
    </row>
    <row r="22" spans="1:17" ht="13.5" customHeight="1">
      <c r="A22" s="516" t="s">
        <v>2726</v>
      </c>
      <c r="C22" s="600">
        <f>C21</f>
        <v>1101315</v>
      </c>
      <c r="D22" s="600">
        <f t="shared" ref="D22:I22" si="6">D21</f>
        <v>1101315</v>
      </c>
      <c r="E22" s="600">
        <f t="shared" si="6"/>
        <v>1101315</v>
      </c>
      <c r="F22" s="600">
        <f t="shared" si="6"/>
        <v>1101315</v>
      </c>
      <c r="G22" s="600">
        <f t="shared" si="6"/>
        <v>1101315</v>
      </c>
      <c r="H22" s="600">
        <f t="shared" si="6"/>
        <v>1101315</v>
      </c>
      <c r="I22" s="600">
        <f t="shared" si="6"/>
        <v>1101315</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3894047.4545454551</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-3894047.4545454551</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29189.976576971814</v>
      </c>
      <c r="D29" s="594">
        <f>'Part VI-Pro Forma'!J33</f>
        <v>29280.364540968119</v>
      </c>
      <c r="E29" s="594">
        <f>'Part VI-Pro Forma'!K33</f>
        <v>29292.276985217904</v>
      </c>
      <c r="F29" s="594">
        <f>'Part VI-Pro Forma'!B65</f>
        <v>29222.053500955684</v>
      </c>
      <c r="G29" s="594">
        <f>'Part VI-Pro Forma'!C65</f>
        <v>29064.888144289012</v>
      </c>
      <c r="H29" s="594">
        <f>'Part VI-Pro Forma'!D65</f>
        <v>28816.824355688779</v>
      </c>
      <c r="I29" s="594">
        <f>'Part VI-Pro Forma'!E65</f>
        <v>28473.749712771816</v>
      </c>
      <c r="N29" s="603"/>
      <c r="O29" s="603"/>
    </row>
    <row r="30" spans="1:17" ht="13.5" customHeight="1">
      <c r="A30" s="516" t="s">
        <v>2714</v>
      </c>
      <c r="C30" s="596">
        <f>'Part VI-Pro Forma'!H40-'Part VI-Pro Forma'!I40</f>
        <v>38980.036083022016</v>
      </c>
      <c r="D30" s="596">
        <f>'Part VI-Pro Forma'!I40-'Part VI-Pro Forma'!J40</f>
        <v>42320.31873845146</v>
      </c>
      <c r="E30" s="596">
        <f>'Part VI-Pro Forma'!J40-'Part VI-Pro Forma'!K40</f>
        <v>45946.8373582192</v>
      </c>
      <c r="F30" s="976">
        <f>'Part VI-Pro Forma'!K40-'Part VI-Pro Forma'!B72</f>
        <v>49884.120114259189</v>
      </c>
      <c r="G30" s="976">
        <f>'Part VI-Pro Forma'!B72-'Part VI-Pro Forma'!C72</f>
        <v>54158.797050014953</v>
      </c>
      <c r="H30" s="976">
        <f>'Part VI-Pro Forma'!C72-'Part VI-Pro Forma'!D72</f>
        <v>58799.780194304185</v>
      </c>
      <c r="I30" s="976">
        <f>'Part VI-Pro Forma'!D72-'Part VI-Pro Forma'!E72</f>
        <v>63838.459109525778</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-778809.49090909108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-16603.297183235743</v>
      </c>
      <c r="D33" s="979">
        <f>'Part VI-Pro Forma'!J23</f>
        <v>-17101.396098732814</v>
      </c>
      <c r="E33" s="979">
        <f>'Part VI-Pro Forma'!K23</f>
        <v>-17614.437981694799</v>
      </c>
      <c r="F33" s="979">
        <f>'Part VI-Pro Forma'!B55</f>
        <v>-18142.871121145643</v>
      </c>
      <c r="G33" s="979">
        <f>'Part VI-Pro Forma'!C55</f>
        <v>-18687.157254780013</v>
      </c>
      <c r="H33" s="979">
        <f>'Part VI-Pro Forma'!D55</f>
        <v>-19247.771972423412</v>
      </c>
      <c r="I33" s="979">
        <f>'Part VI-Pro Forma'!E55</f>
        <v>-19825.205131596114</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519206.32727272727</v>
      </c>
      <c r="D35" s="599">
        <f t="shared" si="8"/>
        <v>519206.32727272727</v>
      </c>
      <c r="E35" s="599">
        <f t="shared" si="8"/>
        <v>519206.32727272727</v>
      </c>
      <c r="F35" s="599">
        <f t="shared" si="8"/>
        <v>519206.32727272727</v>
      </c>
      <c r="G35" s="599">
        <f t="shared" si="8"/>
        <v>519206.32727272727</v>
      </c>
      <c r="H35" s="599">
        <f t="shared" si="8"/>
        <v>519206.32727272727</v>
      </c>
      <c r="I35" s="599">
        <f t="shared" si="8"/>
        <v>519206.32727272727</v>
      </c>
    </row>
    <row r="36" spans="1:15" ht="13.5" customHeight="1">
      <c r="A36" s="516" t="s">
        <v>2719</v>
      </c>
      <c r="C36" s="594">
        <f>IF(C$28&lt;=$H$4,($E$4/$H$4),0)+IF(C$28&lt;=$H$5,($E$5/$H$5),0)</f>
        <v>14176.933333333334</v>
      </c>
      <c r="D36" s="594">
        <f t="shared" ref="D36:I36" si="9">IF(D$28&lt;=$H$4,($E$4/$H$4),0)+IF(D$28&lt;=$H$5,($E$5/$H$5),0)</f>
        <v>14176.933333333334</v>
      </c>
      <c r="E36" s="594">
        <f t="shared" si="9"/>
        <v>14176.933333333334</v>
      </c>
      <c r="F36" s="594">
        <f t="shared" si="9"/>
        <v>14176.933333333334</v>
      </c>
      <c r="G36" s="594">
        <f t="shared" si="9"/>
        <v>14176.933333333334</v>
      </c>
      <c r="H36" s="594">
        <f t="shared" si="9"/>
        <v>14176.933333333334</v>
      </c>
      <c r="I36" s="594">
        <f t="shared" si="9"/>
        <v>14176.933333333334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1101315</v>
      </c>
      <c r="D41" s="600">
        <f>C41</f>
        <v>1101315</v>
      </c>
      <c r="E41" s="600">
        <f>D41</f>
        <v>1101315</v>
      </c>
      <c r="F41" s="600">
        <v>0</v>
      </c>
      <c r="G41" s="600">
        <v>0</v>
      </c>
      <c r="H41" s="600">
        <v>0</v>
      </c>
      <c r="I41" s="600">
        <v>0</v>
      </c>
    </row>
    <row r="42" spans="1:15" ht="13.5" customHeight="1">
      <c r="A42" s="516" t="s">
        <v>2726</v>
      </c>
      <c r="C42" s="600">
        <f>C22</f>
        <v>1101315</v>
      </c>
      <c r="D42" s="600">
        <f>C42</f>
        <v>1101315</v>
      </c>
      <c r="E42" s="600">
        <f>D42</f>
        <v>1101315</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28029.39051109548</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69308.913196811103</v>
      </c>
      <c r="D50" s="977">
        <f>'Part VI-Pro Forma'!F72-'Part VI-Pro Forma'!G72</f>
        <v>75248.142194057</v>
      </c>
      <c r="E50" s="977">
        <f>'Part VI-Pro Forma'!G72-'Part VI-Pro Forma'!H72</f>
        <v>81696.316425829427</v>
      </c>
      <c r="F50" s="977">
        <f>'Part VI-Pro Forma'!H72-'Part VI-Pro Forma'!I72</f>
        <v>88697.048497715208</v>
      </c>
      <c r="G50" s="977">
        <f>'Part VI-Pro Forma'!I72-'Part VI-Pro Forma'!J72</f>
        <v>96297.688272744839</v>
      </c>
      <c r="H50" s="977">
        <f>'Part VI-Pro Forma'!J72-'Part VI-Pro Forma'!K72</f>
        <v>104547.64805409136</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-20419.961285543999</v>
      </c>
      <c r="D53" s="979">
        <f>'Part VI-Pro Forma'!G55</f>
        <v>-21032.560124110321</v>
      </c>
      <c r="E53" s="979">
        <f>'Part VI-Pro Forma'!H55</f>
        <v>-21663.536927833626</v>
      </c>
      <c r="F53" s="979">
        <f>'Part VI-Pro Forma'!I55</f>
        <v>-22313.443035668635</v>
      </c>
      <c r="G53" s="979">
        <f>'Part VI-Pro Forma'!J55</f>
        <v>-22982.846326738694</v>
      </c>
      <c r="H53" s="979">
        <f>'Part VI-Pro Forma'!K55</f>
        <v>-23672.331716540855</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519206.32727272727</v>
      </c>
      <c r="D55" s="599">
        <f t="shared" si="14"/>
        <v>519206.32727272727</v>
      </c>
      <c r="E55" s="599">
        <f t="shared" si="14"/>
        <v>519206.32727272727</v>
      </c>
      <c r="F55" s="599">
        <f t="shared" si="14"/>
        <v>519206.32727272727</v>
      </c>
      <c r="G55" s="599">
        <f t="shared" si="14"/>
        <v>519206.32727272727</v>
      </c>
      <c r="H55" s="599">
        <f t="shared" si="14"/>
        <v>519206.32727272727</v>
      </c>
    </row>
    <row r="56" spans="1:10" ht="13.5" customHeight="1">
      <c r="A56" s="516" t="s">
        <v>2719</v>
      </c>
      <c r="C56" s="594">
        <f t="shared" ref="C56:H56" si="15">IF(C$48&lt;=$H$4,($E$4/$H$4),0)+IF(C$48&lt;=$H$5,($E$5/$H$5),0)</f>
        <v>14176.933333333334</v>
      </c>
      <c r="D56" s="594">
        <f t="shared" si="15"/>
        <v>3503.2</v>
      </c>
      <c r="E56" s="594">
        <f t="shared" si="15"/>
        <v>3503.2</v>
      </c>
      <c r="F56" s="594">
        <f t="shared" si="15"/>
        <v>3503.2</v>
      </c>
      <c r="G56" s="594">
        <f t="shared" si="15"/>
        <v>3503.2</v>
      </c>
      <c r="H56" s="594">
        <f t="shared" si="15"/>
        <v>3503.2</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7" t="e">
        <f>IRR(K5:K25)</f>
        <v>#VALUE!</v>
      </c>
      <c r="H66" s="4768"/>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0" t="str">
        <f>'Sensitivity Analysis'!C8</f>
        <v>The Bridges at Lincom</v>
      </c>
      <c r="B1" s="4770"/>
      <c r="C1" s="4770"/>
      <c r="D1" s="4770"/>
      <c r="E1" s="4770"/>
      <c r="F1" s="4770"/>
      <c r="G1" s="4770"/>
      <c r="H1" s="4770"/>
      <c r="I1" s="4770"/>
      <c r="J1" s="4770"/>
      <c r="K1" s="4770"/>
    </row>
    <row r="2" spans="1:11" s="439" customFormat="1" ht="17.649999999999999" customHeight="1">
      <c r="A2" s="4769" t="s">
        <v>2886</v>
      </c>
      <c r="B2" s="4769"/>
      <c r="C2" s="4769"/>
      <c r="D2" s="4769"/>
      <c r="E2" s="4769"/>
      <c r="F2" s="4769"/>
      <c r="G2" s="4769"/>
      <c r="H2" s="4769"/>
      <c r="I2" s="4769"/>
      <c r="J2" s="4769"/>
      <c r="K2" s="4769"/>
    </row>
    <row r="3" spans="1:11" ht="9" customHeight="1">
      <c r="A3" s="1475"/>
      <c r="B3" s="1475"/>
      <c r="C3" s="1475"/>
      <c r="D3" s="1475"/>
      <c r="E3" s="1475"/>
      <c r="G3" s="1475"/>
      <c r="H3" s="1475"/>
      <c r="J3" s="1475"/>
      <c r="K3" s="1475"/>
    </row>
    <row r="4" spans="1:11" ht="12.6" customHeight="1">
      <c r="A4" s="4771" t="s">
        <v>6060</v>
      </c>
      <c r="B4" s="4771"/>
      <c r="C4" s="1476"/>
      <c r="D4" s="4771" t="s">
        <v>6061</v>
      </c>
      <c r="E4" s="4771"/>
      <c r="F4" s="523"/>
      <c r="G4" s="4771" t="s">
        <v>6062</v>
      </c>
      <c r="H4" s="4771"/>
      <c r="I4" s="523"/>
      <c r="J4" s="4771" t="s">
        <v>6177</v>
      </c>
      <c r="K4" s="4771"/>
    </row>
    <row r="5" spans="1:11" ht="25.9" customHeight="1">
      <c r="A5" s="4772" t="str">
        <f>'Part II-Sources of Funds'!E40</f>
        <v>TBD - United Bank</v>
      </c>
      <c r="B5" s="4773"/>
      <c r="C5" s="439"/>
      <c r="D5" s="4772">
        <f>'Part II-Sources of Funds'!E41</f>
        <v>0</v>
      </c>
      <c r="E5" s="4773"/>
      <c r="F5" s="1477"/>
      <c r="G5" s="4772">
        <f>'Part II-Sources of Funds'!E42</f>
        <v>0</v>
      </c>
      <c r="H5" s="4773"/>
      <c r="I5" s="1477"/>
      <c r="J5" s="4772">
        <f>'Part II-Sources of Funds'!E43</f>
        <v>0</v>
      </c>
      <c r="K5" s="4773"/>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9106.6849999999995</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9106.6849999999995</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9106.6849999999995</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9106.6849999999995</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9106.6849999999995</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9106.6849999999995</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9106.6849999999995</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9106.6849999999995</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9106.6849999999995</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9106.6849999999995</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9106.6849999999995</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9106.6849999999995</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9106.6849999999995</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9106.6849999999995</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9106.6849999999995</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9106.6849999999995</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9106.6849999999995</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9106.6849999999995</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9106.6849999999995</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9106.6849999999995</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0</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0</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4" t="str">
        <f>CONCATENATE('Sensitivity Analysis'!E8,"  ",'Sensitivity Analysis'!C8)</f>
        <v>2023-0  The Bridges at Lincom</v>
      </c>
      <c r="B1" s="4774"/>
      <c r="C1" s="4774"/>
      <c r="D1" s="4774"/>
      <c r="E1" s="4774"/>
      <c r="F1" s="4774"/>
      <c r="G1" s="4774"/>
      <c r="H1" s="4774"/>
    </row>
    <row r="3" spans="1:11" ht="12" customHeight="1">
      <c r="A3" s="4775" t="s">
        <v>3104</v>
      </c>
      <c r="B3" s="4775"/>
      <c r="C3" s="4775"/>
      <c r="D3" s="4775"/>
      <c r="E3" s="4775"/>
      <c r="F3" s="4775"/>
      <c r="G3" s="4775"/>
      <c r="H3" s="4775"/>
      <c r="I3" s="1027"/>
      <c r="J3" s="4777" t="s">
        <v>3458</v>
      </c>
      <c r="K3" s="4777"/>
    </row>
    <row r="4" spans="1:11">
      <c r="J4" s="4777"/>
      <c r="K4" s="4777"/>
    </row>
    <row r="5" spans="1:11" ht="12" customHeight="1">
      <c r="A5" s="432">
        <v>1</v>
      </c>
      <c r="C5" s="432" t="s">
        <v>2739</v>
      </c>
      <c r="E5" s="620">
        <f>'Sensitivity Analysis'!H9</f>
        <v>0</v>
      </c>
      <c r="J5" s="4777"/>
      <c r="K5" s="4777"/>
    </row>
    <row r="6" spans="1:11" ht="3" customHeight="1">
      <c r="H6" s="610"/>
      <c r="J6" s="4777"/>
      <c r="K6" s="4777"/>
    </row>
    <row r="7" spans="1:11" ht="12" customHeight="1">
      <c r="A7" s="432">
        <v>2</v>
      </c>
      <c r="C7" s="432" t="s">
        <v>2740</v>
      </c>
      <c r="E7" s="4778"/>
      <c r="F7" s="4778"/>
      <c r="G7" s="4778"/>
      <c r="H7" s="4778"/>
      <c r="J7" s="4777"/>
      <c r="K7" s="4777"/>
    </row>
    <row r="8" spans="1:11" ht="12" customHeight="1">
      <c r="E8" s="4778"/>
      <c r="F8" s="4778"/>
      <c r="G8" s="4778"/>
      <c r="H8" s="4778"/>
      <c r="J8" s="4777"/>
      <c r="K8" s="4777"/>
    </row>
    <row r="9" spans="1:11" ht="12" customHeight="1">
      <c r="C9" s="432" t="s">
        <v>2741</v>
      </c>
      <c r="E9" s="4776"/>
      <c r="F9" s="4776"/>
      <c r="J9" s="4777"/>
      <c r="K9" s="4777"/>
    </row>
    <row r="10" spans="1:11" ht="12" customHeight="1">
      <c r="C10" s="432" t="s">
        <v>2742</v>
      </c>
      <c r="E10" s="4778"/>
      <c r="F10" s="4778"/>
      <c r="G10" s="4778"/>
      <c r="H10" s="4778"/>
    </row>
    <row r="11" spans="1:11" ht="12" customHeight="1">
      <c r="C11" s="432" t="s">
        <v>3463</v>
      </c>
      <c r="E11" s="4778"/>
      <c r="F11" s="4778"/>
      <c r="G11" s="4778"/>
      <c r="H11" s="4778"/>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The Bridges at Lincom</v>
      </c>
    </row>
    <row r="16" spans="1:11" ht="12" customHeight="1">
      <c r="C16" s="432" t="s">
        <v>2744</v>
      </c>
      <c r="E16" s="4778"/>
      <c r="F16" s="4778"/>
      <c r="G16" s="4778"/>
      <c r="H16" s="4778"/>
    </row>
    <row r="17" spans="1:8" ht="12" customHeight="1">
      <c r="E17" s="438" t="str">
        <f>'Part I-Project Identification'!$F$26</f>
        <v>Hartwell</v>
      </c>
      <c r="F17" s="609" t="s">
        <v>791</v>
      </c>
      <c r="G17" s="4779" t="s">
        <v>6750</v>
      </c>
      <c r="H17" s="4779"/>
    </row>
    <row r="18" spans="1:8" ht="12" customHeight="1">
      <c r="E18" s="620" t="str">
        <f>(CONCATENATE('Part I-Project Identification'!$J$26," County"))</f>
        <v>Hart County</v>
      </c>
    </row>
    <row r="19" spans="1:8" ht="3" customHeight="1"/>
    <row r="20" spans="1:8" ht="12" customHeight="1">
      <c r="A20" s="432">
        <v>4</v>
      </c>
      <c r="C20" s="432" t="s">
        <v>2745</v>
      </c>
      <c r="E20" s="4778"/>
      <c r="F20" s="4778"/>
      <c r="G20" s="4778"/>
      <c r="H20" s="4778"/>
    </row>
    <row r="21" spans="1:8" ht="12" customHeight="1">
      <c r="C21" s="432" t="s">
        <v>2746</v>
      </c>
      <c r="E21" s="4778"/>
      <c r="F21" s="4778"/>
      <c r="G21" s="4778"/>
      <c r="H21" s="4778"/>
    </row>
    <row r="22" spans="1:8" ht="12" customHeight="1">
      <c r="E22" s="4778"/>
      <c r="F22" s="4778"/>
      <c r="G22" s="4778"/>
      <c r="H22" s="4778"/>
    </row>
    <row r="23" spans="1:8" ht="12" customHeight="1">
      <c r="C23" s="432" t="s">
        <v>3459</v>
      </c>
      <c r="E23" s="1991"/>
    </row>
    <row r="24" spans="1:8" ht="12" customHeight="1">
      <c r="C24" s="432" t="s">
        <v>3462</v>
      </c>
      <c r="E24" s="1991"/>
    </row>
    <row r="25" spans="1:8" ht="12" customHeight="1">
      <c r="C25" s="432" t="s">
        <v>3463</v>
      </c>
      <c r="E25" s="4778"/>
      <c r="F25" s="4778"/>
      <c r="G25" s="4778"/>
      <c r="H25" s="4778"/>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11810278</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240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8"/>
      <c r="F48" s="4778"/>
      <c r="G48" s="4778"/>
      <c r="H48" s="4778"/>
    </row>
    <row r="49" spans="1:8" ht="3" customHeight="1">
      <c r="E49" s="620"/>
    </row>
    <row r="50" spans="1:8" ht="12" customHeight="1">
      <c r="A50" s="432">
        <v>15</v>
      </c>
      <c r="C50" s="432" t="s">
        <v>3465</v>
      </c>
      <c r="E50" s="4778"/>
      <c r="F50" s="4778"/>
      <c r="G50" s="4778"/>
      <c r="H50" s="4778"/>
    </row>
    <row r="51" spans="1:8" ht="12" customHeight="1">
      <c r="C51" s="432" t="s">
        <v>2763</v>
      </c>
      <c r="E51" s="4778"/>
      <c r="F51" s="4778"/>
      <c r="G51" s="4778"/>
      <c r="H51" s="4778"/>
    </row>
    <row r="52" spans="1:8" ht="3" customHeight="1">
      <c r="F52" s="614"/>
    </row>
    <row r="53" spans="1:8" ht="12" customHeight="1">
      <c r="A53" s="432">
        <v>16</v>
      </c>
      <c r="C53" s="432" t="s">
        <v>2764</v>
      </c>
      <c r="F53" s="1032">
        <f>'Sensitivity Analysis'!C13</f>
        <v>54</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0</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171250</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58305</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3" t="s">
        <v>2960</v>
      </c>
      <c r="B1" s="4783"/>
      <c r="C1" s="4783"/>
      <c r="D1" s="4783"/>
      <c r="E1" s="4783"/>
      <c r="F1" s="4783"/>
      <c r="G1" s="4783"/>
      <c r="H1" s="4783"/>
      <c r="I1" s="4783"/>
      <c r="J1" s="4783"/>
    </row>
    <row r="2" spans="1:13" ht="15">
      <c r="A2" s="4783" t="str">
        <f>'Sensitivity Analysis'!E8&amp;"  "&amp;'Sensitivity Analysis'!C8</f>
        <v>2023-0  The Bridges at Lincom</v>
      </c>
      <c r="B2" s="4783"/>
      <c r="C2" s="4783"/>
      <c r="D2" s="4783"/>
      <c r="E2" s="4783"/>
      <c r="F2" s="4783"/>
      <c r="G2" s="4783"/>
      <c r="H2" s="4783"/>
      <c r="I2" s="4783"/>
      <c r="J2" s="4783"/>
    </row>
    <row r="3" spans="1:13" ht="6" customHeight="1">
      <c r="K3" s="4777" t="s">
        <v>3458</v>
      </c>
      <c r="L3" s="4777"/>
      <c r="M3" s="4777"/>
    </row>
    <row r="4" spans="1:13" ht="12" customHeight="1">
      <c r="A4" s="612" t="s">
        <v>2778</v>
      </c>
      <c r="K4" s="4777"/>
      <c r="L4" s="4777"/>
      <c r="M4" s="4777"/>
    </row>
    <row r="5" spans="1:13" ht="12" customHeight="1">
      <c r="A5" s="432" t="s">
        <v>2779</v>
      </c>
      <c r="C5" s="560" t="str">
        <f>'Subsidy Layering Memo'!D6</f>
        <v>(Underwriter)</v>
      </c>
      <c r="I5" s="560"/>
      <c r="K5" s="4777"/>
      <c r="L5" s="4777"/>
      <c r="M5" s="4777"/>
    </row>
    <row r="6" spans="1:13" ht="6" customHeight="1">
      <c r="C6" s="560"/>
      <c r="D6" s="560"/>
      <c r="I6" s="560"/>
      <c r="K6" s="4777"/>
      <c r="L6" s="4777"/>
      <c r="M6" s="4777"/>
    </row>
    <row r="7" spans="1:13" ht="12" customHeight="1">
      <c r="A7" s="612" t="s">
        <v>2780</v>
      </c>
      <c r="C7" s="560"/>
      <c r="D7" s="560"/>
      <c r="I7" s="560"/>
      <c r="K7" s="4777"/>
      <c r="L7" s="4777"/>
      <c r="M7" s="4777"/>
    </row>
    <row r="8" spans="1:13" ht="12" customHeight="1">
      <c r="A8" s="432" t="s">
        <v>2781</v>
      </c>
      <c r="C8" s="560">
        <f>'Sensitivity Analysis'!$H$9</f>
        <v>0</v>
      </c>
      <c r="I8" s="560"/>
      <c r="K8" s="4777"/>
      <c r="L8" s="4777"/>
      <c r="M8" s="4777"/>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2"/>
      <c r="E13" s="4782"/>
      <c r="F13" s="4782"/>
      <c r="G13" s="4782"/>
      <c r="H13" s="4782"/>
      <c r="I13" s="4782"/>
      <c r="J13" s="4782"/>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The Bridges at Lincom</v>
      </c>
      <c r="I28" s="560"/>
    </row>
    <row r="29" spans="1:9" ht="3" customHeight="1">
      <c r="C29" s="613"/>
      <c r="I29" s="560"/>
    </row>
    <row r="30" spans="1:9" ht="12" customHeight="1">
      <c r="A30" s="432" t="s">
        <v>2791</v>
      </c>
      <c r="C30" s="613">
        <f>'Preview term'!E16</f>
        <v>0</v>
      </c>
      <c r="I30" s="560"/>
    </row>
    <row r="31" spans="1:9">
      <c r="C31" s="560" t="str">
        <f>'Preview term'!E17</f>
        <v>Hartwell</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4" t="str">
        <f>_xlfn.CONCAT('Part VII-Threshold Criteria OLD'!K192," and ",'Part VII-Threshold Criteria OLD'!K193)</f>
        <v>&lt;&lt;Select&gt;&gt; and &lt;&lt;Select&gt;&gt;</v>
      </c>
      <c r="D39" s="4784"/>
      <c r="E39" s="4784"/>
      <c r="F39" s="4784"/>
      <c r="G39" s="4784"/>
      <c r="H39" s="4784"/>
      <c r="I39" s="4784"/>
      <c r="J39" s="4784"/>
    </row>
    <row r="40" spans="1:10" ht="25.5" customHeight="1">
      <c r="A40" s="617" t="s">
        <v>6165</v>
      </c>
      <c r="C40" s="478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4"/>
      <c r="E40" s="4784"/>
      <c r="F40" s="4784"/>
      <c r="G40" s="4784"/>
      <c r="H40" s="4784"/>
      <c r="I40" s="4784"/>
      <c r="J40" s="4784"/>
    </row>
    <row r="41" spans="1:10" ht="3" customHeight="1">
      <c r="G41" s="560"/>
      <c r="H41" s="560"/>
      <c r="I41" s="560"/>
    </row>
    <row r="42" spans="1:10" ht="25.5" customHeight="1">
      <c r="A42" s="617" t="s">
        <v>2798</v>
      </c>
      <c r="C42" s="4784" t="s">
        <v>3108</v>
      </c>
      <c r="D42" s="4784"/>
      <c r="E42" s="4784"/>
      <c r="F42" s="4784"/>
      <c r="G42" s="4784"/>
      <c r="H42" s="4784"/>
      <c r="I42" s="4784"/>
      <c r="J42" s="4784"/>
    </row>
    <row r="43" spans="1:10" ht="3" customHeight="1">
      <c r="C43" s="438"/>
      <c r="D43" s="438"/>
      <c r="E43" s="438"/>
      <c r="F43" s="438"/>
      <c r="G43" s="438"/>
      <c r="H43" s="439"/>
      <c r="I43" s="439"/>
      <c r="J43" s="439"/>
    </row>
    <row r="44" spans="1:10" ht="12" customHeight="1">
      <c r="A44" s="432" t="s">
        <v>2799</v>
      </c>
      <c r="C44" s="504" t="str">
        <f>'Part I-Project Identification'!J26</f>
        <v>Hart</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4" t="s">
        <v>533</v>
      </c>
      <c r="D50" s="4784"/>
      <c r="E50" s="4784"/>
      <c r="F50" s="4784"/>
      <c r="G50" s="4784"/>
      <c r="H50" s="4784"/>
      <c r="I50" s="4784"/>
      <c r="J50" s="4784"/>
    </row>
    <row r="51" spans="1:10" ht="12" customHeight="1">
      <c r="C51" s="4786" t="s">
        <v>1677</v>
      </c>
      <c r="D51" s="4786"/>
      <c r="E51" s="4786"/>
      <c r="F51" s="4786"/>
      <c r="G51" s="4786"/>
      <c r="H51" s="4786"/>
      <c r="I51" s="4786"/>
      <c r="J51" s="4786"/>
    </row>
    <row r="52" spans="1:10" ht="3" customHeight="1">
      <c r="D52" s="618"/>
      <c r="E52" s="618"/>
      <c r="F52" s="618"/>
      <c r="G52" s="618"/>
      <c r="H52" s="560"/>
      <c r="I52" s="618"/>
      <c r="J52" s="618"/>
    </row>
    <row r="53" spans="1:10" ht="12" customHeight="1">
      <c r="A53" s="617" t="s">
        <v>2803</v>
      </c>
      <c r="B53" s="617"/>
      <c r="C53" s="619" t="s">
        <v>2804</v>
      </c>
      <c r="D53" s="619" t="s">
        <v>3109</v>
      </c>
      <c r="E53" s="4787"/>
      <c r="F53" s="4787"/>
      <c r="G53" s="4787"/>
      <c r="H53" s="4787"/>
      <c r="I53" s="4787"/>
      <c r="J53" s="4787"/>
    </row>
    <row r="54" spans="1:10" ht="12" customHeight="1">
      <c r="A54" s="617"/>
      <c r="B54" s="617"/>
      <c r="C54" s="617"/>
      <c r="D54" s="619" t="s">
        <v>3110</v>
      </c>
      <c r="E54" s="4788"/>
      <c r="F54" s="4788"/>
      <c r="G54" s="4788"/>
      <c r="H54" s="4788"/>
      <c r="I54" s="4788"/>
      <c r="J54" s="4788"/>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11810278</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2"/>
      <c r="E69" s="4782"/>
      <c r="F69" s="4782"/>
      <c r="G69" s="4782"/>
      <c r="H69" s="4782"/>
      <c r="I69" s="4782"/>
      <c r="J69" s="4782"/>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240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0</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TBD - Synovus</v>
      </c>
      <c r="I93" s="560"/>
    </row>
    <row r="94" spans="1:9" ht="12" customHeight="1">
      <c r="C94" s="620"/>
      <c r="D94" s="560"/>
      <c r="E94" s="620" t="s">
        <v>1670</v>
      </c>
      <c r="F94" s="4778"/>
      <c r="G94" s="4778"/>
      <c r="H94" s="4778"/>
      <c r="I94" s="560"/>
    </row>
    <row r="95" spans="1:9" ht="12" customHeight="1">
      <c r="C95" s="620"/>
      <c r="D95" s="560"/>
      <c r="E95" s="620" t="s">
        <v>1840</v>
      </c>
      <c r="F95" s="4789"/>
      <c r="G95" s="4789"/>
      <c r="H95" s="4789"/>
      <c r="I95" s="560"/>
    </row>
    <row r="96" spans="1:9" ht="12" customHeight="1">
      <c r="C96" s="620"/>
      <c r="D96" s="560"/>
      <c r="E96" s="620" t="s">
        <v>1672</v>
      </c>
      <c r="F96" s="4776"/>
      <c r="G96" s="4776"/>
      <c r="H96" s="4776"/>
      <c r="I96" s="560"/>
    </row>
    <row r="97" spans="1:10" ht="12" customHeight="1">
      <c r="B97" s="614"/>
      <c r="C97" s="622" t="s">
        <v>2972</v>
      </c>
      <c r="D97" s="560" t="s">
        <v>2831</v>
      </c>
      <c r="E97" s="620" t="str">
        <f>'Part II-Sources of Funds'!E40</f>
        <v>TBD - United Bank</v>
      </c>
      <c r="I97" s="560"/>
    </row>
    <row r="98" spans="1:10" ht="12" customHeight="1">
      <c r="C98" s="620"/>
      <c r="D98" s="560"/>
      <c r="E98" s="620" t="s">
        <v>1670</v>
      </c>
      <c r="F98" s="4778"/>
      <c r="G98" s="4778"/>
      <c r="H98" s="4778"/>
      <c r="I98" s="560"/>
    </row>
    <row r="99" spans="1:10" ht="12" customHeight="1">
      <c r="C99" s="620"/>
      <c r="D99" s="560"/>
      <c r="E99" s="620" t="s">
        <v>1840</v>
      </c>
      <c r="F99" s="4789"/>
      <c r="G99" s="4789"/>
      <c r="H99" s="4789"/>
      <c r="I99" s="560"/>
    </row>
    <row r="100" spans="1:10" ht="12" customHeight="1">
      <c r="C100" s="620"/>
      <c r="D100" s="560"/>
      <c r="E100" s="620" t="s">
        <v>1672</v>
      </c>
      <c r="F100" s="4776"/>
      <c r="G100" s="4776"/>
      <c r="H100" s="4776"/>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0"/>
      <c r="E107" s="4790"/>
      <c r="F107" s="4790"/>
      <c r="G107" s="4790"/>
      <c r="H107" s="4790"/>
      <c r="I107" s="4790"/>
      <c r="J107" s="4791"/>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1" t="s">
        <v>6169</v>
      </c>
      <c r="F120" s="4781"/>
      <c r="G120" s="4781"/>
      <c r="H120" s="4781"/>
      <c r="I120" s="4781"/>
      <c r="J120" s="4781"/>
    </row>
    <row r="121" spans="1:10" ht="12" customHeight="1">
      <c r="C121" s="560" t="s">
        <v>2842</v>
      </c>
      <c r="D121" s="996"/>
      <c r="E121" s="4781"/>
      <c r="F121" s="4781"/>
      <c r="G121" s="4781"/>
      <c r="H121" s="4781"/>
      <c r="I121" s="4781"/>
      <c r="J121" s="4781"/>
    </row>
    <row r="122" spans="1:10" ht="12" customHeight="1">
      <c r="C122" s="560" t="s">
        <v>2843</v>
      </c>
      <c r="D122" s="996"/>
      <c r="E122" s="4781"/>
      <c r="F122" s="4781"/>
      <c r="G122" s="4781"/>
      <c r="H122" s="4781"/>
      <c r="I122" s="4781"/>
      <c r="J122" s="4781"/>
    </row>
    <row r="123" spans="1:10" ht="12" customHeight="1">
      <c r="C123" s="560" t="s">
        <v>2843</v>
      </c>
      <c r="D123" s="996"/>
      <c r="E123" s="4781"/>
      <c r="F123" s="4781"/>
      <c r="G123" s="4781"/>
      <c r="H123" s="4781"/>
      <c r="I123" s="4781"/>
      <c r="J123" s="4781"/>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731042.5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2"/>
      <c r="F166" s="4782"/>
      <c r="G166" s="4782"/>
      <c r="I166" s="560"/>
    </row>
    <row r="167" spans="1:9" ht="3" customHeight="1">
      <c r="E167" s="560"/>
      <c r="G167" s="560"/>
      <c r="I167" s="560"/>
    </row>
    <row r="168" spans="1:9" ht="12" customHeight="1">
      <c r="A168" s="432" t="s">
        <v>2866</v>
      </c>
      <c r="C168" s="432" t="s">
        <v>2867</v>
      </c>
      <c r="E168" s="632">
        <f>'Preview term'!F74</f>
        <v>171250</v>
      </c>
      <c r="G168" s="560"/>
      <c r="I168" s="560"/>
    </row>
    <row r="169" spans="1:9" ht="12" customHeight="1">
      <c r="C169" s="432" t="s">
        <v>3115</v>
      </c>
      <c r="E169" s="4782"/>
      <c r="F169" s="4782"/>
      <c r="G169" s="4782"/>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13500</v>
      </c>
      <c r="F174" s="560" t="s">
        <v>2871</v>
      </c>
    </row>
    <row r="175" spans="1:9">
      <c r="E175" s="632">
        <f>E174/12</f>
        <v>1125</v>
      </c>
      <c r="F175" s="560" t="s">
        <v>2736</v>
      </c>
    </row>
    <row r="176" spans="1:9" ht="12" customHeight="1">
      <c r="C176" s="432" t="s">
        <v>3116</v>
      </c>
      <c r="E176" s="4782"/>
      <c r="F176" s="4782"/>
      <c r="G176" s="4782"/>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2"/>
      <c r="G181" s="4782"/>
      <c r="H181" s="4782"/>
      <c r="I181" s="4782"/>
      <c r="J181" s="4782"/>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58305</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0">
        <f>'Part VII-Threshold Criteria OLD'!E372</f>
        <v>0</v>
      </c>
      <c r="G199" s="4780"/>
      <c r="H199" s="4780"/>
      <c r="I199" s="4780"/>
      <c r="J199" s="4780"/>
    </row>
    <row r="200" spans="1:10" ht="9" customHeight="1">
      <c r="G200" s="560"/>
      <c r="H200" s="560"/>
      <c r="I200" s="560"/>
    </row>
    <row r="201" spans="1:10" ht="12" customHeight="1">
      <c r="A201" s="634" t="s">
        <v>2961</v>
      </c>
      <c r="G201" s="560"/>
      <c r="H201" s="560"/>
      <c r="I201" s="625"/>
    </row>
    <row r="202" spans="1:10" ht="25.5" hidden="1" customHeight="1">
      <c r="A202" s="4785" t="str">
        <f>'Subsidy Layering Memo'!A105</f>
        <v>Include any reserve requirements; explain any reserves far in excess of 6 month ODR, 3 mo lease up, 1 year RR, 6 mo T&amp;I standards.</v>
      </c>
      <c r="B202" s="4785"/>
      <c r="C202" s="4785"/>
      <c r="D202" s="4785"/>
      <c r="E202" s="4785"/>
      <c r="F202" s="4785"/>
      <c r="G202" s="4785"/>
      <c r="H202" s="4785"/>
      <c r="I202" s="4785"/>
      <c r="J202" s="4785"/>
    </row>
    <row r="203" spans="1:10">
      <c r="A203" s="560"/>
      <c r="G203" s="560"/>
      <c r="H203" s="560"/>
      <c r="I203" s="560"/>
    </row>
    <row r="204" spans="1:10" s="516" customFormat="1" ht="15">
      <c r="A204" s="522" t="s">
        <v>6153</v>
      </c>
    </row>
    <row r="205" spans="1:10" s="516" customFormat="1" ht="14.25" customHeight="1">
      <c r="A205" s="47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2"/>
      <c r="C205" s="4752"/>
      <c r="D205" s="4752"/>
      <c r="E205" s="4752"/>
      <c r="F205" s="4752"/>
      <c r="G205" s="4752"/>
      <c r="H205" s="4752"/>
      <c r="I205" s="4752"/>
      <c r="J205" s="4752"/>
    </row>
    <row r="206" spans="1:10" s="516" customFormat="1" ht="14.25" customHeight="1">
      <c r="A206" s="4752"/>
      <c r="B206" s="4752"/>
      <c r="C206" s="4752"/>
      <c r="D206" s="4752"/>
      <c r="E206" s="4752"/>
      <c r="F206" s="4752"/>
      <c r="G206" s="4752"/>
      <c r="H206" s="4752"/>
      <c r="I206" s="4752"/>
      <c r="J206" s="4752"/>
    </row>
    <row r="207" spans="1:10" s="516" customFormat="1" ht="6.75" customHeight="1">
      <c r="A207" s="4752"/>
      <c r="B207" s="4752"/>
      <c r="C207" s="4752"/>
      <c r="D207" s="4752"/>
      <c r="E207" s="4752"/>
      <c r="F207" s="4752"/>
      <c r="G207" s="4752"/>
      <c r="H207" s="4752"/>
      <c r="I207" s="4752"/>
      <c r="J207" s="4752"/>
    </row>
    <row r="208" spans="1:10" s="516" customFormat="1" ht="21.75" customHeight="1">
      <c r="A208" s="4752"/>
      <c r="B208" s="4752"/>
      <c r="C208" s="4752"/>
      <c r="D208" s="4752"/>
      <c r="E208" s="4752"/>
      <c r="F208" s="4752"/>
      <c r="G208" s="4752"/>
      <c r="H208" s="4752"/>
      <c r="I208" s="4752"/>
      <c r="J208" s="4752"/>
    </row>
    <row r="209" spans="1:10" s="516" customFormat="1" ht="20.25" customHeight="1">
      <c r="A209" s="4752"/>
      <c r="B209" s="4752"/>
      <c r="C209" s="4752"/>
      <c r="D209" s="4752"/>
      <c r="E209" s="4752"/>
      <c r="F209" s="4752"/>
      <c r="G209" s="4752"/>
      <c r="H209" s="4752"/>
      <c r="I209" s="4752"/>
      <c r="J209" s="4752"/>
    </row>
    <row r="210" spans="1:10" s="516" customFormat="1" ht="54.75" customHeight="1">
      <c r="A210" s="4752"/>
      <c r="B210" s="4752"/>
      <c r="C210" s="4752"/>
      <c r="D210" s="4752"/>
      <c r="E210" s="4752"/>
      <c r="F210" s="4752"/>
      <c r="G210" s="4752"/>
      <c r="H210" s="4752"/>
      <c r="I210" s="4752"/>
      <c r="J210" s="4752"/>
    </row>
    <row r="211" spans="1:10" s="516" customFormat="1" ht="0.75" hidden="1" customHeight="1">
      <c r="A211" s="4752"/>
      <c r="B211" s="4752"/>
      <c r="C211" s="4752"/>
      <c r="D211" s="4752"/>
      <c r="E211" s="4752"/>
      <c r="F211" s="4752"/>
      <c r="G211" s="4752"/>
      <c r="H211" s="4752"/>
      <c r="I211" s="4752"/>
      <c r="J211" s="4752"/>
    </row>
    <row r="212" spans="1:10" s="516" customFormat="1" ht="3.75" hidden="1" customHeight="1">
      <c r="A212" s="4752"/>
      <c r="B212" s="4752"/>
      <c r="C212" s="4752"/>
      <c r="D212" s="4752"/>
      <c r="E212" s="4752"/>
      <c r="F212" s="4752"/>
      <c r="G212" s="4752"/>
      <c r="H212" s="4752"/>
      <c r="I212" s="4752"/>
      <c r="J212" s="4752"/>
    </row>
    <row r="213" spans="1:10" s="516" customFormat="1" ht="5.25" customHeight="1">
      <c r="A213" s="1251"/>
      <c r="B213" s="1251"/>
      <c r="C213" s="1251"/>
      <c r="D213" s="1251"/>
      <c r="E213" s="1251"/>
      <c r="F213" s="1251"/>
      <c r="G213" s="1251"/>
      <c r="H213" s="1251"/>
      <c r="I213" s="1251"/>
      <c r="J213" s="1251"/>
    </row>
    <row r="214" spans="1:10" s="516" customFormat="1" ht="19.5" customHeight="1">
      <c r="A214" s="4751" t="s">
        <v>6156</v>
      </c>
      <c r="B214" s="4751"/>
      <c r="C214" s="4751"/>
      <c r="D214" s="1249"/>
      <c r="E214" s="1249"/>
      <c r="F214" s="1249"/>
      <c r="G214" s="1249"/>
      <c r="H214" s="1249"/>
      <c r="I214" s="1249"/>
      <c r="J214" s="1249"/>
    </row>
    <row r="215" spans="1:10" s="516" customFormat="1" ht="22.5" customHeight="1">
      <c r="A215" s="4736" t="str">
        <f>'Subsidy Layering Memo'!A37</f>
        <v>1)</v>
      </c>
      <c r="B215" s="4736"/>
      <c r="C215" s="4736"/>
      <c r="D215" s="4736"/>
      <c r="E215" s="4736"/>
      <c r="F215" s="4736"/>
      <c r="G215" s="4736"/>
      <c r="H215" s="4736"/>
      <c r="I215" s="4736"/>
      <c r="J215" s="4736"/>
    </row>
    <row r="216" spans="1:10" s="516" customFormat="1" ht="22.5" customHeight="1">
      <c r="A216" s="4736" t="str">
        <f>'Subsidy Layering Memo'!A38</f>
        <v>2)</v>
      </c>
      <c r="B216" s="4736"/>
      <c r="C216" s="4736"/>
      <c r="D216" s="4736"/>
      <c r="E216" s="4736"/>
      <c r="F216" s="4736"/>
      <c r="G216" s="4736"/>
      <c r="H216" s="4736"/>
      <c r="I216" s="4736"/>
      <c r="J216" s="4736"/>
    </row>
    <row r="217" spans="1:10" s="516" customFormat="1" ht="22.5" customHeight="1">
      <c r="A217" s="4736" t="str">
        <f>'Subsidy Layering Memo'!A39</f>
        <v>3)</v>
      </c>
      <c r="B217" s="4736"/>
      <c r="C217" s="4736"/>
      <c r="D217" s="4736"/>
      <c r="E217" s="4736"/>
      <c r="F217" s="4736"/>
      <c r="G217" s="4736"/>
      <c r="H217" s="4736"/>
      <c r="I217" s="4736"/>
      <c r="J217" s="4736"/>
    </row>
    <row r="218" spans="1:10" s="516" customFormat="1" ht="22.5" customHeight="1">
      <c r="A218" s="4736" t="str">
        <f>'Subsidy Layering Memo'!A40</f>
        <v>4)</v>
      </c>
      <c r="B218" s="4736"/>
      <c r="C218" s="4736"/>
      <c r="D218" s="4736"/>
      <c r="E218" s="4736"/>
      <c r="F218" s="4736"/>
      <c r="G218" s="4736"/>
      <c r="H218" s="4736"/>
      <c r="I218" s="4736"/>
      <c r="J218" s="4736"/>
    </row>
    <row r="219" spans="1:10" s="516" customFormat="1" ht="22.5" customHeight="1">
      <c r="A219" s="4736" t="str">
        <f>'Subsidy Layering Memo'!A41</f>
        <v>5)</v>
      </c>
      <c r="B219" s="4736"/>
      <c r="C219" s="4736"/>
      <c r="D219" s="4736"/>
      <c r="E219" s="4736"/>
      <c r="F219" s="4736"/>
      <c r="G219" s="4736"/>
      <c r="H219" s="4736"/>
      <c r="I219" s="4736"/>
      <c r="J219" s="4736"/>
    </row>
    <row r="220" spans="1:10" s="516" customFormat="1" ht="22.5" customHeight="1">
      <c r="A220" s="4736" t="str">
        <f>'Subsidy Layering Memo'!A42</f>
        <v>6)</v>
      </c>
      <c r="B220" s="4736"/>
      <c r="C220" s="4736"/>
      <c r="D220" s="4736"/>
      <c r="E220" s="4736"/>
      <c r="F220" s="4736"/>
      <c r="G220" s="4736"/>
      <c r="H220" s="4736"/>
      <c r="I220" s="4736"/>
      <c r="J220" s="4736"/>
    </row>
    <row r="221" spans="1:10" s="516" customFormat="1" ht="22.5" customHeight="1">
      <c r="A221" s="4736" t="str">
        <f>'Subsidy Layering Memo'!A43</f>
        <v>7)</v>
      </c>
      <c r="B221" s="4736"/>
      <c r="C221" s="4736"/>
      <c r="D221" s="4736"/>
      <c r="E221" s="4736"/>
      <c r="F221" s="4736"/>
      <c r="G221" s="4736"/>
      <c r="H221" s="4736"/>
      <c r="I221" s="4736"/>
      <c r="J221" s="4736"/>
    </row>
    <row r="222" spans="1:10" s="516" customFormat="1" ht="22.5" customHeight="1">
      <c r="A222" s="4736" t="str">
        <f>'Subsidy Layering Memo'!A44</f>
        <v>8)</v>
      </c>
      <c r="B222" s="4736"/>
      <c r="C222" s="4736"/>
      <c r="D222" s="4736"/>
      <c r="E222" s="4736"/>
      <c r="F222" s="4736"/>
      <c r="G222" s="4736"/>
      <c r="H222" s="4736"/>
      <c r="I222" s="4736"/>
      <c r="J222" s="4736"/>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7" t="str">
        <f>'Part I-Project Identification'!F25</f>
        <v>The Bridges at Lincom</v>
      </c>
      <c r="E3" s="4168"/>
      <c r="F3" s="4168"/>
      <c r="G3" s="4168"/>
      <c r="H3" s="4168"/>
      <c r="I3" s="4168"/>
      <c r="J3" s="4821" t="s">
        <v>3970</v>
      </c>
      <c r="K3" s="4822"/>
    </row>
    <row r="4" spans="1:11" ht="15" customHeight="1">
      <c r="A4" s="1332" t="s">
        <v>3968</v>
      </c>
      <c r="B4" s="1333"/>
      <c r="C4" s="1334"/>
      <c r="D4" s="4817">
        <f>'Preview term'!$E$16</f>
        <v>0</v>
      </c>
      <c r="E4" s="4818"/>
      <c r="F4" s="4818"/>
      <c r="G4" s="4818"/>
      <c r="H4" s="4818"/>
      <c r="I4" s="4818"/>
      <c r="J4" s="4173" t="s">
        <v>4009</v>
      </c>
      <c r="K4" s="4174"/>
    </row>
    <row r="5" spans="1:11" ht="15" customHeight="1" thickBot="1">
      <c r="A5" s="1335" t="s">
        <v>3969</v>
      </c>
      <c r="B5" s="1336"/>
      <c r="C5" s="1337"/>
      <c r="D5" s="4819"/>
      <c r="E5" s="4820"/>
      <c r="F5" s="4820"/>
      <c r="G5" s="4820"/>
      <c r="H5" s="4820"/>
      <c r="I5" s="4820"/>
      <c r="J5" s="4175"/>
      <c r="K5" s="4176"/>
    </row>
    <row r="6" spans="1:11" ht="9" customHeight="1" thickBot="1">
      <c r="E6" s="1327"/>
    </row>
    <row r="7" spans="1:11">
      <c r="A7" s="4185" t="s">
        <v>3971</v>
      </c>
      <c r="B7" s="4186"/>
      <c r="C7" s="4186"/>
      <c r="D7" s="4186"/>
      <c r="E7" s="4186"/>
      <c r="F7" s="4186"/>
      <c r="G7" s="4186"/>
      <c r="H7" s="4186"/>
      <c r="I7" s="4186"/>
      <c r="J7" s="4186"/>
      <c r="K7" s="4187"/>
    </row>
    <row r="8" spans="1:11" ht="14.25" customHeight="1">
      <c r="A8" s="1333"/>
      <c r="B8" s="1333"/>
      <c r="C8" s="1365">
        <v>1</v>
      </c>
      <c r="D8" s="1352" t="s">
        <v>3972</v>
      </c>
      <c r="E8" s="1352"/>
      <c r="F8" s="1352"/>
      <c r="G8" s="1352"/>
      <c r="H8" s="1352"/>
      <c r="I8" s="1352"/>
      <c r="J8" s="4798"/>
      <c r="K8" s="4799"/>
    </row>
    <row r="9" spans="1:11" ht="7.15" customHeight="1">
      <c r="A9" s="4122"/>
      <c r="B9" s="4122"/>
      <c r="C9" s="4122"/>
      <c r="D9" s="4123"/>
      <c r="E9" s="4123"/>
      <c r="F9" s="4123"/>
      <c r="G9" s="4123"/>
      <c r="H9" s="4123"/>
      <c r="I9" s="4123"/>
      <c r="J9" s="4123"/>
      <c r="K9" s="1353"/>
    </row>
    <row r="10" spans="1:11">
      <c r="A10" s="4188" t="s">
        <v>3973</v>
      </c>
      <c r="B10" s="4189"/>
      <c r="C10" s="4189"/>
      <c r="D10" s="4189"/>
      <c r="E10" s="4189"/>
      <c r="F10" s="4189"/>
      <c r="G10" s="4189"/>
      <c r="H10" s="4189"/>
      <c r="I10" s="4189"/>
      <c r="J10" s="4189"/>
      <c r="K10" s="4190"/>
    </row>
    <row r="11" spans="1:11" ht="14.25" customHeight="1">
      <c r="A11" s="1333"/>
      <c r="B11" s="1333"/>
      <c r="C11" s="1365">
        <v>2</v>
      </c>
      <c r="D11" s="1352" t="s">
        <v>3974</v>
      </c>
      <c r="E11" s="1354"/>
      <c r="F11" s="1354"/>
      <c r="G11" s="1354"/>
      <c r="H11" s="1354"/>
      <c r="I11" s="1354"/>
      <c r="J11" s="4796"/>
      <c r="K11" s="4797"/>
    </row>
    <row r="12" spans="1:11" ht="7.15" customHeight="1">
      <c r="A12" s="4122"/>
      <c r="B12" s="4122"/>
      <c r="C12" s="4122"/>
      <c r="D12" s="4123"/>
      <c r="E12" s="4123"/>
      <c r="F12" s="4123"/>
      <c r="G12" s="4123"/>
      <c r="H12" s="4123"/>
      <c r="I12" s="4123"/>
      <c r="J12" s="4123"/>
      <c r="K12" s="1355"/>
    </row>
    <row r="13" spans="1:11">
      <c r="A13" s="4188" t="s">
        <v>3975</v>
      </c>
      <c r="B13" s="4189"/>
      <c r="C13" s="4189"/>
      <c r="D13" s="4189"/>
      <c r="E13" s="4189"/>
      <c r="F13" s="4189"/>
      <c r="G13" s="4189"/>
      <c r="H13" s="4189"/>
      <c r="I13" s="4189"/>
      <c r="J13" s="4189"/>
      <c r="K13" s="4190"/>
    </row>
    <row r="14" spans="1:11" ht="14.25" customHeight="1">
      <c r="A14" s="1333"/>
      <c r="B14" s="1333"/>
      <c r="C14" s="1366">
        <v>3</v>
      </c>
      <c r="D14" s="1356" t="s">
        <v>3976</v>
      </c>
      <c r="E14" s="1356"/>
      <c r="F14" s="1356"/>
      <c r="G14" s="1356"/>
      <c r="H14" s="1356"/>
      <c r="I14" s="1356"/>
      <c r="J14" s="4794"/>
      <c r="K14" s="4795"/>
    </row>
    <row r="15" spans="1:11" ht="14.25" customHeight="1">
      <c r="A15" s="1333"/>
      <c r="B15" s="1333"/>
      <c r="C15" s="1367">
        <v>4</v>
      </c>
      <c r="D15" s="1333" t="s">
        <v>3977</v>
      </c>
      <c r="E15" s="1333"/>
      <c r="F15" s="1333"/>
      <c r="G15" s="1333"/>
      <c r="H15" s="1333"/>
      <c r="I15" s="1333"/>
      <c r="J15" s="4792"/>
      <c r="K15" s="4793"/>
    </row>
    <row r="16" spans="1:11" ht="14.25" customHeight="1">
      <c r="A16" s="1333"/>
      <c r="B16" s="1333"/>
      <c r="C16" s="1367">
        <v>5</v>
      </c>
      <c r="D16" s="1333" t="s">
        <v>3978</v>
      </c>
      <c r="E16" s="1333"/>
      <c r="F16" s="1333"/>
      <c r="G16" s="1333"/>
      <c r="H16" s="1333"/>
      <c r="I16" s="1333"/>
      <c r="J16" s="4792"/>
      <c r="K16" s="4793"/>
    </row>
    <row r="17" spans="1:13" ht="14.25" customHeight="1">
      <c r="A17" s="1333"/>
      <c r="B17" s="1333"/>
      <c r="C17" s="1368">
        <v>6</v>
      </c>
      <c r="D17" s="1336" t="s">
        <v>3979</v>
      </c>
      <c r="E17" s="1336"/>
      <c r="F17" s="1336"/>
      <c r="G17" s="1336"/>
      <c r="H17" s="1336"/>
      <c r="I17" s="1336"/>
      <c r="J17" s="4800"/>
      <c r="K17" s="4801"/>
    </row>
    <row r="18" spans="1:13" ht="7.15" customHeight="1">
      <c r="A18" s="4122"/>
      <c r="B18" s="4122"/>
      <c r="C18" s="4122"/>
      <c r="D18" s="4123"/>
      <c r="E18" s="4123"/>
      <c r="F18" s="4123"/>
      <c r="G18" s="4123"/>
      <c r="H18" s="4123"/>
      <c r="I18" s="4123"/>
      <c r="J18" s="4123"/>
      <c r="K18" s="1355"/>
    </row>
    <row r="19" spans="1:13" ht="14.25" customHeight="1">
      <c r="A19" s="1333"/>
      <c r="B19" s="1333"/>
      <c r="C19" s="1366">
        <v>7</v>
      </c>
      <c r="D19" s="1356" t="s">
        <v>3980</v>
      </c>
      <c r="E19" s="1356"/>
      <c r="F19" s="1356"/>
      <c r="G19" s="1356"/>
      <c r="H19" s="1356"/>
      <c r="I19" s="1356"/>
      <c r="J19" s="4116" t="str">
        <f>IF(J17="No",J14-J15,IF(J17="Yes",J14-J15-J16,"Error"))</f>
        <v>Error</v>
      </c>
      <c r="K19" s="4117"/>
    </row>
    <row r="20" spans="1:13" ht="14.25" customHeight="1">
      <c r="A20" s="1333"/>
      <c r="B20" s="1333"/>
      <c r="C20" s="1368">
        <v>8</v>
      </c>
      <c r="D20" s="1336" t="s">
        <v>3981</v>
      </c>
      <c r="E20" s="1336"/>
      <c r="F20" s="1336"/>
      <c r="G20" s="1336"/>
      <c r="H20" s="1336"/>
      <c r="I20" s="1336"/>
      <c r="J20" s="4114" t="e">
        <f>ROUNDDOWN(J19/J8,2)</f>
        <v>#VALUE!</v>
      </c>
      <c r="K20" s="4115"/>
    </row>
    <row r="21" spans="1:13" ht="7.15" customHeight="1">
      <c r="A21" s="4122"/>
      <c r="B21" s="4122"/>
      <c r="C21" s="4122"/>
      <c r="D21" s="4123"/>
      <c r="E21" s="4123"/>
      <c r="F21" s="4123"/>
      <c r="G21" s="4123"/>
      <c r="H21" s="4123"/>
      <c r="I21" s="4123"/>
      <c r="J21" s="4123"/>
      <c r="K21" s="1355"/>
    </row>
    <row r="22" spans="1:13" ht="14.25" customHeight="1" thickBot="1">
      <c r="A22" s="1333"/>
      <c r="B22" s="1333"/>
      <c r="C22" s="1365">
        <v>9</v>
      </c>
      <c r="D22" s="1357" t="s">
        <v>3982</v>
      </c>
      <c r="E22" s="1357"/>
      <c r="F22" s="1357"/>
      <c r="G22" s="1357"/>
      <c r="H22" s="1357"/>
      <c r="I22" s="1357"/>
      <c r="J22" s="4112" t="e">
        <f>J11/J19</f>
        <v>#VALUE!</v>
      </c>
      <c r="K22" s="4113"/>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5" t="s">
        <v>4013</v>
      </c>
      <c r="B30" s="4156"/>
      <c r="C30" s="4156"/>
      <c r="D30" s="4156"/>
      <c r="E30" s="4156"/>
      <c r="F30" s="4156"/>
      <c r="G30" s="4156"/>
      <c r="H30" s="4156"/>
      <c r="I30" s="4156"/>
      <c r="J30" s="4156"/>
      <c r="K30" s="4157"/>
    </row>
    <row r="31" spans="1:13">
      <c r="B31" s="4806" t="s">
        <v>3970</v>
      </c>
      <c r="C31" s="4806"/>
      <c r="D31" s="4806"/>
      <c r="E31" s="4806"/>
      <c r="F31" s="4806"/>
      <c r="G31" s="4159" t="s">
        <v>3984</v>
      </c>
      <c r="H31" s="4160"/>
      <c r="I31" s="4160"/>
      <c r="J31" s="4160"/>
      <c r="K31" s="4161"/>
    </row>
    <row r="32" spans="1:13" ht="56.25" customHeight="1">
      <c r="A32" s="1351"/>
      <c r="B32" s="1369" t="s">
        <v>4012</v>
      </c>
      <c r="C32" s="1370" t="s">
        <v>4008</v>
      </c>
      <c r="D32" s="1370" t="s">
        <v>4007</v>
      </c>
      <c r="E32" s="4162" t="s">
        <v>6098</v>
      </c>
      <c r="F32" s="4163"/>
      <c r="G32" s="1371" t="s">
        <v>3985</v>
      </c>
      <c r="H32" s="1371" t="s">
        <v>3986</v>
      </c>
      <c r="J32" s="1371" t="s">
        <v>3987</v>
      </c>
      <c r="K32" s="1371" t="s">
        <v>3988</v>
      </c>
      <c r="L32" s="4164" t="s">
        <v>3989</v>
      </c>
      <c r="M32" s="4164"/>
    </row>
    <row r="33" spans="2:14" ht="12.75" customHeight="1">
      <c r="B33" s="1494"/>
      <c r="C33" s="1495"/>
      <c r="D33" s="1496"/>
      <c r="E33" s="4815"/>
      <c r="F33" s="4816"/>
      <c r="G33" s="1387" t="e">
        <f t="shared" ref="G33:G51" si="0">$J$22*B33</f>
        <v>#VALUE!</v>
      </c>
      <c r="H33" s="1388" t="e">
        <f>ROUNDUP(G33,0)</f>
        <v>#VALUE!</v>
      </c>
      <c r="I33" s="1389"/>
      <c r="J33" s="1390" t="e">
        <f t="shared" ref="J33:J51" si="1">$J$20*E33</f>
        <v>#VALUE!</v>
      </c>
      <c r="K33" s="1390" t="e">
        <f t="shared" ref="K33:K51" si="2">ROUNDDOWN(J33*H33,0)</f>
        <v>#VALUE!</v>
      </c>
      <c r="L33" s="4164"/>
      <c r="M33" s="4164"/>
    </row>
    <row r="34" spans="2:14" ht="12.75" customHeight="1">
      <c r="B34" s="1497"/>
      <c r="C34" s="1498"/>
      <c r="D34" s="1499"/>
      <c r="E34" s="4804"/>
      <c r="F34" s="4805"/>
      <c r="G34" s="1391" t="e">
        <f t="shared" si="0"/>
        <v>#VALUE!</v>
      </c>
      <c r="H34" s="1392" t="e">
        <f t="shared" ref="H34:H51" si="3">ROUNDUP(G34,0)</f>
        <v>#VALUE!</v>
      </c>
      <c r="I34" s="1389"/>
      <c r="J34" s="1393" t="e">
        <f t="shared" si="1"/>
        <v>#VALUE!</v>
      </c>
      <c r="K34" s="1393" t="e">
        <f t="shared" si="2"/>
        <v>#VALUE!</v>
      </c>
      <c r="L34" s="4164"/>
      <c r="M34" s="4164"/>
    </row>
    <row r="35" spans="2:14" ht="12.75" customHeight="1">
      <c r="B35" s="1497"/>
      <c r="C35" s="1498"/>
      <c r="D35" s="1499"/>
      <c r="E35" s="4804"/>
      <c r="F35" s="4805"/>
      <c r="G35" s="1391" t="e">
        <f t="shared" si="0"/>
        <v>#VALUE!</v>
      </c>
      <c r="H35" s="1392" t="e">
        <f t="shared" si="3"/>
        <v>#VALUE!</v>
      </c>
      <c r="I35" s="1389"/>
      <c r="J35" s="1393" t="e">
        <f t="shared" si="1"/>
        <v>#VALUE!</v>
      </c>
      <c r="K35" s="1393" t="e">
        <f t="shared" si="2"/>
        <v>#VALUE!</v>
      </c>
      <c r="L35" s="4164"/>
      <c r="M35" s="4164"/>
    </row>
    <row r="36" spans="2:14" ht="12.75" customHeight="1">
      <c r="B36" s="1497"/>
      <c r="C36" s="1498"/>
      <c r="D36" s="1499"/>
      <c r="E36" s="4804"/>
      <c r="F36" s="4805"/>
      <c r="G36" s="1391" t="e">
        <f t="shared" si="0"/>
        <v>#VALUE!</v>
      </c>
      <c r="H36" s="1392" t="e">
        <f t="shared" si="3"/>
        <v>#VALUE!</v>
      </c>
      <c r="I36" s="1389"/>
      <c r="J36" s="1393" t="e">
        <f t="shared" si="1"/>
        <v>#VALUE!</v>
      </c>
      <c r="K36" s="1393" t="e">
        <f t="shared" si="2"/>
        <v>#VALUE!</v>
      </c>
      <c r="L36" s="4164"/>
      <c r="M36" s="4164"/>
      <c r="N36" s="1346"/>
    </row>
    <row r="37" spans="2:14" ht="12.75" customHeight="1">
      <c r="B37" s="1497"/>
      <c r="C37" s="1498"/>
      <c r="D37" s="1499"/>
      <c r="E37" s="4804"/>
      <c r="F37" s="4805"/>
      <c r="G37" s="1391" t="e">
        <f t="shared" si="0"/>
        <v>#VALUE!</v>
      </c>
      <c r="H37" s="1392" t="e">
        <f t="shared" si="3"/>
        <v>#VALUE!</v>
      </c>
      <c r="I37" s="1389"/>
      <c r="J37" s="1393" t="e">
        <f t="shared" si="1"/>
        <v>#VALUE!</v>
      </c>
      <c r="K37" s="1393" t="e">
        <f t="shared" si="2"/>
        <v>#VALUE!</v>
      </c>
      <c r="L37" s="4164"/>
      <c r="M37" s="4164"/>
    </row>
    <row r="38" spans="2:14" ht="12.75" customHeight="1">
      <c r="B38" s="1497"/>
      <c r="C38" s="1498"/>
      <c r="D38" s="1499"/>
      <c r="E38" s="4804"/>
      <c r="F38" s="4805"/>
      <c r="G38" s="1391" t="e">
        <f t="shared" si="0"/>
        <v>#VALUE!</v>
      </c>
      <c r="H38" s="1392" t="e">
        <f t="shared" si="3"/>
        <v>#VALUE!</v>
      </c>
      <c r="I38" s="1389"/>
      <c r="J38" s="1393" t="e">
        <f t="shared" si="1"/>
        <v>#VALUE!</v>
      </c>
      <c r="K38" s="1393" t="e">
        <f t="shared" si="2"/>
        <v>#VALUE!</v>
      </c>
      <c r="L38" s="4164"/>
      <c r="M38" s="4164"/>
    </row>
    <row r="39" spans="2:14" ht="12.75" customHeight="1">
      <c r="B39" s="1497"/>
      <c r="C39" s="1498"/>
      <c r="D39" s="1499"/>
      <c r="E39" s="4804"/>
      <c r="F39" s="4805"/>
      <c r="G39" s="1391" t="e">
        <f t="shared" si="0"/>
        <v>#VALUE!</v>
      </c>
      <c r="H39" s="1392" t="e">
        <f t="shared" si="3"/>
        <v>#VALUE!</v>
      </c>
      <c r="I39" s="1389"/>
      <c r="J39" s="1393" t="e">
        <f t="shared" si="1"/>
        <v>#VALUE!</v>
      </c>
      <c r="K39" s="1393" t="e">
        <f t="shared" si="2"/>
        <v>#VALUE!</v>
      </c>
      <c r="L39" s="4164"/>
      <c r="M39" s="4164"/>
    </row>
    <row r="40" spans="2:14" ht="12.75" customHeight="1">
      <c r="B40" s="1497"/>
      <c r="C40" s="1498"/>
      <c r="D40" s="1499"/>
      <c r="E40" s="4804"/>
      <c r="F40" s="4805"/>
      <c r="G40" s="1391" t="e">
        <f t="shared" si="0"/>
        <v>#VALUE!</v>
      </c>
      <c r="H40" s="1392" t="e">
        <f t="shared" si="3"/>
        <v>#VALUE!</v>
      </c>
      <c r="I40" s="1389"/>
      <c r="J40" s="1393" t="e">
        <f t="shared" si="1"/>
        <v>#VALUE!</v>
      </c>
      <c r="K40" s="1393" t="e">
        <f t="shared" si="2"/>
        <v>#VALUE!</v>
      </c>
      <c r="L40" s="4164"/>
      <c r="M40" s="4164"/>
    </row>
    <row r="41" spans="2:14" ht="12.75" customHeight="1">
      <c r="B41" s="1497"/>
      <c r="C41" s="1498"/>
      <c r="D41" s="1499"/>
      <c r="E41" s="4804"/>
      <c r="F41" s="4805"/>
      <c r="G41" s="1391" t="e">
        <f t="shared" si="0"/>
        <v>#VALUE!</v>
      </c>
      <c r="H41" s="1392" t="e">
        <f t="shared" si="3"/>
        <v>#VALUE!</v>
      </c>
      <c r="I41" s="1389"/>
      <c r="J41" s="1393" t="e">
        <f t="shared" si="1"/>
        <v>#VALUE!</v>
      </c>
      <c r="K41" s="1393" t="e">
        <f t="shared" si="2"/>
        <v>#VALUE!</v>
      </c>
      <c r="L41" s="4164"/>
      <c r="M41" s="4164"/>
    </row>
    <row r="42" spans="2:14" ht="12.75" customHeight="1">
      <c r="B42" s="1497"/>
      <c r="C42" s="1498"/>
      <c r="D42" s="1499"/>
      <c r="E42" s="4804"/>
      <c r="F42" s="4805"/>
      <c r="G42" s="1391" t="e">
        <f t="shared" si="0"/>
        <v>#VALUE!</v>
      </c>
      <c r="H42" s="1392" t="e">
        <f>ROUNDUP(G42,0)</f>
        <v>#VALUE!</v>
      </c>
      <c r="I42" s="1389"/>
      <c r="J42" s="1393" t="e">
        <f t="shared" si="1"/>
        <v>#VALUE!</v>
      </c>
      <c r="K42" s="1393" t="e">
        <f t="shared" si="2"/>
        <v>#VALUE!</v>
      </c>
      <c r="L42" s="4164"/>
      <c r="M42" s="4164"/>
    </row>
    <row r="43" spans="2:14" ht="12.75" customHeight="1">
      <c r="B43" s="1497"/>
      <c r="C43" s="1498"/>
      <c r="D43" s="1499"/>
      <c r="E43" s="4804"/>
      <c r="F43" s="4805"/>
      <c r="G43" s="1391" t="e">
        <f t="shared" si="0"/>
        <v>#VALUE!</v>
      </c>
      <c r="H43" s="1392" t="e">
        <f>ROUNDUP(G43,0)</f>
        <v>#VALUE!</v>
      </c>
      <c r="I43" s="1389"/>
      <c r="J43" s="1393" t="e">
        <f t="shared" si="1"/>
        <v>#VALUE!</v>
      </c>
      <c r="K43" s="1393" t="e">
        <f t="shared" si="2"/>
        <v>#VALUE!</v>
      </c>
      <c r="L43" s="4164"/>
      <c r="M43" s="4164"/>
    </row>
    <row r="44" spans="2:14" ht="12.75" customHeight="1">
      <c r="B44" s="1497"/>
      <c r="C44" s="1498"/>
      <c r="D44" s="1499"/>
      <c r="E44" s="4804"/>
      <c r="F44" s="4805"/>
      <c r="G44" s="1391" t="e">
        <f t="shared" si="0"/>
        <v>#VALUE!</v>
      </c>
      <c r="H44" s="1392" t="e">
        <f>ROUNDUP(G44,0)</f>
        <v>#VALUE!</v>
      </c>
      <c r="I44" s="1389"/>
      <c r="J44" s="1393" t="e">
        <f t="shared" si="1"/>
        <v>#VALUE!</v>
      </c>
      <c r="K44" s="1393" t="e">
        <f t="shared" si="2"/>
        <v>#VALUE!</v>
      </c>
      <c r="L44" s="4164"/>
      <c r="M44" s="4164"/>
    </row>
    <row r="45" spans="2:14" ht="12.75" customHeight="1">
      <c r="B45" s="1497"/>
      <c r="C45" s="1498"/>
      <c r="D45" s="1499"/>
      <c r="E45" s="4804"/>
      <c r="F45" s="4805"/>
      <c r="G45" s="1391" t="e">
        <f t="shared" si="0"/>
        <v>#VALUE!</v>
      </c>
      <c r="H45" s="1392" t="e">
        <f>ROUNDUP(G45,0)</f>
        <v>#VALUE!</v>
      </c>
      <c r="I45" s="1389"/>
      <c r="J45" s="1393" t="e">
        <f t="shared" si="1"/>
        <v>#VALUE!</v>
      </c>
      <c r="K45" s="1393" t="e">
        <f t="shared" si="2"/>
        <v>#VALUE!</v>
      </c>
      <c r="L45" s="4164"/>
      <c r="M45" s="4164"/>
    </row>
    <row r="46" spans="2:14" ht="12.75" customHeight="1">
      <c r="B46" s="1497"/>
      <c r="C46" s="1498"/>
      <c r="D46" s="1499"/>
      <c r="E46" s="4804"/>
      <c r="F46" s="4805"/>
      <c r="G46" s="1391" t="e">
        <f t="shared" si="0"/>
        <v>#VALUE!</v>
      </c>
      <c r="H46" s="1392" t="e">
        <f t="shared" si="3"/>
        <v>#VALUE!</v>
      </c>
      <c r="I46" s="1389"/>
      <c r="J46" s="1393" t="e">
        <f t="shared" si="1"/>
        <v>#VALUE!</v>
      </c>
      <c r="K46" s="1393" t="e">
        <f t="shared" si="2"/>
        <v>#VALUE!</v>
      </c>
      <c r="L46" s="4164"/>
      <c r="M46" s="4164"/>
    </row>
    <row r="47" spans="2:14" ht="12.75" customHeight="1">
      <c r="B47" s="1497"/>
      <c r="C47" s="1498"/>
      <c r="D47" s="1499"/>
      <c r="E47" s="4804"/>
      <c r="F47" s="4805"/>
      <c r="G47" s="1391" t="e">
        <f t="shared" si="0"/>
        <v>#VALUE!</v>
      </c>
      <c r="H47" s="1392" t="e">
        <f t="shared" si="3"/>
        <v>#VALUE!</v>
      </c>
      <c r="I47" s="1389"/>
      <c r="J47" s="1393" t="e">
        <f t="shared" si="1"/>
        <v>#VALUE!</v>
      </c>
      <c r="K47" s="1393" t="e">
        <f t="shared" si="2"/>
        <v>#VALUE!</v>
      </c>
      <c r="L47" s="4164"/>
      <c r="M47" s="4164"/>
    </row>
    <row r="48" spans="2:14" ht="12.75" customHeight="1">
      <c r="B48" s="1497"/>
      <c r="C48" s="1498"/>
      <c r="D48" s="1499"/>
      <c r="E48" s="4804"/>
      <c r="F48" s="4805"/>
      <c r="G48" s="1391" t="e">
        <f t="shared" si="0"/>
        <v>#VALUE!</v>
      </c>
      <c r="H48" s="1392" t="e">
        <f>ROUNDUP(G48,0)</f>
        <v>#VALUE!</v>
      </c>
      <c r="I48" s="1389"/>
      <c r="J48" s="1393" t="e">
        <f t="shared" si="1"/>
        <v>#VALUE!</v>
      </c>
      <c r="K48" s="1393" t="e">
        <f t="shared" si="2"/>
        <v>#VALUE!</v>
      </c>
      <c r="L48" s="4164"/>
      <c r="M48" s="4164"/>
    </row>
    <row r="49" spans="1:13" ht="12.75" customHeight="1">
      <c r="B49" s="1497"/>
      <c r="C49" s="1498"/>
      <c r="D49" s="1499"/>
      <c r="E49" s="4804"/>
      <c r="F49" s="4805"/>
      <c r="G49" s="1391" t="e">
        <f t="shared" si="0"/>
        <v>#VALUE!</v>
      </c>
      <c r="H49" s="1392" t="e">
        <f t="shared" si="3"/>
        <v>#VALUE!</v>
      </c>
      <c r="I49" s="1389"/>
      <c r="J49" s="1393" t="e">
        <f t="shared" si="1"/>
        <v>#VALUE!</v>
      </c>
      <c r="K49" s="1393" t="e">
        <f t="shared" si="2"/>
        <v>#VALUE!</v>
      </c>
      <c r="L49" s="4164"/>
      <c r="M49" s="4164"/>
    </row>
    <row r="50" spans="1:13" ht="12.75" customHeight="1">
      <c r="B50" s="1497"/>
      <c r="C50" s="1498"/>
      <c r="D50" s="1499"/>
      <c r="E50" s="4804"/>
      <c r="F50" s="4805"/>
      <c r="G50" s="1391" t="e">
        <f t="shared" si="0"/>
        <v>#VALUE!</v>
      </c>
      <c r="H50" s="1392" t="e">
        <f t="shared" si="3"/>
        <v>#VALUE!</v>
      </c>
      <c r="I50" s="1389"/>
      <c r="J50" s="1393" t="e">
        <f t="shared" si="1"/>
        <v>#VALUE!</v>
      </c>
      <c r="K50" s="1393" t="e">
        <f t="shared" si="2"/>
        <v>#VALUE!</v>
      </c>
      <c r="L50" s="4164"/>
      <c r="M50" s="4164"/>
    </row>
    <row r="51" spans="1:13" ht="12.75" customHeight="1" thickBot="1">
      <c r="B51" s="1500"/>
      <c r="C51" s="1501"/>
      <c r="D51" s="1502"/>
      <c r="E51" s="4802"/>
      <c r="F51" s="4803"/>
      <c r="G51" s="1394" t="e">
        <f t="shared" si="0"/>
        <v>#VALUE!</v>
      </c>
      <c r="H51" s="1395" t="e">
        <f t="shared" si="3"/>
        <v>#VALUE!</v>
      </c>
      <c r="I51" s="1389"/>
      <c r="J51" s="1396" t="e">
        <f t="shared" si="1"/>
        <v>#VALUE!</v>
      </c>
      <c r="K51" s="1396" t="e">
        <f t="shared" si="2"/>
        <v>#VALUE!</v>
      </c>
      <c r="L51" s="4164"/>
      <c r="M51" s="4164"/>
    </row>
    <row r="52" spans="1:13" ht="15" customHeight="1" thickBot="1">
      <c r="B52" s="1362"/>
      <c r="D52" s="1356"/>
      <c r="E52" s="1356"/>
      <c r="F52" s="1356"/>
      <c r="G52" s="1373" t="s">
        <v>3990</v>
      </c>
      <c r="H52" s="1372" t="e">
        <f>SUM(H33:H51)</f>
        <v>#VALUE!</v>
      </c>
      <c r="I52" s="1356"/>
      <c r="J52" s="1362" t="s">
        <v>3991</v>
      </c>
      <c r="K52" s="1358" t="e">
        <f>SUM(K33:K51)</f>
        <v>#VALUE!</v>
      </c>
      <c r="L52" s="4164"/>
      <c r="M52" s="4164"/>
    </row>
    <row r="53" spans="1:13" ht="15" customHeight="1">
      <c r="B53" s="1363"/>
      <c r="C53" s="4150" t="s">
        <v>3992</v>
      </c>
      <c r="D53" s="4150"/>
      <c r="E53" s="4150"/>
      <c r="F53" s="4150"/>
      <c r="G53" s="4150"/>
      <c r="H53" s="4150"/>
      <c r="I53" s="4150"/>
      <c r="J53" s="4151"/>
      <c r="K53" s="1364" t="str">
        <f>IF(J17="no",0,IF(J17="yes",J16,"Error"))</f>
        <v>Error</v>
      </c>
      <c r="L53" s="4164"/>
      <c r="M53" s="4164"/>
    </row>
    <row r="54" spans="1:13" ht="15" customHeight="1" thickBot="1">
      <c r="B54" s="1363"/>
      <c r="C54" s="4152" t="s">
        <v>3993</v>
      </c>
      <c r="D54" s="4152"/>
      <c r="E54" s="4152"/>
      <c r="F54" s="4152"/>
      <c r="G54" s="4152"/>
      <c r="H54" s="4152"/>
      <c r="I54" s="4152"/>
      <c r="J54" s="4153"/>
      <c r="K54" s="1375" t="e">
        <f>K52+K53</f>
        <v>#VALUE!</v>
      </c>
    </row>
    <row r="55" spans="1:13" ht="7.9" customHeight="1">
      <c r="A55" s="4154"/>
      <c r="B55" s="4124"/>
      <c r="C55" s="4124"/>
      <c r="D55" s="4124"/>
      <c r="E55" s="4124"/>
      <c r="F55" s="4124"/>
      <c r="G55" s="4124"/>
      <c r="H55" s="4124"/>
      <c r="I55" s="4124"/>
      <c r="J55" s="4124"/>
      <c r="K55" s="1386"/>
    </row>
    <row r="56" spans="1:13" ht="15" customHeight="1">
      <c r="A56" s="4125" t="s">
        <v>3994</v>
      </c>
      <c r="B56" s="4126"/>
      <c r="C56" s="4126"/>
      <c r="D56" s="4126"/>
      <c r="E56" s="4126"/>
      <c r="F56" s="4126"/>
      <c r="G56" s="4126"/>
      <c r="H56" s="4126"/>
      <c r="I56" s="4126"/>
      <c r="J56" s="4126"/>
      <c r="K56" s="4127"/>
    </row>
    <row r="57" spans="1:13" ht="48" customHeight="1">
      <c r="A57" s="1348"/>
      <c r="B57" s="1339"/>
      <c r="C57" s="1350" t="s">
        <v>3995</v>
      </c>
      <c r="D57" s="1483" t="s">
        <v>6063</v>
      </c>
      <c r="E57" s="4137" t="s">
        <v>4011</v>
      </c>
      <c r="F57" s="4138"/>
      <c r="G57" s="4811" t="s">
        <v>3996</v>
      </c>
      <c r="H57" s="4812"/>
      <c r="I57" s="4137" t="s">
        <v>4010</v>
      </c>
      <c r="J57" s="4138"/>
      <c r="K57" s="4141"/>
    </row>
    <row r="58" spans="1:13" ht="15" customHeight="1">
      <c r="A58" s="1465"/>
      <c r="B58" s="1381"/>
      <c r="C58" s="1359">
        <f>SUMIF(C33:C51, "0", H33:H51)</f>
        <v>0</v>
      </c>
      <c r="D58" s="1484">
        <f t="shared" ref="D58:D63" si="4">ROUNDUP(C58*1.1,0)</f>
        <v>0</v>
      </c>
      <c r="E58" s="4143" t="s">
        <v>3997</v>
      </c>
      <c r="F58" s="4144"/>
      <c r="G58" s="4813">
        <f>'DCA Underwriting Assumptions'!H129</f>
        <v>159753.60000000001</v>
      </c>
      <c r="H58" s="4814"/>
      <c r="I58" s="4145">
        <f t="shared" ref="I58:I63" si="5">D58*G58</f>
        <v>0</v>
      </c>
      <c r="J58" s="4145"/>
      <c r="K58" s="4142"/>
    </row>
    <row r="59" spans="1:13">
      <c r="A59" s="1465"/>
      <c r="B59" s="1381"/>
      <c r="C59" s="1360">
        <f>SUMIF(C33:C51, "1", H33:H51)</f>
        <v>0</v>
      </c>
      <c r="D59" s="1485">
        <f t="shared" si="4"/>
        <v>0</v>
      </c>
      <c r="E59" s="4129" t="s">
        <v>2462</v>
      </c>
      <c r="F59" s="4130"/>
      <c r="G59" s="4809">
        <f>'DCA Underwriting Assumptions'!H130</f>
        <v>183132</v>
      </c>
      <c r="H59" s="4810"/>
      <c r="I59" s="4133">
        <f t="shared" si="5"/>
        <v>0</v>
      </c>
      <c r="J59" s="4133"/>
      <c r="K59" s="4142"/>
    </row>
    <row r="60" spans="1:13" ht="15" customHeight="1">
      <c r="A60" s="1465"/>
      <c r="B60" s="1381"/>
      <c r="C60" s="1360">
        <f>SUMIF(C33:C51, "2", H33:H51)</f>
        <v>0</v>
      </c>
      <c r="D60" s="1485">
        <f t="shared" si="4"/>
        <v>0</v>
      </c>
      <c r="E60" s="4129" t="s">
        <v>2463</v>
      </c>
      <c r="F60" s="4130"/>
      <c r="G60" s="4809">
        <f>'DCA Underwriting Assumptions'!H131</f>
        <v>222693.6</v>
      </c>
      <c r="H60" s="4810"/>
      <c r="I60" s="4133">
        <f t="shared" si="5"/>
        <v>0</v>
      </c>
      <c r="J60" s="4133"/>
      <c r="K60" s="4142"/>
    </row>
    <row r="61" spans="1:13">
      <c r="A61" s="1465"/>
      <c r="B61" s="1381"/>
      <c r="C61" s="1360">
        <f>SUMIF(C33:C51, "3", H33:H51)</f>
        <v>0</v>
      </c>
      <c r="D61" s="1485">
        <f t="shared" si="4"/>
        <v>0</v>
      </c>
      <c r="E61" s="4129" t="s">
        <v>2466</v>
      </c>
      <c r="F61" s="4130"/>
      <c r="G61" s="4809">
        <f>'DCA Underwriting Assumptions'!H132</f>
        <v>288093.59999999998</v>
      </c>
      <c r="H61" s="4810"/>
      <c r="I61" s="4133">
        <f t="shared" si="5"/>
        <v>0</v>
      </c>
      <c r="J61" s="4133"/>
      <c r="K61" s="4142"/>
    </row>
    <row r="62" spans="1:13">
      <c r="A62" s="1465"/>
      <c r="B62" s="1381"/>
      <c r="C62" s="1360">
        <f>SUMIF(C33:C51, "4", H33:H51)</f>
        <v>0</v>
      </c>
      <c r="D62" s="1485">
        <f t="shared" si="4"/>
        <v>0</v>
      </c>
      <c r="E62" s="4129" t="s">
        <v>3998</v>
      </c>
      <c r="F62" s="4130"/>
      <c r="G62" s="4809">
        <f>'DCA Underwriting Assumptions'!H133</f>
        <v>316236</v>
      </c>
      <c r="H62" s="4810"/>
      <c r="I62" s="4133">
        <f t="shared" si="5"/>
        <v>0</v>
      </c>
      <c r="J62" s="4133"/>
      <c r="K62" s="4142"/>
    </row>
    <row r="63" spans="1:13">
      <c r="A63" s="1482"/>
      <c r="B63" s="1382"/>
      <c r="C63" s="1361">
        <f>SUMIF(C33:C51, "5", H33:H51)</f>
        <v>0</v>
      </c>
      <c r="D63" s="1486">
        <f t="shared" si="4"/>
        <v>0</v>
      </c>
      <c r="E63" s="4134" t="s">
        <v>3999</v>
      </c>
      <c r="F63" s="4135"/>
      <c r="G63" s="4807">
        <f>'DCA Underwriting Assumptions'!H133</f>
        <v>316236</v>
      </c>
      <c r="H63" s="4808"/>
      <c r="I63" s="4136">
        <f t="shared" si="5"/>
        <v>0</v>
      </c>
      <c r="J63" s="4136"/>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4"/>
      <c r="B65" s="4124"/>
      <c r="C65" s="4124"/>
      <c r="D65" s="4124"/>
      <c r="E65" s="4124"/>
      <c r="F65" s="4124"/>
      <c r="G65" s="4124"/>
      <c r="H65" s="4124"/>
      <c r="I65" s="4124"/>
      <c r="J65" s="4124"/>
    </row>
    <row r="66" spans="1:11">
      <c r="A66" s="4125" t="s">
        <v>4002</v>
      </c>
      <c r="B66" s="4126"/>
      <c r="C66" s="4126"/>
      <c r="D66" s="4126"/>
      <c r="E66" s="4126"/>
      <c r="F66" s="4126"/>
      <c r="G66" s="4126"/>
      <c r="H66" s="4126"/>
      <c r="I66" s="4126"/>
      <c r="J66" s="4126"/>
      <c r="K66" s="4127"/>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8" t="s">
        <v>4006</v>
      </c>
      <c r="D70" s="4128"/>
      <c r="E70" s="4128"/>
      <c r="F70" s="4128"/>
      <c r="G70" s="4128"/>
      <c r="H70" s="4128"/>
      <c r="I70" s="4128"/>
      <c r="J70" s="412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The Bridges at Lincom</v>
      </c>
    </row>
    <row r="2" spans="1:11">
      <c r="A2" s="560" t="s">
        <v>2882</v>
      </c>
      <c r="H2" s="432" t="str">
        <f>'Sensitivity Analysis'!E8</f>
        <v>2023-0</v>
      </c>
    </row>
    <row r="3" spans="1:11" ht="3" customHeight="1"/>
    <row r="4" spans="1:11" ht="51.75" customHeight="1">
      <c r="A4" s="4823" t="s">
        <v>2978</v>
      </c>
      <c r="B4" s="4823"/>
      <c r="C4" s="4823"/>
      <c r="D4" s="4823"/>
      <c r="E4" s="4823"/>
      <c r="F4" s="4823"/>
      <c r="G4" s="4823"/>
      <c r="H4" s="4823"/>
      <c r="J4" s="1009">
        <f>SUM('Part VI-Pro Forma'!B15:B17)/12</f>
        <v>32394.690000000002</v>
      </c>
      <c r="K4" s="1008" t="s">
        <v>3663</v>
      </c>
    </row>
    <row r="5" spans="1:11" ht="1.5" customHeight="1"/>
    <row r="6" spans="1:11" ht="12.75" customHeight="1">
      <c r="B6" s="635" t="s">
        <v>2240</v>
      </c>
      <c r="C6" s="4823" t="s">
        <v>2883</v>
      </c>
      <c r="D6" s="4823"/>
      <c r="E6" s="4823"/>
      <c r="F6" s="4823"/>
      <c r="G6" s="4823"/>
      <c r="H6" s="4823"/>
    </row>
    <row r="7" spans="1:11" ht="12.75" customHeight="1">
      <c r="B7" s="635" t="s">
        <v>2241</v>
      </c>
      <c r="C7" s="4823" t="s">
        <v>2884</v>
      </c>
      <c r="D7" s="4823"/>
      <c r="E7" s="4823"/>
      <c r="F7" s="4823"/>
      <c r="G7" s="4823"/>
      <c r="H7" s="4823"/>
    </row>
    <row r="8" spans="1:11" ht="3" customHeight="1"/>
    <row r="9" spans="1:11">
      <c r="A9" s="432" t="s">
        <v>2885</v>
      </c>
    </row>
    <row r="10" spans="1:11" ht="1.5" customHeight="1"/>
    <row r="11" spans="1:11" ht="26.25" customHeight="1">
      <c r="A11" s="636" t="s">
        <v>1841</v>
      </c>
      <c r="B11" s="4827" t="s">
        <v>2975</v>
      </c>
      <c r="C11" s="4827"/>
      <c r="D11" s="4827"/>
      <c r="E11" s="4827"/>
      <c r="F11" s="4827"/>
      <c r="G11" s="4828">
        <f>'Part II-Sources of Funds'!I51+'Part II-Sources of Funds'!I52</f>
        <v>14756706.908549998</v>
      </c>
      <c r="H11" s="4828"/>
    </row>
    <row r="12" spans="1:11" ht="1.5" customHeight="1">
      <c r="G12" s="617"/>
      <c r="H12" s="617"/>
    </row>
    <row r="13" spans="1:11" ht="26.25" customHeight="1">
      <c r="A13" s="636" t="s">
        <v>1843</v>
      </c>
      <c r="B13" s="4827" t="s">
        <v>2976</v>
      </c>
      <c r="C13" s="4827"/>
      <c r="D13" s="4827"/>
      <c r="E13" s="4827"/>
      <c r="F13" s="4827"/>
      <c r="G13" s="4829" t="s">
        <v>2813</v>
      </c>
      <c r="H13" s="4829"/>
    </row>
    <row r="14" spans="1:11" ht="12" hidden="1" customHeight="1">
      <c r="A14" s="636"/>
      <c r="B14" s="4784"/>
      <c r="C14" s="4784"/>
      <c r="D14" s="4784"/>
      <c r="E14" s="4784"/>
      <c r="F14" s="4784"/>
      <c r="G14" s="4784"/>
      <c r="H14" s="4784"/>
    </row>
    <row r="15" spans="1:11" ht="1.5" customHeight="1"/>
    <row r="16" spans="1:11" ht="12" customHeight="1">
      <c r="A16" s="636" t="s">
        <v>698</v>
      </c>
      <c r="B16" s="432" t="s">
        <v>2979</v>
      </c>
      <c r="G16" s="4830" t="s">
        <v>2652</v>
      </c>
      <c r="H16" s="4830"/>
    </row>
    <row r="17" spans="1:8" ht="1.5" customHeight="1">
      <c r="G17" s="620"/>
    </row>
    <row r="18" spans="1:8" ht="12" customHeight="1">
      <c r="A18" s="636" t="s">
        <v>1962</v>
      </c>
      <c r="B18" s="617" t="s">
        <v>2977</v>
      </c>
      <c r="C18" s="636"/>
      <c r="D18" s="636"/>
      <c r="E18" s="636"/>
      <c r="G18" s="4784" t="s">
        <v>2514</v>
      </c>
      <c r="H18" s="4784"/>
    </row>
    <row r="19" spans="1:8" ht="12" hidden="1" customHeight="1">
      <c r="B19" s="4784"/>
      <c r="C19" s="4784"/>
      <c r="D19" s="4784"/>
      <c r="E19" s="4784"/>
      <c r="F19" s="4784"/>
      <c r="G19" s="4784"/>
      <c r="H19" s="4784"/>
    </row>
    <row r="20" spans="1:8" ht="13.5" customHeight="1"/>
    <row r="21" spans="1:8" ht="12" customHeight="1">
      <c r="A21" s="560" t="s">
        <v>2886</v>
      </c>
    </row>
    <row r="22" spans="1:8" ht="3" customHeight="1"/>
    <row r="23" spans="1:8" ht="24.75" customHeight="1">
      <c r="A23" s="4831" t="s">
        <v>4080</v>
      </c>
      <c r="B23" s="4831"/>
      <c r="C23" s="4831"/>
      <c r="D23" s="4831"/>
      <c r="E23" s="4831"/>
      <c r="F23" s="4831"/>
      <c r="G23" s="4831"/>
      <c r="H23" s="4831"/>
    </row>
    <row r="24" spans="1:8" ht="9" customHeight="1" thickBot="1">
      <c r="A24" s="611"/>
    </row>
    <row r="25" spans="1:8" ht="16.149999999999999" customHeight="1" thickBot="1">
      <c r="A25" s="4824">
        <v>20</v>
      </c>
      <c r="B25" s="4825"/>
      <c r="C25" s="1451" t="s">
        <v>975</v>
      </c>
    </row>
    <row r="26" spans="1:8" ht="9" customHeight="1">
      <c r="A26" s="611"/>
    </row>
    <row r="27" spans="1:8" ht="28.15" customHeight="1">
      <c r="A27" s="4823" t="s">
        <v>4085</v>
      </c>
      <c r="B27" s="4823"/>
      <c r="C27" s="4823"/>
      <c r="D27" s="4823"/>
      <c r="E27" s="4823"/>
      <c r="F27" s="4823"/>
      <c r="G27" s="4823"/>
      <c r="H27" s="4823"/>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3" t="s">
        <v>2888</v>
      </c>
      <c r="G31" s="4823"/>
      <c r="H31" s="4823"/>
    </row>
    <row r="32" spans="1:8" ht="12.75" customHeight="1">
      <c r="C32" s="641" t="s">
        <v>1275</v>
      </c>
      <c r="D32" s="639" t="s">
        <v>1846</v>
      </c>
      <c r="E32" s="4823" t="s">
        <v>2985</v>
      </c>
      <c r="F32" s="4823"/>
      <c r="G32" s="4823"/>
      <c r="H32" s="4823"/>
    </row>
    <row r="33" spans="1:11" ht="12.75" customHeight="1">
      <c r="C33" s="1449" t="s">
        <v>4083</v>
      </c>
      <c r="E33" s="4823" t="s">
        <v>3121</v>
      </c>
      <c r="F33" s="4823"/>
      <c r="G33" s="4823"/>
      <c r="H33" s="4823"/>
    </row>
    <row r="34" spans="1:11" ht="12.75" customHeight="1">
      <c r="C34" s="1450"/>
      <c r="D34" s="1448" t="s">
        <v>2984</v>
      </c>
      <c r="E34" s="4826" t="s">
        <v>3122</v>
      </c>
      <c r="F34" s="4826"/>
      <c r="G34" s="4826"/>
      <c r="H34" s="4826"/>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3" t="s">
        <v>2985</v>
      </c>
      <c r="F37" s="4823"/>
      <c r="G37" s="4823"/>
      <c r="H37" s="4823"/>
    </row>
    <row r="38" spans="1:11" ht="12.75" customHeight="1">
      <c r="C38" s="1449" t="s">
        <v>4083</v>
      </c>
      <c r="E38" s="4823" t="s">
        <v>3121</v>
      </c>
      <c r="F38" s="4823"/>
      <c r="G38" s="4823"/>
      <c r="H38" s="4823"/>
    </row>
    <row r="39" spans="1:11" ht="12.75" customHeight="1">
      <c r="C39" s="1450"/>
      <c r="D39" s="1448" t="s">
        <v>2984</v>
      </c>
      <c r="E39" s="4826" t="s">
        <v>3122</v>
      </c>
      <c r="F39" s="4826"/>
      <c r="G39" s="4826"/>
      <c r="H39" s="4826"/>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3" t="s">
        <v>2985</v>
      </c>
      <c r="F42" s="4823"/>
      <c r="G42" s="4823"/>
      <c r="H42" s="4823"/>
    </row>
    <row r="43" spans="1:11" ht="12.75" customHeight="1">
      <c r="C43" s="1449" t="s">
        <v>4083</v>
      </c>
      <c r="E43" s="4823" t="s">
        <v>3121</v>
      </c>
      <c r="F43" s="4823"/>
      <c r="G43" s="4823"/>
      <c r="H43" s="4823"/>
    </row>
    <row r="44" spans="1:11" ht="12.75" customHeight="1">
      <c r="C44" s="1450"/>
      <c r="D44" s="1448" t="s">
        <v>2984</v>
      </c>
      <c r="E44" s="4826" t="s">
        <v>3122</v>
      </c>
      <c r="F44" s="4826"/>
      <c r="G44" s="4826"/>
      <c r="H44" s="4826"/>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3" t="s">
        <v>2985</v>
      </c>
      <c r="F49" s="4823"/>
      <c r="G49" s="4823"/>
      <c r="H49" s="4823"/>
      <c r="K49" s="610"/>
    </row>
    <row r="50" spans="1:11" ht="12.75" customHeight="1">
      <c r="C50" s="1449" t="s">
        <v>4083</v>
      </c>
      <c r="E50" s="4823" t="s">
        <v>3121</v>
      </c>
      <c r="F50" s="4823"/>
      <c r="G50" s="4823"/>
      <c r="H50" s="4823"/>
    </row>
    <row r="51" spans="1:11" ht="12.75" customHeight="1">
      <c r="C51" s="1450"/>
      <c r="D51" s="642" t="s">
        <v>2984</v>
      </c>
      <c r="E51" s="4823" t="s">
        <v>3122</v>
      </c>
      <c r="F51" s="4823"/>
      <c r="G51" s="4823"/>
      <c r="H51" s="4823"/>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3" t="s">
        <v>2985</v>
      </c>
      <c r="F54" s="4823"/>
      <c r="G54" s="4823"/>
      <c r="H54" s="4823"/>
    </row>
    <row r="55" spans="1:11" ht="12.75" customHeight="1">
      <c r="C55" s="1449" t="s">
        <v>4083</v>
      </c>
      <c r="E55" s="4823" t="s">
        <v>3121</v>
      </c>
      <c r="F55" s="4823"/>
      <c r="G55" s="4823"/>
      <c r="H55" s="4823"/>
    </row>
    <row r="56" spans="1:11" ht="12.75" customHeight="1">
      <c r="C56" s="1450"/>
      <c r="D56" s="1448" t="s">
        <v>2984</v>
      </c>
      <c r="E56" s="4826" t="s">
        <v>3122</v>
      </c>
      <c r="F56" s="4826"/>
      <c r="G56" s="4826"/>
      <c r="H56" s="4826"/>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3" t="s">
        <v>2985</v>
      </c>
      <c r="F59" s="4823"/>
      <c r="G59" s="4823"/>
      <c r="H59" s="4823"/>
    </row>
    <row r="60" spans="1:11" ht="12.75" customHeight="1">
      <c r="C60" s="1449" t="s">
        <v>4083</v>
      </c>
      <c r="E60" s="4823" t="s">
        <v>3121</v>
      </c>
      <c r="F60" s="4823"/>
      <c r="G60" s="4823"/>
      <c r="H60" s="4823"/>
    </row>
    <row r="61" spans="1:11" ht="12.75" customHeight="1">
      <c r="C61" s="1450"/>
      <c r="D61" s="1448" t="s">
        <v>2984</v>
      </c>
      <c r="E61" s="4826" t="s">
        <v>3122</v>
      </c>
      <c r="F61" s="4826"/>
      <c r="G61" s="4826"/>
      <c r="H61" s="4826"/>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3" t="s">
        <v>2985</v>
      </c>
      <c r="F66" s="4823"/>
      <c r="G66" s="4823"/>
      <c r="H66" s="4823"/>
    </row>
    <row r="67" spans="1:8" ht="12.75" customHeight="1">
      <c r="C67" s="1449" t="s">
        <v>4083</v>
      </c>
      <c r="E67" s="4823" t="s">
        <v>3121</v>
      </c>
      <c r="F67" s="4823"/>
      <c r="G67" s="4823"/>
      <c r="H67" s="4823"/>
    </row>
    <row r="68" spans="1:8" ht="12.75" customHeight="1">
      <c r="C68" s="1450"/>
      <c r="D68" s="642" t="s">
        <v>2984</v>
      </c>
      <c r="E68" s="4823" t="s">
        <v>3122</v>
      </c>
      <c r="F68" s="4823"/>
      <c r="G68" s="4823"/>
      <c r="H68" s="4823"/>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3" t="s">
        <v>2985</v>
      </c>
      <c r="F71" s="4823"/>
      <c r="G71" s="4823"/>
      <c r="H71" s="4823"/>
    </row>
    <row r="72" spans="1:8" ht="12.75" customHeight="1">
      <c r="C72" s="1449" t="s">
        <v>4083</v>
      </c>
      <c r="E72" s="4823" t="s">
        <v>3121</v>
      </c>
      <c r="F72" s="4823"/>
      <c r="G72" s="4823"/>
      <c r="H72" s="4823"/>
    </row>
    <row r="73" spans="1:8" ht="12.75" customHeight="1">
      <c r="C73" s="1450"/>
      <c r="D73" s="1448" t="s">
        <v>2984</v>
      </c>
      <c r="E73" s="4826" t="s">
        <v>3122</v>
      </c>
      <c r="F73" s="4826"/>
      <c r="G73" s="4826"/>
      <c r="H73" s="4826"/>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3" t="s">
        <v>2985</v>
      </c>
      <c r="F76" s="4823"/>
      <c r="G76" s="4823"/>
      <c r="H76" s="4823"/>
    </row>
    <row r="77" spans="1:8" ht="12.75" customHeight="1">
      <c r="C77" s="1449" t="s">
        <v>4083</v>
      </c>
      <c r="E77" s="4823" t="s">
        <v>3121</v>
      </c>
      <c r="F77" s="4823"/>
      <c r="G77" s="4823"/>
      <c r="H77" s="4823"/>
    </row>
    <row r="78" spans="1:8" ht="12.75" customHeight="1">
      <c r="C78" s="1450"/>
      <c r="D78" s="1448" t="s">
        <v>2984</v>
      </c>
      <c r="E78" s="4826" t="s">
        <v>3122</v>
      </c>
      <c r="F78" s="4826"/>
      <c r="G78" s="4826"/>
      <c r="H78" s="4826"/>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3" t="s">
        <v>2985</v>
      </c>
      <c r="F83" s="4823"/>
      <c r="G83" s="4823"/>
      <c r="H83" s="4823"/>
    </row>
    <row r="84" spans="3:8" ht="12.75" customHeight="1">
      <c r="C84" s="1449" t="s">
        <v>4083</v>
      </c>
      <c r="E84" s="4823" t="s">
        <v>3121</v>
      </c>
      <c r="F84" s="4823"/>
      <c r="G84" s="4823"/>
      <c r="H84" s="4823"/>
    </row>
    <row r="85" spans="3:8" ht="12.75" customHeight="1">
      <c r="C85" s="1450"/>
      <c r="D85" s="642" t="s">
        <v>2984</v>
      </c>
      <c r="E85" s="4823" t="s">
        <v>3122</v>
      </c>
      <c r="F85" s="4823"/>
      <c r="G85" s="4823"/>
      <c r="H85" s="4823"/>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3" t="s">
        <v>2985</v>
      </c>
      <c r="F88" s="4823"/>
      <c r="G88" s="4823"/>
      <c r="H88" s="4823"/>
    </row>
    <row r="89" spans="3:8" ht="12.75" customHeight="1">
      <c r="C89" s="1449" t="s">
        <v>4083</v>
      </c>
      <c r="E89" s="4823" t="s">
        <v>3121</v>
      </c>
      <c r="F89" s="4823"/>
      <c r="G89" s="4823"/>
      <c r="H89" s="4823"/>
    </row>
    <row r="90" spans="3:8" ht="12.75" customHeight="1">
      <c r="C90" s="1450"/>
      <c r="D90" s="1448" t="s">
        <v>2984</v>
      </c>
      <c r="E90" s="4826" t="s">
        <v>3122</v>
      </c>
      <c r="F90" s="4826"/>
      <c r="G90" s="4826"/>
      <c r="H90" s="4826"/>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3" t="s">
        <v>2985</v>
      </c>
      <c r="F93" s="4823"/>
      <c r="G93" s="4823"/>
      <c r="H93" s="4823"/>
    </row>
    <row r="94" spans="3:8" ht="12.75" customHeight="1">
      <c r="C94" s="1449" t="s">
        <v>4083</v>
      </c>
      <c r="E94" s="4823" t="s">
        <v>3121</v>
      </c>
      <c r="F94" s="4823"/>
      <c r="G94" s="4823"/>
      <c r="H94" s="4823"/>
    </row>
    <row r="95" spans="3:8" ht="12.75" customHeight="1">
      <c r="C95" s="1450"/>
      <c r="D95" s="1448" t="s">
        <v>2984</v>
      </c>
      <c r="E95" s="4826" t="s">
        <v>3122</v>
      </c>
      <c r="F95" s="4826"/>
      <c r="G95" s="4826"/>
      <c r="H95" s="4826"/>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3" t="s">
        <v>2888</v>
      </c>
      <c r="G99" s="4823"/>
      <c r="H99" s="4823"/>
      <c r="K99" s="432" t="s">
        <v>233</v>
      </c>
    </row>
    <row r="100" spans="1:11" ht="12.75" customHeight="1">
      <c r="C100" s="641" t="s">
        <v>1275</v>
      </c>
      <c r="D100" s="639" t="s">
        <v>1846</v>
      </c>
      <c r="E100" s="4823" t="s">
        <v>2986</v>
      </c>
      <c r="F100" s="4823"/>
      <c r="G100" s="4823"/>
      <c r="H100" s="4823"/>
    </row>
    <row r="101" spans="1:11" ht="12.75" customHeight="1">
      <c r="E101" s="4823" t="s">
        <v>3121</v>
      </c>
      <c r="F101" s="4823"/>
      <c r="G101" s="4823"/>
      <c r="H101" s="4823"/>
    </row>
    <row r="102" spans="1:11" ht="12.75" customHeight="1">
      <c r="D102" s="642" t="s">
        <v>2984</v>
      </c>
      <c r="E102" s="4823" t="s">
        <v>3122</v>
      </c>
      <c r="F102" s="4823"/>
      <c r="G102" s="4823"/>
      <c r="H102" s="4823"/>
    </row>
    <row r="103" spans="1:11" ht="9" customHeight="1" thickBot="1"/>
    <row r="104" spans="1:11" ht="16.149999999999999" customHeight="1" thickBot="1">
      <c r="A104" s="4824">
        <v>30</v>
      </c>
      <c r="B104" s="4825"/>
      <c r="C104" s="1451" t="s">
        <v>975</v>
      </c>
    </row>
    <row r="105" spans="1:11" ht="9" customHeight="1">
      <c r="A105" s="611"/>
    </row>
    <row r="106" spans="1:11" ht="28.15" customHeight="1">
      <c r="A106" s="4823" t="s">
        <v>4086</v>
      </c>
      <c r="B106" s="4823"/>
      <c r="C106" s="4823"/>
      <c r="D106" s="4823"/>
      <c r="E106" s="4823"/>
      <c r="F106" s="4823"/>
      <c r="G106" s="4823"/>
      <c r="H106" s="4823"/>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3" t="s">
        <v>2888</v>
      </c>
      <c r="G110" s="4823"/>
      <c r="H110" s="4823"/>
    </row>
    <row r="111" spans="1:11" ht="12.75" customHeight="1">
      <c r="C111" s="641" t="s">
        <v>1275</v>
      </c>
      <c r="D111" s="639" t="s">
        <v>1846</v>
      </c>
      <c r="E111" s="4823" t="s">
        <v>2985</v>
      </c>
      <c r="F111" s="4823"/>
      <c r="G111" s="4823"/>
      <c r="H111" s="4823"/>
    </row>
    <row r="112" spans="1:11" ht="12.75" customHeight="1">
      <c r="C112" s="1449" t="s">
        <v>4083</v>
      </c>
      <c r="E112" s="4823" t="s">
        <v>3121</v>
      </c>
      <c r="F112" s="4823"/>
      <c r="G112" s="4823"/>
      <c r="H112" s="4823"/>
    </row>
    <row r="113" spans="1:8" ht="12.75" customHeight="1">
      <c r="C113" s="1450"/>
      <c r="D113" s="1448" t="s">
        <v>2984</v>
      </c>
      <c r="E113" s="4826" t="s">
        <v>3122</v>
      </c>
      <c r="F113" s="4826"/>
      <c r="G113" s="4826"/>
      <c r="H113" s="4826"/>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3" t="s">
        <v>2985</v>
      </c>
      <c r="F116" s="4823"/>
      <c r="G116" s="4823"/>
      <c r="H116" s="4823"/>
    </row>
    <row r="117" spans="1:8" ht="12.75" customHeight="1">
      <c r="C117" s="1449" t="s">
        <v>4083</v>
      </c>
      <c r="E117" s="4823" t="s">
        <v>3121</v>
      </c>
      <c r="F117" s="4823"/>
      <c r="G117" s="4823"/>
      <c r="H117" s="4823"/>
    </row>
    <row r="118" spans="1:8" ht="12.75" customHeight="1">
      <c r="C118" s="1450"/>
      <c r="D118" s="1448" t="s">
        <v>2984</v>
      </c>
      <c r="E118" s="4826" t="s">
        <v>3122</v>
      </c>
      <c r="F118" s="4826"/>
      <c r="G118" s="4826"/>
      <c r="H118" s="4826"/>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3" t="s">
        <v>2985</v>
      </c>
      <c r="F121" s="4823"/>
      <c r="G121" s="4823"/>
      <c r="H121" s="4823"/>
    </row>
    <row r="122" spans="1:8" ht="12.75" customHeight="1">
      <c r="C122" s="1449" t="s">
        <v>4083</v>
      </c>
      <c r="E122" s="4823" t="s">
        <v>3121</v>
      </c>
      <c r="F122" s="4823"/>
      <c r="G122" s="4823"/>
      <c r="H122" s="4823"/>
    </row>
    <row r="123" spans="1:8" ht="12.75" customHeight="1">
      <c r="C123" s="1450"/>
      <c r="D123" s="1448" t="s">
        <v>2984</v>
      </c>
      <c r="E123" s="4826" t="s">
        <v>3122</v>
      </c>
      <c r="F123" s="4826"/>
      <c r="G123" s="4826"/>
      <c r="H123" s="4826"/>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3" t="s">
        <v>2985</v>
      </c>
      <c r="F128" s="4823"/>
      <c r="G128" s="4823"/>
      <c r="H128" s="4823"/>
    </row>
    <row r="129" spans="1:8" ht="12.75" customHeight="1">
      <c r="C129" s="1449" t="s">
        <v>4083</v>
      </c>
      <c r="E129" s="4823" t="s">
        <v>3121</v>
      </c>
      <c r="F129" s="4823"/>
      <c r="G129" s="4823"/>
      <c r="H129" s="4823"/>
    </row>
    <row r="130" spans="1:8" ht="12.75" customHeight="1">
      <c r="C130" s="1450"/>
      <c r="D130" s="642" t="s">
        <v>2984</v>
      </c>
      <c r="E130" s="4823" t="s">
        <v>3122</v>
      </c>
      <c r="F130" s="4823"/>
      <c r="G130" s="4823"/>
      <c r="H130" s="4823"/>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3" t="s">
        <v>2985</v>
      </c>
      <c r="F133" s="4823"/>
      <c r="G133" s="4823"/>
      <c r="H133" s="4823"/>
    </row>
    <row r="134" spans="1:8" ht="12.75" customHeight="1">
      <c r="C134" s="1449" t="s">
        <v>4083</v>
      </c>
      <c r="E134" s="4823" t="s">
        <v>3121</v>
      </c>
      <c r="F134" s="4823"/>
      <c r="G134" s="4823"/>
      <c r="H134" s="4823"/>
    </row>
    <row r="135" spans="1:8" ht="12.75" customHeight="1">
      <c r="C135" s="1450"/>
      <c r="D135" s="1448" t="s">
        <v>2984</v>
      </c>
      <c r="E135" s="4826" t="s">
        <v>3122</v>
      </c>
      <c r="F135" s="4826"/>
      <c r="G135" s="4826"/>
      <c r="H135" s="4826"/>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3" t="s">
        <v>2985</v>
      </c>
      <c r="F138" s="4823"/>
      <c r="G138" s="4823"/>
      <c r="H138" s="4823"/>
    </row>
    <row r="139" spans="1:8" ht="12.75" customHeight="1">
      <c r="C139" s="1449" t="s">
        <v>4083</v>
      </c>
      <c r="E139" s="4823" t="s">
        <v>3121</v>
      </c>
      <c r="F139" s="4823"/>
      <c r="G139" s="4823"/>
      <c r="H139" s="4823"/>
    </row>
    <row r="140" spans="1:8" ht="12.75" customHeight="1">
      <c r="C140" s="1450"/>
      <c r="D140" s="1448" t="s">
        <v>2984</v>
      </c>
      <c r="E140" s="4826" t="s">
        <v>3122</v>
      </c>
      <c r="F140" s="4826"/>
      <c r="G140" s="4826"/>
      <c r="H140" s="4826"/>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3" t="s">
        <v>2985</v>
      </c>
      <c r="F145" s="4823"/>
      <c r="G145" s="4823"/>
      <c r="H145" s="4823"/>
    </row>
    <row r="146" spans="1:8" ht="12.75" customHeight="1">
      <c r="C146" s="1449" t="s">
        <v>4083</v>
      </c>
      <c r="E146" s="4823" t="s">
        <v>3121</v>
      </c>
      <c r="F146" s="4823"/>
      <c r="G146" s="4823"/>
      <c r="H146" s="4823"/>
    </row>
    <row r="147" spans="1:8" ht="12.75" customHeight="1">
      <c r="C147" s="1450"/>
      <c r="D147" s="642" t="s">
        <v>2984</v>
      </c>
      <c r="E147" s="4823" t="s">
        <v>3122</v>
      </c>
      <c r="F147" s="4823"/>
      <c r="G147" s="4823"/>
      <c r="H147" s="4823"/>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3" t="s">
        <v>2985</v>
      </c>
      <c r="F150" s="4823"/>
      <c r="G150" s="4823"/>
      <c r="H150" s="4823"/>
    </row>
    <row r="151" spans="1:8" ht="12.75" customHeight="1">
      <c r="C151" s="1449" t="s">
        <v>4083</v>
      </c>
      <c r="E151" s="4823" t="s">
        <v>3121</v>
      </c>
      <c r="F151" s="4823"/>
      <c r="G151" s="4823"/>
      <c r="H151" s="4823"/>
    </row>
    <row r="152" spans="1:8" ht="12.75" customHeight="1">
      <c r="C152" s="1450"/>
      <c r="D152" s="1448" t="s">
        <v>2984</v>
      </c>
      <c r="E152" s="4826" t="s">
        <v>3122</v>
      </c>
      <c r="F152" s="4826"/>
      <c r="G152" s="4826"/>
      <c r="H152" s="4826"/>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3" t="s">
        <v>2985</v>
      </c>
      <c r="F155" s="4823"/>
      <c r="G155" s="4823"/>
      <c r="H155" s="4823"/>
    </row>
    <row r="156" spans="1:8" ht="12.75" customHeight="1">
      <c r="C156" s="1449" t="s">
        <v>4083</v>
      </c>
      <c r="E156" s="4823" t="s">
        <v>3121</v>
      </c>
      <c r="F156" s="4823"/>
      <c r="G156" s="4823"/>
      <c r="H156" s="4823"/>
    </row>
    <row r="157" spans="1:8" ht="12.75" customHeight="1">
      <c r="C157" s="1450"/>
      <c r="D157" s="1448" t="s">
        <v>2984</v>
      </c>
      <c r="E157" s="4826" t="s">
        <v>3122</v>
      </c>
      <c r="F157" s="4826"/>
      <c r="G157" s="4826"/>
      <c r="H157" s="4826"/>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3" t="s">
        <v>2985</v>
      </c>
      <c r="F162" s="4823"/>
      <c r="G162" s="4823"/>
      <c r="H162" s="4823"/>
    </row>
    <row r="163" spans="1:8" ht="12.75" customHeight="1">
      <c r="C163" s="1449" t="s">
        <v>4083</v>
      </c>
      <c r="E163" s="4823" t="s">
        <v>3121</v>
      </c>
      <c r="F163" s="4823"/>
      <c r="G163" s="4823"/>
      <c r="H163" s="4823"/>
    </row>
    <row r="164" spans="1:8" ht="12.75" customHeight="1">
      <c r="C164" s="1450"/>
      <c r="D164" s="642" t="s">
        <v>2984</v>
      </c>
      <c r="E164" s="4823" t="s">
        <v>3122</v>
      </c>
      <c r="F164" s="4823"/>
      <c r="G164" s="4823"/>
      <c r="H164" s="4823"/>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3" t="s">
        <v>2985</v>
      </c>
      <c r="F167" s="4823"/>
      <c r="G167" s="4823"/>
      <c r="H167" s="4823"/>
    </row>
    <row r="168" spans="1:8" ht="12.75" customHeight="1">
      <c r="C168" s="1449" t="s">
        <v>4083</v>
      </c>
      <c r="E168" s="4823" t="s">
        <v>3121</v>
      </c>
      <c r="F168" s="4823"/>
      <c r="G168" s="4823"/>
      <c r="H168" s="4823"/>
    </row>
    <row r="169" spans="1:8" ht="12.75" customHeight="1">
      <c r="C169" s="1450"/>
      <c r="D169" s="1448" t="s">
        <v>2984</v>
      </c>
      <c r="E169" s="4826" t="s">
        <v>3122</v>
      </c>
      <c r="F169" s="4826"/>
      <c r="G169" s="4826"/>
      <c r="H169" s="4826"/>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3" t="s">
        <v>2985</v>
      </c>
      <c r="F172" s="4823"/>
      <c r="G172" s="4823"/>
      <c r="H172" s="4823"/>
    </row>
    <row r="173" spans="1:8" ht="12.75" customHeight="1">
      <c r="C173" s="1449" t="s">
        <v>4083</v>
      </c>
      <c r="E173" s="4823" t="s">
        <v>3121</v>
      </c>
      <c r="F173" s="4823"/>
      <c r="G173" s="4823"/>
      <c r="H173" s="4823"/>
    </row>
    <row r="174" spans="1:8" ht="12.75" customHeight="1">
      <c r="C174" s="1450"/>
      <c r="D174" s="1448" t="s">
        <v>2984</v>
      </c>
      <c r="E174" s="4826" t="s">
        <v>3122</v>
      </c>
      <c r="F174" s="4826"/>
      <c r="G174" s="4826"/>
      <c r="H174" s="4826"/>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3" t="s">
        <v>2888</v>
      </c>
      <c r="G178" s="4823"/>
      <c r="H178" s="4823"/>
      <c r="K178" s="432" t="s">
        <v>233</v>
      </c>
    </row>
    <row r="179" spans="1:11" ht="12.75" customHeight="1">
      <c r="C179" s="641" t="s">
        <v>1275</v>
      </c>
      <c r="D179" s="639" t="s">
        <v>1846</v>
      </c>
      <c r="E179" s="4823" t="s">
        <v>2986</v>
      </c>
      <c r="F179" s="4823"/>
      <c r="G179" s="4823"/>
      <c r="H179" s="4823"/>
    </row>
    <row r="180" spans="1:11" ht="12.75" customHeight="1">
      <c r="E180" s="4823" t="s">
        <v>3121</v>
      </c>
      <c r="F180" s="4823"/>
      <c r="G180" s="4823"/>
      <c r="H180" s="4823"/>
    </row>
    <row r="181" spans="1:11" ht="12.75" customHeight="1">
      <c r="D181" s="642" t="s">
        <v>2984</v>
      </c>
      <c r="E181" s="4823" t="s">
        <v>3122</v>
      </c>
      <c r="F181" s="4823"/>
      <c r="G181" s="4823"/>
      <c r="H181" s="4823"/>
    </row>
    <row r="182" spans="1:11" ht="9" customHeight="1" thickBot="1"/>
    <row r="183" spans="1:11" ht="16.149999999999999" customHeight="1" thickBot="1">
      <c r="A183" s="4824">
        <v>40</v>
      </c>
      <c r="B183" s="4825"/>
      <c r="C183" s="1451" t="s">
        <v>975</v>
      </c>
    </row>
    <row r="184" spans="1:11" ht="9" customHeight="1">
      <c r="A184" s="611"/>
    </row>
    <row r="185" spans="1:11" ht="28.15" customHeight="1">
      <c r="A185" s="4823" t="s">
        <v>4087</v>
      </c>
      <c r="B185" s="4823"/>
      <c r="C185" s="4823"/>
      <c r="D185" s="4823"/>
      <c r="E185" s="4823"/>
      <c r="F185" s="4823"/>
      <c r="G185" s="4823"/>
      <c r="H185" s="4823"/>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3" t="s">
        <v>2888</v>
      </c>
      <c r="G189" s="4823"/>
      <c r="H189" s="4823"/>
    </row>
    <row r="190" spans="1:11" ht="12.75" customHeight="1">
      <c r="C190" s="641" t="s">
        <v>1275</v>
      </c>
      <c r="D190" s="639" t="s">
        <v>1846</v>
      </c>
      <c r="E190" s="4823" t="s">
        <v>2985</v>
      </c>
      <c r="F190" s="4823"/>
      <c r="G190" s="4823"/>
      <c r="H190" s="4823"/>
    </row>
    <row r="191" spans="1:11" ht="12.75" customHeight="1">
      <c r="C191" s="1449" t="s">
        <v>4083</v>
      </c>
      <c r="E191" s="4823" t="s">
        <v>3121</v>
      </c>
      <c r="F191" s="4823"/>
      <c r="G191" s="4823"/>
      <c r="H191" s="4823"/>
    </row>
    <row r="192" spans="1:11" ht="12.75" customHeight="1">
      <c r="C192" s="1450"/>
      <c r="D192" s="1448" t="s">
        <v>2984</v>
      </c>
      <c r="E192" s="4826" t="s">
        <v>3122</v>
      </c>
      <c r="F192" s="4826"/>
      <c r="G192" s="4826"/>
      <c r="H192" s="4826"/>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3" t="s">
        <v>2985</v>
      </c>
      <c r="F195" s="4823"/>
      <c r="G195" s="4823"/>
      <c r="H195" s="4823"/>
    </row>
    <row r="196" spans="1:8" ht="12.75" customHeight="1">
      <c r="C196" s="1449" t="s">
        <v>4083</v>
      </c>
      <c r="E196" s="4823" t="s">
        <v>3121</v>
      </c>
      <c r="F196" s="4823"/>
      <c r="G196" s="4823"/>
      <c r="H196" s="4823"/>
    </row>
    <row r="197" spans="1:8" ht="12.75" customHeight="1">
      <c r="C197" s="1450"/>
      <c r="D197" s="1448" t="s">
        <v>2984</v>
      </c>
      <c r="E197" s="4826" t="s">
        <v>3122</v>
      </c>
      <c r="F197" s="4826"/>
      <c r="G197" s="4826"/>
      <c r="H197" s="4826"/>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3" t="s">
        <v>2985</v>
      </c>
      <c r="F200" s="4823"/>
      <c r="G200" s="4823"/>
      <c r="H200" s="4823"/>
    </row>
    <row r="201" spans="1:8" ht="12.75" customHeight="1">
      <c r="C201" s="1449" t="s">
        <v>4083</v>
      </c>
      <c r="E201" s="4823" t="s">
        <v>3121</v>
      </c>
      <c r="F201" s="4823"/>
      <c r="G201" s="4823"/>
      <c r="H201" s="4823"/>
    </row>
    <row r="202" spans="1:8" ht="12.75" customHeight="1">
      <c r="C202" s="1450"/>
      <c r="D202" s="1448" t="s">
        <v>2984</v>
      </c>
      <c r="E202" s="4826" t="s">
        <v>3122</v>
      </c>
      <c r="F202" s="4826"/>
      <c r="G202" s="4826"/>
      <c r="H202" s="4826"/>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3" t="s">
        <v>2985</v>
      </c>
      <c r="F207" s="4823"/>
      <c r="G207" s="4823"/>
      <c r="H207" s="4823"/>
    </row>
    <row r="208" spans="1:8" ht="12.75" customHeight="1">
      <c r="C208" s="1449" t="s">
        <v>4083</v>
      </c>
      <c r="E208" s="4823" t="s">
        <v>3121</v>
      </c>
      <c r="F208" s="4823"/>
      <c r="G208" s="4823"/>
      <c r="H208" s="4823"/>
    </row>
    <row r="209" spans="1:8" ht="12.75" customHeight="1">
      <c r="C209" s="1450"/>
      <c r="D209" s="642" t="s">
        <v>2984</v>
      </c>
      <c r="E209" s="4823" t="s">
        <v>3122</v>
      </c>
      <c r="F209" s="4823"/>
      <c r="G209" s="4823"/>
      <c r="H209" s="4823"/>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3" t="s">
        <v>2985</v>
      </c>
      <c r="F212" s="4823"/>
      <c r="G212" s="4823"/>
      <c r="H212" s="4823"/>
    </row>
    <row r="213" spans="1:8" ht="12.75" customHeight="1">
      <c r="C213" s="1449" t="s">
        <v>4083</v>
      </c>
      <c r="E213" s="4823" t="s">
        <v>3121</v>
      </c>
      <c r="F213" s="4823"/>
      <c r="G213" s="4823"/>
      <c r="H213" s="4823"/>
    </row>
    <row r="214" spans="1:8" ht="12.75" customHeight="1">
      <c r="C214" s="1450"/>
      <c r="D214" s="1448" t="s">
        <v>2984</v>
      </c>
      <c r="E214" s="4826" t="s">
        <v>3122</v>
      </c>
      <c r="F214" s="4826"/>
      <c r="G214" s="4826"/>
      <c r="H214" s="4826"/>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3" t="s">
        <v>2985</v>
      </c>
      <c r="F217" s="4823"/>
      <c r="G217" s="4823"/>
      <c r="H217" s="4823"/>
    </row>
    <row r="218" spans="1:8" ht="12.75" customHeight="1">
      <c r="C218" s="1449" t="s">
        <v>4083</v>
      </c>
      <c r="E218" s="4823" t="s">
        <v>3121</v>
      </c>
      <c r="F218" s="4823"/>
      <c r="G218" s="4823"/>
      <c r="H218" s="4823"/>
    </row>
    <row r="219" spans="1:8" ht="12.75" customHeight="1">
      <c r="C219" s="1450"/>
      <c r="D219" s="1448" t="s">
        <v>2984</v>
      </c>
      <c r="E219" s="4826" t="s">
        <v>3122</v>
      </c>
      <c r="F219" s="4826"/>
      <c r="G219" s="4826"/>
      <c r="H219" s="4826"/>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3" t="s">
        <v>2985</v>
      </c>
      <c r="F224" s="4823"/>
      <c r="G224" s="4823"/>
      <c r="H224" s="4823"/>
    </row>
    <row r="225" spans="1:8" ht="12.75" customHeight="1">
      <c r="C225" s="1449" t="s">
        <v>4083</v>
      </c>
      <c r="E225" s="4823" t="s">
        <v>3121</v>
      </c>
      <c r="F225" s="4823"/>
      <c r="G225" s="4823"/>
      <c r="H225" s="4823"/>
    </row>
    <row r="226" spans="1:8" ht="12.75" customHeight="1">
      <c r="C226" s="1450"/>
      <c r="D226" s="642" t="s">
        <v>2984</v>
      </c>
      <c r="E226" s="4823" t="s">
        <v>3122</v>
      </c>
      <c r="F226" s="4823"/>
      <c r="G226" s="4823"/>
      <c r="H226" s="4823"/>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3" t="s">
        <v>2985</v>
      </c>
      <c r="F229" s="4823"/>
      <c r="G229" s="4823"/>
      <c r="H229" s="4823"/>
    </row>
    <row r="230" spans="1:8" ht="12.75" customHeight="1">
      <c r="C230" s="1449" t="s">
        <v>4083</v>
      </c>
      <c r="E230" s="4823" t="s">
        <v>3121</v>
      </c>
      <c r="F230" s="4823"/>
      <c r="G230" s="4823"/>
      <c r="H230" s="4823"/>
    </row>
    <row r="231" spans="1:8" ht="12.75" customHeight="1">
      <c r="C231" s="1450"/>
      <c r="D231" s="1448" t="s">
        <v>2984</v>
      </c>
      <c r="E231" s="4826" t="s">
        <v>3122</v>
      </c>
      <c r="F231" s="4826"/>
      <c r="G231" s="4826"/>
      <c r="H231" s="4826"/>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3" t="s">
        <v>2985</v>
      </c>
      <c r="F234" s="4823"/>
      <c r="G234" s="4823"/>
      <c r="H234" s="4823"/>
    </row>
    <row r="235" spans="1:8" ht="12.75" customHeight="1">
      <c r="C235" s="1449" t="s">
        <v>4083</v>
      </c>
      <c r="E235" s="4823" t="s">
        <v>3121</v>
      </c>
      <c r="F235" s="4823"/>
      <c r="G235" s="4823"/>
      <c r="H235" s="4823"/>
    </row>
    <row r="236" spans="1:8" ht="12.75" customHeight="1">
      <c r="C236" s="1450"/>
      <c r="D236" s="1448" t="s">
        <v>2984</v>
      </c>
      <c r="E236" s="4826" t="s">
        <v>3122</v>
      </c>
      <c r="F236" s="4826"/>
      <c r="G236" s="4826"/>
      <c r="H236" s="4826"/>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3" t="s">
        <v>2985</v>
      </c>
      <c r="F241" s="4823"/>
      <c r="G241" s="4823"/>
      <c r="H241" s="4823"/>
    </row>
    <row r="242" spans="1:8" ht="12.75" customHeight="1">
      <c r="C242" s="1449" t="s">
        <v>4083</v>
      </c>
      <c r="E242" s="4823" t="s">
        <v>3121</v>
      </c>
      <c r="F242" s="4823"/>
      <c r="G242" s="4823"/>
      <c r="H242" s="4823"/>
    </row>
    <row r="243" spans="1:8" ht="12.75" customHeight="1">
      <c r="C243" s="1450"/>
      <c r="D243" s="642" t="s">
        <v>2984</v>
      </c>
      <c r="E243" s="4823" t="s">
        <v>3122</v>
      </c>
      <c r="F243" s="4823"/>
      <c r="G243" s="4823"/>
      <c r="H243" s="4823"/>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3" t="s">
        <v>2985</v>
      </c>
      <c r="F246" s="4823"/>
      <c r="G246" s="4823"/>
      <c r="H246" s="4823"/>
    </row>
    <row r="247" spans="1:8" ht="12.75" customHeight="1">
      <c r="C247" s="1449" t="s">
        <v>4083</v>
      </c>
      <c r="E247" s="4823" t="s">
        <v>3121</v>
      </c>
      <c r="F247" s="4823"/>
      <c r="G247" s="4823"/>
      <c r="H247" s="4823"/>
    </row>
    <row r="248" spans="1:8" ht="12.75" customHeight="1">
      <c r="C248" s="1450"/>
      <c r="D248" s="1448" t="s">
        <v>2984</v>
      </c>
      <c r="E248" s="4826" t="s">
        <v>3122</v>
      </c>
      <c r="F248" s="4826"/>
      <c r="G248" s="4826"/>
      <c r="H248" s="4826"/>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3" t="s">
        <v>2985</v>
      </c>
      <c r="F251" s="4823"/>
      <c r="G251" s="4823"/>
      <c r="H251" s="4823"/>
    </row>
    <row r="252" spans="1:8" ht="12.75" customHeight="1">
      <c r="C252" s="1449" t="s">
        <v>4083</v>
      </c>
      <c r="E252" s="4823" t="s">
        <v>3121</v>
      </c>
      <c r="F252" s="4823"/>
      <c r="G252" s="4823"/>
      <c r="H252" s="4823"/>
    </row>
    <row r="253" spans="1:8" ht="12.75" customHeight="1">
      <c r="C253" s="1450"/>
      <c r="D253" s="1448" t="s">
        <v>2984</v>
      </c>
      <c r="E253" s="4826" t="s">
        <v>3122</v>
      </c>
      <c r="F253" s="4826"/>
      <c r="G253" s="4826"/>
      <c r="H253" s="4826"/>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3" t="s">
        <v>2888</v>
      </c>
      <c r="G257" s="4823"/>
      <c r="H257" s="4823"/>
      <c r="K257" s="432" t="s">
        <v>233</v>
      </c>
    </row>
    <row r="258" spans="1:11" ht="12.75" customHeight="1">
      <c r="C258" s="641" t="s">
        <v>1275</v>
      </c>
      <c r="D258" s="639" t="s">
        <v>1846</v>
      </c>
      <c r="E258" s="4823" t="s">
        <v>2986</v>
      </c>
      <c r="F258" s="4823"/>
      <c r="G258" s="4823"/>
      <c r="H258" s="4823"/>
    </row>
    <row r="259" spans="1:11" ht="12.75" customHeight="1">
      <c r="E259" s="4823" t="s">
        <v>3121</v>
      </c>
      <c r="F259" s="4823"/>
      <c r="G259" s="4823"/>
      <c r="H259" s="4823"/>
    </row>
    <row r="260" spans="1:11" ht="12.75" customHeight="1">
      <c r="D260" s="642" t="s">
        <v>2984</v>
      </c>
      <c r="E260" s="4823" t="s">
        <v>3122</v>
      </c>
      <c r="F260" s="4823"/>
      <c r="G260" s="4823"/>
      <c r="H260" s="4823"/>
    </row>
    <row r="261" spans="1:11" ht="9" customHeight="1" thickBot="1"/>
    <row r="262" spans="1:11" ht="16.149999999999999" customHeight="1" thickBot="1">
      <c r="A262" s="4824">
        <v>50</v>
      </c>
      <c r="B262" s="4825"/>
      <c r="C262" s="1451" t="s">
        <v>975</v>
      </c>
    </row>
    <row r="263" spans="1:11" ht="9" customHeight="1">
      <c r="A263" s="611"/>
    </row>
    <row r="264" spans="1:11" ht="28.15" customHeight="1">
      <c r="A264" s="4823" t="s">
        <v>4084</v>
      </c>
      <c r="B264" s="4823"/>
      <c r="C264" s="4823"/>
      <c r="D264" s="4823"/>
      <c r="E264" s="4823"/>
      <c r="F264" s="4823"/>
      <c r="G264" s="4823"/>
      <c r="H264" s="4823"/>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3" t="s">
        <v>2888</v>
      </c>
      <c r="G268" s="4823"/>
      <c r="H268" s="4823"/>
    </row>
    <row r="269" spans="1:11" ht="12.75" customHeight="1">
      <c r="C269" s="641" t="s">
        <v>1275</v>
      </c>
      <c r="D269" s="639" t="s">
        <v>1846</v>
      </c>
      <c r="E269" s="4823" t="s">
        <v>2985</v>
      </c>
      <c r="F269" s="4823"/>
      <c r="G269" s="4823"/>
      <c r="H269" s="4823"/>
    </row>
    <row r="270" spans="1:11" ht="12.75" customHeight="1">
      <c r="C270" s="1449" t="s">
        <v>4083</v>
      </c>
      <c r="E270" s="4823" t="s">
        <v>3121</v>
      </c>
      <c r="F270" s="4823"/>
      <c r="G270" s="4823"/>
      <c r="H270" s="4823"/>
    </row>
    <row r="271" spans="1:11" ht="12.75" customHeight="1">
      <c r="C271" s="1450"/>
      <c r="D271" s="1448" t="s">
        <v>2984</v>
      </c>
      <c r="E271" s="4826" t="s">
        <v>3122</v>
      </c>
      <c r="F271" s="4826"/>
      <c r="G271" s="4826"/>
      <c r="H271" s="4826"/>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3" t="s">
        <v>2985</v>
      </c>
      <c r="F274" s="4823"/>
      <c r="G274" s="4823"/>
      <c r="H274" s="4823"/>
    </row>
    <row r="275" spans="1:8" ht="12.75" customHeight="1">
      <c r="C275" s="1449" t="s">
        <v>4083</v>
      </c>
      <c r="E275" s="4823" t="s">
        <v>3121</v>
      </c>
      <c r="F275" s="4823"/>
      <c r="G275" s="4823"/>
      <c r="H275" s="4823"/>
    </row>
    <row r="276" spans="1:8" ht="12.75" customHeight="1">
      <c r="C276" s="1450"/>
      <c r="D276" s="1448" t="s">
        <v>2984</v>
      </c>
      <c r="E276" s="4826" t="s">
        <v>3122</v>
      </c>
      <c r="F276" s="4826"/>
      <c r="G276" s="4826"/>
      <c r="H276" s="4826"/>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3" t="s">
        <v>2985</v>
      </c>
      <c r="F279" s="4823"/>
      <c r="G279" s="4823"/>
      <c r="H279" s="4823"/>
    </row>
    <row r="280" spans="1:8" ht="12.75" customHeight="1">
      <c r="C280" s="1449" t="s">
        <v>4083</v>
      </c>
      <c r="E280" s="4823" t="s">
        <v>3121</v>
      </c>
      <c r="F280" s="4823"/>
      <c r="G280" s="4823"/>
      <c r="H280" s="4823"/>
    </row>
    <row r="281" spans="1:8" ht="12.75" customHeight="1">
      <c r="C281" s="1450"/>
      <c r="D281" s="1448" t="s">
        <v>2984</v>
      </c>
      <c r="E281" s="4826" t="s">
        <v>3122</v>
      </c>
      <c r="F281" s="4826"/>
      <c r="G281" s="4826"/>
      <c r="H281" s="4826"/>
    </row>
    <row r="282" spans="1:8" ht="6" customHeight="1">
      <c r="D282" s="639"/>
      <c r="E282" s="1025"/>
      <c r="F282" s="1025"/>
      <c r="G282" s="1025"/>
      <c r="H282" s="1025"/>
    </row>
    <row r="283" spans="1:8">
      <c r="A283" s="620" t="s">
        <v>2980</v>
      </c>
      <c r="B283" s="637">
        <f>IF('Part V-Revenues &amp; Expenses'!$L$59=0,"",'Part V-Revenues &amp; Expenses'!$L$59)</f>
        <v>2</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3" t="s">
        <v>2985</v>
      </c>
      <c r="F286" s="4823"/>
      <c r="G286" s="4823"/>
      <c r="H286" s="4823"/>
    </row>
    <row r="287" spans="1:8" ht="12.75" customHeight="1">
      <c r="C287" s="1449" t="s">
        <v>4083</v>
      </c>
      <c r="E287" s="4823" t="s">
        <v>3121</v>
      </c>
      <c r="F287" s="4823"/>
      <c r="G287" s="4823"/>
      <c r="H287" s="4823"/>
    </row>
    <row r="288" spans="1:8" ht="12.75" customHeight="1">
      <c r="C288" s="1450"/>
      <c r="D288" s="642" t="s">
        <v>2984</v>
      </c>
      <c r="E288" s="4823" t="s">
        <v>3122</v>
      </c>
      <c r="F288" s="4823"/>
      <c r="G288" s="4823"/>
      <c r="H288" s="4823"/>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3" t="s">
        <v>2985</v>
      </c>
      <c r="F291" s="4823"/>
      <c r="G291" s="4823"/>
      <c r="H291" s="4823"/>
    </row>
    <row r="292" spans="1:8" ht="12.75" customHeight="1">
      <c r="C292" s="1449" t="s">
        <v>4083</v>
      </c>
      <c r="E292" s="4823" t="s">
        <v>3121</v>
      </c>
      <c r="F292" s="4823"/>
      <c r="G292" s="4823"/>
      <c r="H292" s="4823"/>
    </row>
    <row r="293" spans="1:8" ht="12.75" customHeight="1">
      <c r="C293" s="1450"/>
      <c r="D293" s="1448" t="s">
        <v>2984</v>
      </c>
      <c r="E293" s="4826" t="s">
        <v>3122</v>
      </c>
      <c r="F293" s="4826"/>
      <c r="G293" s="4826"/>
      <c r="H293" s="4826"/>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3" t="s">
        <v>2985</v>
      </c>
      <c r="F296" s="4823"/>
      <c r="G296" s="4823"/>
      <c r="H296" s="4823"/>
    </row>
    <row r="297" spans="1:8" ht="12.75" customHeight="1">
      <c r="C297" s="1449" t="s">
        <v>4083</v>
      </c>
      <c r="E297" s="4823" t="s">
        <v>3121</v>
      </c>
      <c r="F297" s="4823"/>
      <c r="G297" s="4823"/>
      <c r="H297" s="4823"/>
    </row>
    <row r="298" spans="1:8" ht="12.75" customHeight="1">
      <c r="C298" s="1450"/>
      <c r="D298" s="1448" t="s">
        <v>2984</v>
      </c>
      <c r="E298" s="4826" t="s">
        <v>3122</v>
      </c>
      <c r="F298" s="4826"/>
      <c r="G298" s="4826"/>
      <c r="H298" s="4826"/>
    </row>
    <row r="299" spans="1:8" ht="6" customHeight="1">
      <c r="D299" s="639"/>
      <c r="E299" s="1025"/>
      <c r="F299" s="1025"/>
      <c r="G299" s="1025"/>
      <c r="H299" s="1025"/>
    </row>
    <row r="300" spans="1:8">
      <c r="A300" s="620" t="s">
        <v>2980</v>
      </c>
      <c r="B300" s="637">
        <f>IF('Part V-Revenues &amp; Expenses'!$M$59=0,"",'Part V-Revenues &amp; Expenses'!$M$59)</f>
        <v>8</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3" t="s">
        <v>2985</v>
      </c>
      <c r="F303" s="4823"/>
      <c r="G303" s="4823"/>
      <c r="H303" s="4823"/>
    </row>
    <row r="304" spans="1:8" ht="12.75" customHeight="1">
      <c r="C304" s="1449" t="s">
        <v>4083</v>
      </c>
      <c r="E304" s="4823" t="s">
        <v>3121</v>
      </c>
      <c r="F304" s="4823"/>
      <c r="G304" s="4823"/>
      <c r="H304" s="4823"/>
    </row>
    <row r="305" spans="1:8" ht="12.75" customHeight="1">
      <c r="C305" s="1450"/>
      <c r="D305" s="642" t="s">
        <v>2984</v>
      </c>
      <c r="E305" s="4823" t="s">
        <v>3122</v>
      </c>
      <c r="F305" s="4823"/>
      <c r="G305" s="4823"/>
      <c r="H305" s="4823"/>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3" t="s">
        <v>2985</v>
      </c>
      <c r="F308" s="4823"/>
      <c r="G308" s="4823"/>
      <c r="H308" s="4823"/>
    </row>
    <row r="309" spans="1:8" ht="12.75" customHeight="1">
      <c r="C309" s="1449" t="s">
        <v>4083</v>
      </c>
      <c r="E309" s="4823" t="s">
        <v>3121</v>
      </c>
      <c r="F309" s="4823"/>
      <c r="G309" s="4823"/>
      <c r="H309" s="4823"/>
    </row>
    <row r="310" spans="1:8" ht="12.75" customHeight="1">
      <c r="C310" s="1450"/>
      <c r="D310" s="1448" t="s">
        <v>2984</v>
      </c>
      <c r="E310" s="4826" t="s">
        <v>3122</v>
      </c>
      <c r="F310" s="4826"/>
      <c r="G310" s="4826"/>
      <c r="H310" s="4826"/>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3" t="s">
        <v>2985</v>
      </c>
      <c r="F313" s="4823"/>
      <c r="G313" s="4823"/>
      <c r="H313" s="4823"/>
    </row>
    <row r="314" spans="1:8" ht="12.75" customHeight="1">
      <c r="C314" s="1449" t="s">
        <v>4083</v>
      </c>
      <c r="E314" s="4823" t="s">
        <v>3121</v>
      </c>
      <c r="F314" s="4823"/>
      <c r="G314" s="4823"/>
      <c r="H314" s="4823"/>
    </row>
    <row r="315" spans="1:8" ht="12.75" customHeight="1">
      <c r="C315" s="1450"/>
      <c r="D315" s="1448" t="s">
        <v>2984</v>
      </c>
      <c r="E315" s="4826" t="s">
        <v>3122</v>
      </c>
      <c r="F315" s="4826"/>
      <c r="G315" s="4826"/>
      <c r="H315" s="4826"/>
    </row>
    <row r="316" spans="1:8" ht="6" customHeight="1">
      <c r="D316" s="639"/>
      <c r="E316" s="1025"/>
      <c r="F316" s="1025"/>
      <c r="G316" s="1025"/>
      <c r="H316" s="1025"/>
    </row>
    <row r="317" spans="1:8">
      <c r="A317" s="620" t="s">
        <v>2980</v>
      </c>
      <c r="B317" s="637">
        <f>IF('Part V-Revenues &amp; Expenses'!$N$59=0,"",'Part V-Revenues &amp; Expenses'!$N$59)</f>
        <v>5</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3" t="s">
        <v>2985</v>
      </c>
      <c r="F320" s="4823"/>
      <c r="G320" s="4823"/>
      <c r="H320" s="4823"/>
    </row>
    <row r="321" spans="1:11" ht="12.75" customHeight="1">
      <c r="C321" s="1449" t="s">
        <v>4083</v>
      </c>
      <c r="E321" s="4823" t="s">
        <v>3121</v>
      </c>
      <c r="F321" s="4823"/>
      <c r="G321" s="4823"/>
      <c r="H321" s="4823"/>
    </row>
    <row r="322" spans="1:11" ht="12.75" customHeight="1">
      <c r="C322" s="1450"/>
      <c r="D322" s="642" t="s">
        <v>2984</v>
      </c>
      <c r="E322" s="4823" t="s">
        <v>3122</v>
      </c>
      <c r="F322" s="4823"/>
      <c r="G322" s="4823"/>
      <c r="H322" s="4823"/>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3" t="s">
        <v>2985</v>
      </c>
      <c r="F325" s="4823"/>
      <c r="G325" s="4823"/>
      <c r="H325" s="4823"/>
    </row>
    <row r="326" spans="1:11" ht="12.75" customHeight="1">
      <c r="C326" s="1449" t="s">
        <v>4083</v>
      </c>
      <c r="E326" s="4823" t="s">
        <v>3121</v>
      </c>
      <c r="F326" s="4823"/>
      <c r="G326" s="4823"/>
      <c r="H326" s="4823"/>
    </row>
    <row r="327" spans="1:11" ht="12.75" customHeight="1">
      <c r="C327" s="1450"/>
      <c r="D327" s="1448" t="s">
        <v>2984</v>
      </c>
      <c r="E327" s="4826" t="s">
        <v>3122</v>
      </c>
      <c r="F327" s="4826"/>
      <c r="G327" s="4826"/>
      <c r="H327" s="4826"/>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3" t="s">
        <v>2985</v>
      </c>
      <c r="F330" s="4823"/>
      <c r="G330" s="4823"/>
      <c r="H330" s="4823"/>
    </row>
    <row r="331" spans="1:11" ht="12.75" customHeight="1">
      <c r="C331" s="1449" t="s">
        <v>4083</v>
      </c>
      <c r="E331" s="4823" t="s">
        <v>3121</v>
      </c>
      <c r="F331" s="4823"/>
      <c r="G331" s="4823"/>
      <c r="H331" s="4823"/>
    </row>
    <row r="332" spans="1:11" ht="12.75" customHeight="1">
      <c r="C332" s="1450"/>
      <c r="D332" s="1448" t="s">
        <v>2984</v>
      </c>
      <c r="E332" s="4826" t="s">
        <v>3122</v>
      </c>
      <c r="F332" s="4826"/>
      <c r="G332" s="4826"/>
      <c r="H332" s="4826"/>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3" t="s">
        <v>2888</v>
      </c>
      <c r="G336" s="4823"/>
      <c r="H336" s="4823"/>
      <c r="K336" s="432" t="s">
        <v>233</v>
      </c>
    </row>
    <row r="337" spans="1:8" ht="12.75" customHeight="1">
      <c r="C337" s="641" t="s">
        <v>1275</v>
      </c>
      <c r="D337" s="639" t="s">
        <v>1846</v>
      </c>
      <c r="E337" s="4823" t="s">
        <v>2986</v>
      </c>
      <c r="F337" s="4823"/>
      <c r="G337" s="4823"/>
      <c r="H337" s="4823"/>
    </row>
    <row r="338" spans="1:8" ht="12.75" customHeight="1">
      <c r="E338" s="4823" t="s">
        <v>3121</v>
      </c>
      <c r="F338" s="4823"/>
      <c r="G338" s="4823"/>
      <c r="H338" s="4823"/>
    </row>
    <row r="339" spans="1:8" ht="12.75" customHeight="1">
      <c r="D339" s="642" t="s">
        <v>2984</v>
      </c>
      <c r="E339" s="4823" t="s">
        <v>3122</v>
      </c>
      <c r="F339" s="4823"/>
      <c r="G339" s="4823"/>
      <c r="H339" s="4823"/>
    </row>
    <row r="340" spans="1:8" ht="9" customHeight="1"/>
    <row r="341" spans="1:8" ht="7.5" customHeight="1" thickBot="1">
      <c r="E341" s="4823"/>
      <c r="F341" s="4823"/>
      <c r="G341" s="4823"/>
      <c r="H341" s="4823"/>
    </row>
    <row r="342" spans="1:8" ht="16.149999999999999" customHeight="1" thickBot="1">
      <c r="A342" s="4824">
        <v>60</v>
      </c>
      <c r="B342" s="4825"/>
      <c r="C342" s="1451" t="s">
        <v>975</v>
      </c>
    </row>
    <row r="343" spans="1:8" ht="9" customHeight="1">
      <c r="A343" s="611"/>
    </row>
    <row r="344" spans="1:8" ht="28.15" customHeight="1">
      <c r="A344" s="4823" t="s">
        <v>4088</v>
      </c>
      <c r="B344" s="4823"/>
      <c r="C344" s="4823"/>
      <c r="D344" s="4823"/>
      <c r="E344" s="4823"/>
      <c r="F344" s="4823"/>
      <c r="G344" s="4823"/>
      <c r="H344" s="4823"/>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3" t="s">
        <v>2888</v>
      </c>
      <c r="G348" s="4823"/>
      <c r="H348" s="4823"/>
    </row>
    <row r="349" spans="1:8" ht="12.75" customHeight="1">
      <c r="C349" s="641" t="s">
        <v>1275</v>
      </c>
      <c r="D349" s="639" t="s">
        <v>1846</v>
      </c>
      <c r="E349" s="4823" t="s">
        <v>2985</v>
      </c>
      <c r="F349" s="4823"/>
      <c r="G349" s="4823"/>
      <c r="H349" s="4823"/>
    </row>
    <row r="350" spans="1:8" ht="12.75" customHeight="1">
      <c r="C350" s="1449" t="s">
        <v>4083</v>
      </c>
      <c r="E350" s="4823" t="s">
        <v>3121</v>
      </c>
      <c r="F350" s="4823"/>
      <c r="G350" s="4823"/>
      <c r="H350" s="4823"/>
    </row>
    <row r="351" spans="1:8" ht="12.75" customHeight="1">
      <c r="C351" s="1450"/>
      <c r="D351" s="1448" t="s">
        <v>2984</v>
      </c>
      <c r="E351" s="4826" t="s">
        <v>3122</v>
      </c>
      <c r="F351" s="4826"/>
      <c r="G351" s="4826"/>
      <c r="H351" s="4826"/>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3" t="s">
        <v>2985</v>
      </c>
      <c r="F354" s="4823"/>
      <c r="G354" s="4823"/>
      <c r="H354" s="4823"/>
    </row>
    <row r="355" spans="1:8" ht="12.75" customHeight="1">
      <c r="C355" s="1449" t="s">
        <v>4083</v>
      </c>
      <c r="E355" s="4823" t="s">
        <v>3121</v>
      </c>
      <c r="F355" s="4823"/>
      <c r="G355" s="4823"/>
      <c r="H355" s="4823"/>
    </row>
    <row r="356" spans="1:8" ht="12.75" customHeight="1">
      <c r="C356" s="1450"/>
      <c r="D356" s="1448" t="s">
        <v>2984</v>
      </c>
      <c r="E356" s="4826" t="s">
        <v>3122</v>
      </c>
      <c r="F356" s="4826"/>
      <c r="G356" s="4826"/>
      <c r="H356" s="4826"/>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3" t="s">
        <v>2985</v>
      </c>
      <c r="F359" s="4823"/>
      <c r="G359" s="4823"/>
      <c r="H359" s="4823"/>
    </row>
    <row r="360" spans="1:8" ht="12.75" customHeight="1">
      <c r="C360" s="1449" t="s">
        <v>4083</v>
      </c>
      <c r="E360" s="4823" t="s">
        <v>3121</v>
      </c>
      <c r="F360" s="4823"/>
      <c r="G360" s="4823"/>
      <c r="H360" s="4823"/>
    </row>
    <row r="361" spans="1:8" ht="12.75" customHeight="1">
      <c r="C361" s="1450"/>
      <c r="D361" s="1448" t="s">
        <v>2984</v>
      </c>
      <c r="E361" s="4826" t="s">
        <v>3122</v>
      </c>
      <c r="F361" s="4826"/>
      <c r="G361" s="4826"/>
      <c r="H361" s="4826"/>
    </row>
    <row r="362" spans="1:8" ht="6" customHeight="1">
      <c r="D362" s="639"/>
      <c r="E362" s="1025"/>
      <c r="F362" s="1025"/>
      <c r="G362" s="1025"/>
      <c r="H362" s="1025"/>
    </row>
    <row r="363" spans="1:8">
      <c r="A363" s="620" t="s">
        <v>2980</v>
      </c>
      <c r="B363" s="637">
        <f>IF('Part V-Revenues &amp; Expenses'!$L$58=0,"",'Part V-Revenues &amp; Expenses'!$L$58)</f>
        <v>6</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3" t="s">
        <v>2985</v>
      </c>
      <c r="F366" s="4823"/>
      <c r="G366" s="4823"/>
      <c r="H366" s="4823"/>
    </row>
    <row r="367" spans="1:8" ht="12.75" customHeight="1">
      <c r="C367" s="1449" t="s">
        <v>4083</v>
      </c>
      <c r="E367" s="4823" t="s">
        <v>3121</v>
      </c>
      <c r="F367" s="4823"/>
      <c r="G367" s="4823"/>
      <c r="H367" s="4823"/>
    </row>
    <row r="368" spans="1:8" ht="12.75" customHeight="1">
      <c r="C368" s="1450"/>
      <c r="D368" s="642" t="s">
        <v>2984</v>
      </c>
      <c r="E368" s="4823" t="s">
        <v>3122</v>
      </c>
      <c r="F368" s="4823"/>
      <c r="G368" s="4823"/>
      <c r="H368" s="4823"/>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3" t="s">
        <v>2985</v>
      </c>
      <c r="F371" s="4823"/>
      <c r="G371" s="4823"/>
      <c r="H371" s="4823"/>
    </row>
    <row r="372" spans="1:8" ht="12.75" customHeight="1">
      <c r="C372" s="1449" t="s">
        <v>4083</v>
      </c>
      <c r="E372" s="4823" t="s">
        <v>3121</v>
      </c>
      <c r="F372" s="4823"/>
      <c r="G372" s="4823"/>
      <c r="H372" s="4823"/>
    </row>
    <row r="373" spans="1:8" ht="12.75" customHeight="1">
      <c r="C373" s="1450"/>
      <c r="D373" s="1448" t="s">
        <v>2984</v>
      </c>
      <c r="E373" s="4826" t="s">
        <v>3122</v>
      </c>
      <c r="F373" s="4826"/>
      <c r="G373" s="4826"/>
      <c r="H373" s="4826"/>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3" t="s">
        <v>2985</v>
      </c>
      <c r="F376" s="4823"/>
      <c r="G376" s="4823"/>
      <c r="H376" s="4823"/>
    </row>
    <row r="377" spans="1:8" ht="12.75" customHeight="1">
      <c r="C377" s="1449" t="s">
        <v>4083</v>
      </c>
      <c r="E377" s="4823" t="s">
        <v>3121</v>
      </c>
      <c r="F377" s="4823"/>
      <c r="G377" s="4823"/>
      <c r="H377" s="4823"/>
    </row>
    <row r="378" spans="1:8" ht="12.75" customHeight="1">
      <c r="C378" s="1450"/>
      <c r="D378" s="1448" t="s">
        <v>2984</v>
      </c>
      <c r="E378" s="4826" t="s">
        <v>3122</v>
      </c>
      <c r="F378" s="4826"/>
      <c r="G378" s="4826"/>
      <c r="H378" s="4826"/>
    </row>
    <row r="379" spans="1:8" ht="6" customHeight="1">
      <c r="D379" s="639"/>
      <c r="E379" s="1025"/>
      <c r="F379" s="1025"/>
      <c r="G379" s="1025"/>
      <c r="H379" s="1025"/>
    </row>
    <row r="380" spans="1:8">
      <c r="A380" s="620" t="s">
        <v>2980</v>
      </c>
      <c r="B380" s="637">
        <f>IF('Part V-Revenues &amp; Expenses'!$M$58=0,"",'Part V-Revenues &amp; Expenses'!$M$58)</f>
        <v>22</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3" t="s">
        <v>2985</v>
      </c>
      <c r="F383" s="4823"/>
      <c r="G383" s="4823"/>
      <c r="H383" s="4823"/>
    </row>
    <row r="384" spans="1:8" ht="12.75" customHeight="1">
      <c r="C384" s="1449" t="s">
        <v>4083</v>
      </c>
      <c r="E384" s="4823" t="s">
        <v>3121</v>
      </c>
      <c r="F384" s="4823"/>
      <c r="G384" s="4823"/>
      <c r="H384" s="4823"/>
    </row>
    <row r="385" spans="1:8" ht="12.75" customHeight="1">
      <c r="C385" s="1450"/>
      <c r="D385" s="642" t="s">
        <v>2984</v>
      </c>
      <c r="E385" s="4823" t="s">
        <v>3122</v>
      </c>
      <c r="F385" s="4823"/>
      <c r="G385" s="4823"/>
      <c r="H385" s="4823"/>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3" t="s">
        <v>2985</v>
      </c>
      <c r="F388" s="4823"/>
      <c r="G388" s="4823"/>
      <c r="H388" s="4823"/>
    </row>
    <row r="389" spans="1:8" ht="12.75" customHeight="1">
      <c r="C389" s="1449" t="s">
        <v>4083</v>
      </c>
      <c r="E389" s="4823" t="s">
        <v>3121</v>
      </c>
      <c r="F389" s="4823"/>
      <c r="G389" s="4823"/>
      <c r="H389" s="4823"/>
    </row>
    <row r="390" spans="1:8" ht="12.75" customHeight="1">
      <c r="C390" s="1450"/>
      <c r="D390" s="1448" t="s">
        <v>2984</v>
      </c>
      <c r="E390" s="4826" t="s">
        <v>3122</v>
      </c>
      <c r="F390" s="4826"/>
      <c r="G390" s="4826"/>
      <c r="H390" s="4826"/>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3" t="s">
        <v>2985</v>
      </c>
      <c r="F393" s="4823"/>
      <c r="G393" s="4823"/>
      <c r="H393" s="4823"/>
    </row>
    <row r="394" spans="1:8" ht="12.75" customHeight="1">
      <c r="C394" s="1449" t="s">
        <v>4083</v>
      </c>
      <c r="E394" s="4823" t="s">
        <v>3121</v>
      </c>
      <c r="F394" s="4823"/>
      <c r="G394" s="4823"/>
      <c r="H394" s="4823"/>
    </row>
    <row r="395" spans="1:8" ht="12.75" customHeight="1">
      <c r="C395" s="1450"/>
      <c r="D395" s="1448" t="s">
        <v>2984</v>
      </c>
      <c r="E395" s="4826" t="s">
        <v>3122</v>
      </c>
      <c r="F395" s="4826"/>
      <c r="G395" s="4826"/>
      <c r="H395" s="4826"/>
    </row>
    <row r="396" spans="1:8" ht="6" customHeight="1">
      <c r="D396" s="639"/>
      <c r="E396" s="1025"/>
      <c r="F396" s="1025"/>
      <c r="G396" s="1025"/>
      <c r="H396" s="1025"/>
    </row>
    <row r="397" spans="1:8">
      <c r="A397" s="620" t="s">
        <v>2980</v>
      </c>
      <c r="B397" s="637">
        <f>IF('Part V-Revenues &amp; Expenses'!$N$58=0,"",'Part V-Revenues &amp; Expenses'!$N$58)</f>
        <v>8</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3" t="s">
        <v>2985</v>
      </c>
      <c r="F400" s="4823"/>
      <c r="G400" s="4823"/>
      <c r="H400" s="4823"/>
    </row>
    <row r="401" spans="1:11" ht="12.75" customHeight="1">
      <c r="C401" s="1449" t="s">
        <v>4083</v>
      </c>
      <c r="E401" s="4823" t="s">
        <v>3121</v>
      </c>
      <c r="F401" s="4823"/>
      <c r="G401" s="4823"/>
      <c r="H401" s="4823"/>
    </row>
    <row r="402" spans="1:11" ht="12.75" customHeight="1">
      <c r="C402" s="1450"/>
      <c r="D402" s="642" t="s">
        <v>2984</v>
      </c>
      <c r="E402" s="4823" t="s">
        <v>3122</v>
      </c>
      <c r="F402" s="4823"/>
      <c r="G402" s="4823"/>
      <c r="H402" s="4823"/>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3" t="s">
        <v>2985</v>
      </c>
      <c r="F405" s="4823"/>
      <c r="G405" s="4823"/>
      <c r="H405" s="4823"/>
    </row>
    <row r="406" spans="1:11" ht="12.75" customHeight="1">
      <c r="C406" s="1449" t="s">
        <v>4083</v>
      </c>
      <c r="E406" s="4823" t="s">
        <v>3121</v>
      </c>
      <c r="F406" s="4823"/>
      <c r="G406" s="4823"/>
      <c r="H406" s="4823"/>
    </row>
    <row r="407" spans="1:11" ht="12.75" customHeight="1">
      <c r="C407" s="1450"/>
      <c r="D407" s="1448" t="s">
        <v>2984</v>
      </c>
      <c r="E407" s="4826" t="s">
        <v>3122</v>
      </c>
      <c r="F407" s="4826"/>
      <c r="G407" s="4826"/>
      <c r="H407" s="4826"/>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3" t="s">
        <v>2985</v>
      </c>
      <c r="F410" s="4823"/>
      <c r="G410" s="4823"/>
      <c r="H410" s="4823"/>
    </row>
    <row r="411" spans="1:11" ht="12.75" customHeight="1">
      <c r="C411" s="1449" t="s">
        <v>4083</v>
      </c>
      <c r="E411" s="4823" t="s">
        <v>3121</v>
      </c>
      <c r="F411" s="4823"/>
      <c r="G411" s="4823"/>
      <c r="H411" s="4823"/>
    </row>
    <row r="412" spans="1:11" ht="12.75" customHeight="1">
      <c r="C412" s="1450"/>
      <c r="D412" s="1448" t="s">
        <v>2984</v>
      </c>
      <c r="E412" s="4826" t="s">
        <v>3122</v>
      </c>
      <c r="F412" s="4826"/>
      <c r="G412" s="4826"/>
      <c r="H412" s="4826"/>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3" t="s">
        <v>2888</v>
      </c>
      <c r="G416" s="4823"/>
      <c r="H416" s="4823"/>
      <c r="K416" s="432" t="s">
        <v>233</v>
      </c>
    </row>
    <row r="417" spans="1:8" ht="12.75" customHeight="1">
      <c r="C417" s="641" t="s">
        <v>1275</v>
      </c>
      <c r="D417" s="639" t="s">
        <v>1846</v>
      </c>
      <c r="E417" s="4823" t="s">
        <v>2986</v>
      </c>
      <c r="F417" s="4823"/>
      <c r="G417" s="4823"/>
      <c r="H417" s="4823"/>
    </row>
    <row r="418" spans="1:8" ht="12.75" customHeight="1">
      <c r="E418" s="4823" t="s">
        <v>3121</v>
      </c>
      <c r="F418" s="4823"/>
      <c r="G418" s="4823"/>
      <c r="H418" s="4823"/>
    </row>
    <row r="419" spans="1:8" ht="12.75" customHeight="1">
      <c r="D419" s="642" t="s">
        <v>2984</v>
      </c>
      <c r="E419" s="4823" t="s">
        <v>3122</v>
      </c>
      <c r="F419" s="4823"/>
      <c r="G419" s="4823"/>
      <c r="H419" s="4823"/>
    </row>
    <row r="420" spans="1:8" ht="9" customHeight="1" thickBot="1"/>
    <row r="421" spans="1:8" ht="16.149999999999999" customHeight="1" thickBot="1">
      <c r="A421" s="4824">
        <v>70</v>
      </c>
      <c r="B421" s="4825"/>
      <c r="C421" s="1451" t="s">
        <v>975</v>
      </c>
    </row>
    <row r="422" spans="1:8" ht="9" customHeight="1">
      <c r="A422" s="611"/>
    </row>
    <row r="423" spans="1:8" ht="28.15" customHeight="1">
      <c r="A423" s="4823" t="s">
        <v>4089</v>
      </c>
      <c r="B423" s="4823"/>
      <c r="C423" s="4823"/>
      <c r="D423" s="4823"/>
      <c r="E423" s="4823"/>
      <c r="F423" s="4823"/>
      <c r="G423" s="4823"/>
      <c r="H423" s="4823"/>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3" t="s">
        <v>2888</v>
      </c>
      <c r="G427" s="4823"/>
      <c r="H427" s="4823"/>
    </row>
    <row r="428" spans="1:8" ht="12.75" customHeight="1">
      <c r="C428" s="641" t="s">
        <v>1275</v>
      </c>
      <c r="D428" s="639" t="s">
        <v>1846</v>
      </c>
      <c r="E428" s="4823" t="s">
        <v>2985</v>
      </c>
      <c r="F428" s="4823"/>
      <c r="G428" s="4823"/>
      <c r="H428" s="4823"/>
    </row>
    <row r="429" spans="1:8" ht="12.75" customHeight="1">
      <c r="C429" s="1449" t="s">
        <v>4083</v>
      </c>
      <c r="E429" s="4823" t="s">
        <v>3121</v>
      </c>
      <c r="F429" s="4823"/>
      <c r="G429" s="4823"/>
      <c r="H429" s="4823"/>
    </row>
    <row r="430" spans="1:8" ht="12.75" customHeight="1">
      <c r="C430" s="1450"/>
      <c r="D430" s="1448" t="s">
        <v>2984</v>
      </c>
      <c r="E430" s="4826" t="s">
        <v>3122</v>
      </c>
      <c r="F430" s="4826"/>
      <c r="G430" s="4826"/>
      <c r="H430" s="4826"/>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3" t="s">
        <v>2985</v>
      </c>
      <c r="F433" s="4823"/>
      <c r="G433" s="4823"/>
      <c r="H433" s="4823"/>
    </row>
    <row r="434" spans="1:8" ht="12.75" customHeight="1">
      <c r="C434" s="1449" t="s">
        <v>4083</v>
      </c>
      <c r="E434" s="4823" t="s">
        <v>3121</v>
      </c>
      <c r="F434" s="4823"/>
      <c r="G434" s="4823"/>
      <c r="H434" s="4823"/>
    </row>
    <row r="435" spans="1:8" ht="12.75" customHeight="1">
      <c r="C435" s="1450"/>
      <c r="D435" s="1448" t="s">
        <v>2984</v>
      </c>
      <c r="E435" s="4826" t="s">
        <v>3122</v>
      </c>
      <c r="F435" s="4826"/>
      <c r="G435" s="4826"/>
      <c r="H435" s="4826"/>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3" t="s">
        <v>2985</v>
      </c>
      <c r="F438" s="4823"/>
      <c r="G438" s="4823"/>
      <c r="H438" s="4823"/>
    </row>
    <row r="439" spans="1:8" ht="12.75" customHeight="1">
      <c r="C439" s="1449" t="s">
        <v>4083</v>
      </c>
      <c r="E439" s="4823" t="s">
        <v>3121</v>
      </c>
      <c r="F439" s="4823"/>
      <c r="G439" s="4823"/>
      <c r="H439" s="4823"/>
    </row>
    <row r="440" spans="1:8" ht="12.75" customHeight="1">
      <c r="C440" s="1450"/>
      <c r="D440" s="1448" t="s">
        <v>2984</v>
      </c>
      <c r="E440" s="4826" t="s">
        <v>3122</v>
      </c>
      <c r="F440" s="4826"/>
      <c r="G440" s="4826"/>
      <c r="H440" s="4826"/>
    </row>
    <row r="441" spans="1:8" ht="6" customHeight="1">
      <c r="D441" s="639"/>
      <c r="E441" s="1025"/>
      <c r="F441" s="1025"/>
      <c r="G441" s="1025"/>
      <c r="H441" s="1025"/>
    </row>
    <row r="442" spans="1:8">
      <c r="A442" s="620" t="s">
        <v>2980</v>
      </c>
      <c r="B442" s="637">
        <f>IF('Part V-Revenues &amp; Expenses'!$L$57=0,"",'Part V-Revenues &amp; Expenses'!$L$57)</f>
        <v>1</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3" t="s">
        <v>2985</v>
      </c>
      <c r="F445" s="4823"/>
      <c r="G445" s="4823"/>
      <c r="H445" s="4823"/>
    </row>
    <row r="446" spans="1:8" ht="12.75" customHeight="1">
      <c r="C446" s="1449" t="s">
        <v>4083</v>
      </c>
      <c r="E446" s="4823" t="s">
        <v>3121</v>
      </c>
      <c r="F446" s="4823"/>
      <c r="G446" s="4823"/>
      <c r="H446" s="4823"/>
    </row>
    <row r="447" spans="1:8" ht="12.75" customHeight="1">
      <c r="C447" s="1450"/>
      <c r="D447" s="642" t="s">
        <v>2984</v>
      </c>
      <c r="E447" s="4823" t="s">
        <v>3122</v>
      </c>
      <c r="F447" s="4823"/>
      <c r="G447" s="4823"/>
      <c r="H447" s="4823"/>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3" t="s">
        <v>2985</v>
      </c>
      <c r="F450" s="4823"/>
      <c r="G450" s="4823"/>
      <c r="H450" s="4823"/>
    </row>
    <row r="451" spans="1:8" ht="12.75" customHeight="1">
      <c r="C451" s="1449" t="s">
        <v>4083</v>
      </c>
      <c r="E451" s="4823" t="s">
        <v>3121</v>
      </c>
      <c r="F451" s="4823"/>
      <c r="G451" s="4823"/>
      <c r="H451" s="4823"/>
    </row>
    <row r="452" spans="1:8" ht="12.75" customHeight="1">
      <c r="C452" s="1450"/>
      <c r="D452" s="1448" t="s">
        <v>2984</v>
      </c>
      <c r="E452" s="4826" t="s">
        <v>3122</v>
      </c>
      <c r="F452" s="4826"/>
      <c r="G452" s="4826"/>
      <c r="H452" s="4826"/>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3" t="s">
        <v>2985</v>
      </c>
      <c r="F455" s="4823"/>
      <c r="G455" s="4823"/>
      <c r="H455" s="4823"/>
    </row>
    <row r="456" spans="1:8" ht="12.75" customHeight="1">
      <c r="C456" s="1449" t="s">
        <v>4083</v>
      </c>
      <c r="E456" s="4823" t="s">
        <v>3121</v>
      </c>
      <c r="F456" s="4823"/>
      <c r="G456" s="4823"/>
      <c r="H456" s="4823"/>
    </row>
    <row r="457" spans="1:8" ht="12.75" customHeight="1">
      <c r="C457" s="1450"/>
      <c r="D457" s="1448" t="s">
        <v>2984</v>
      </c>
      <c r="E457" s="4826" t="s">
        <v>3122</v>
      </c>
      <c r="F457" s="4826"/>
      <c r="G457" s="4826"/>
      <c r="H457" s="4826"/>
    </row>
    <row r="458" spans="1:8" ht="6" customHeight="1">
      <c r="D458" s="639"/>
      <c r="E458" s="1025"/>
      <c r="F458" s="1025"/>
      <c r="G458" s="1025"/>
      <c r="H458" s="1025"/>
    </row>
    <row r="459" spans="1:8">
      <c r="A459" s="620" t="s">
        <v>2980</v>
      </c>
      <c r="B459" s="637">
        <f>IF('Part V-Revenues &amp; Expenses'!$M$57=0,"",'Part V-Revenues &amp; Expenses'!$M$57)</f>
        <v>1</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3" t="s">
        <v>2985</v>
      </c>
      <c r="F462" s="4823"/>
      <c r="G462" s="4823"/>
      <c r="H462" s="4823"/>
    </row>
    <row r="463" spans="1:8" ht="12.75" customHeight="1">
      <c r="C463" s="1449" t="s">
        <v>4083</v>
      </c>
      <c r="E463" s="4823" t="s">
        <v>3121</v>
      </c>
      <c r="F463" s="4823"/>
      <c r="G463" s="4823"/>
      <c r="H463" s="4823"/>
    </row>
    <row r="464" spans="1:8" ht="12.75" customHeight="1">
      <c r="C464" s="1450"/>
      <c r="D464" s="642" t="s">
        <v>2984</v>
      </c>
      <c r="E464" s="4823" t="s">
        <v>3122</v>
      </c>
      <c r="F464" s="4823"/>
      <c r="G464" s="4823"/>
      <c r="H464" s="4823"/>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3" t="s">
        <v>2985</v>
      </c>
      <c r="F467" s="4823"/>
      <c r="G467" s="4823"/>
      <c r="H467" s="4823"/>
    </row>
    <row r="468" spans="1:8" ht="12.75" customHeight="1">
      <c r="C468" s="1449" t="s">
        <v>4083</v>
      </c>
      <c r="E468" s="4823" t="s">
        <v>3121</v>
      </c>
      <c r="F468" s="4823"/>
      <c r="G468" s="4823"/>
      <c r="H468" s="4823"/>
    </row>
    <row r="469" spans="1:8" ht="12.75" customHeight="1">
      <c r="C469" s="1450"/>
      <c r="D469" s="1448" t="s">
        <v>2984</v>
      </c>
      <c r="E469" s="4826" t="s">
        <v>3122</v>
      </c>
      <c r="F469" s="4826"/>
      <c r="G469" s="4826"/>
      <c r="H469" s="4826"/>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3" t="s">
        <v>2985</v>
      </c>
      <c r="F472" s="4823"/>
      <c r="G472" s="4823"/>
      <c r="H472" s="4823"/>
    </row>
    <row r="473" spans="1:8" ht="12.75" customHeight="1">
      <c r="C473" s="1449" t="s">
        <v>4083</v>
      </c>
      <c r="E473" s="4823" t="s">
        <v>3121</v>
      </c>
      <c r="F473" s="4823"/>
      <c r="G473" s="4823"/>
      <c r="H473" s="4823"/>
    </row>
    <row r="474" spans="1:8" ht="12.75" customHeight="1">
      <c r="C474" s="1450"/>
      <c r="D474" s="1448" t="s">
        <v>2984</v>
      </c>
      <c r="E474" s="4826" t="s">
        <v>3122</v>
      </c>
      <c r="F474" s="4826"/>
      <c r="G474" s="4826"/>
      <c r="H474" s="4826"/>
    </row>
    <row r="475" spans="1:8" ht="6" customHeight="1">
      <c r="D475" s="639"/>
      <c r="E475" s="1025"/>
      <c r="F475" s="1025"/>
      <c r="G475" s="1025"/>
      <c r="H475" s="1025"/>
    </row>
    <row r="476" spans="1:8">
      <c r="A476" s="620" t="s">
        <v>2980</v>
      </c>
      <c r="B476" s="637">
        <f>IF('Part V-Revenues &amp; Expenses'!$N$57=0,"",'Part V-Revenues &amp; Expenses'!$N$57)</f>
        <v>1</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3" t="s">
        <v>2985</v>
      </c>
      <c r="F479" s="4823"/>
      <c r="G479" s="4823"/>
      <c r="H479" s="4823"/>
    </row>
    <row r="480" spans="1:8" ht="12.75" customHeight="1">
      <c r="C480" s="1449" t="s">
        <v>4083</v>
      </c>
      <c r="E480" s="4823" t="s">
        <v>3121</v>
      </c>
      <c r="F480" s="4823"/>
      <c r="G480" s="4823"/>
      <c r="H480" s="4823"/>
    </row>
    <row r="481" spans="1:11" ht="12.75" customHeight="1">
      <c r="C481" s="1450"/>
      <c r="D481" s="642" t="s">
        <v>2984</v>
      </c>
      <c r="E481" s="4823" t="s">
        <v>3122</v>
      </c>
      <c r="F481" s="4823"/>
      <c r="G481" s="4823"/>
      <c r="H481" s="4823"/>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3" t="s">
        <v>2985</v>
      </c>
      <c r="F484" s="4823"/>
      <c r="G484" s="4823"/>
      <c r="H484" s="4823"/>
    </row>
    <row r="485" spans="1:11" ht="12.75" customHeight="1">
      <c r="C485" s="1449" t="s">
        <v>4083</v>
      </c>
      <c r="E485" s="4823" t="s">
        <v>3121</v>
      </c>
      <c r="F485" s="4823"/>
      <c r="G485" s="4823"/>
      <c r="H485" s="4823"/>
    </row>
    <row r="486" spans="1:11" ht="12.75" customHeight="1">
      <c r="C486" s="1450"/>
      <c r="D486" s="1448" t="s">
        <v>2984</v>
      </c>
      <c r="E486" s="4826" t="s">
        <v>3122</v>
      </c>
      <c r="F486" s="4826"/>
      <c r="G486" s="4826"/>
      <c r="H486" s="4826"/>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3" t="s">
        <v>2985</v>
      </c>
      <c r="F489" s="4823"/>
      <c r="G489" s="4823"/>
      <c r="H489" s="4823"/>
    </row>
    <row r="490" spans="1:11" ht="12.75" customHeight="1">
      <c r="C490" s="1449" t="s">
        <v>4083</v>
      </c>
      <c r="E490" s="4823" t="s">
        <v>3121</v>
      </c>
      <c r="F490" s="4823"/>
      <c r="G490" s="4823"/>
      <c r="H490" s="4823"/>
    </row>
    <row r="491" spans="1:11" ht="12.75" customHeight="1">
      <c r="C491" s="1450"/>
      <c r="D491" s="1448" t="s">
        <v>2984</v>
      </c>
      <c r="E491" s="4826" t="s">
        <v>3122</v>
      </c>
      <c r="F491" s="4826"/>
      <c r="G491" s="4826"/>
      <c r="H491" s="4826"/>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3" t="s">
        <v>2888</v>
      </c>
      <c r="G495" s="4823"/>
      <c r="H495" s="4823"/>
      <c r="K495" s="432" t="s">
        <v>233</v>
      </c>
    </row>
    <row r="496" spans="1:11" ht="12.75" customHeight="1">
      <c r="C496" s="641" t="s">
        <v>1275</v>
      </c>
      <c r="D496" s="639" t="s">
        <v>1846</v>
      </c>
      <c r="E496" s="4823" t="s">
        <v>2986</v>
      </c>
      <c r="F496" s="4823"/>
      <c r="G496" s="4823"/>
      <c r="H496" s="4823"/>
    </row>
    <row r="497" spans="1:8" ht="12.75" customHeight="1">
      <c r="E497" s="4823" t="s">
        <v>3121</v>
      </c>
      <c r="F497" s="4823"/>
      <c r="G497" s="4823"/>
      <c r="H497" s="4823"/>
    </row>
    <row r="498" spans="1:8" ht="12.75" customHeight="1">
      <c r="D498" s="642" t="s">
        <v>2984</v>
      </c>
      <c r="E498" s="4823" t="s">
        <v>3122</v>
      </c>
      <c r="F498" s="4823"/>
      <c r="G498" s="4823"/>
      <c r="H498" s="4823"/>
    </row>
    <row r="499" spans="1:8" ht="9" customHeight="1" thickBot="1"/>
    <row r="500" spans="1:8" ht="16.149999999999999" customHeight="1" thickBot="1">
      <c r="A500" s="4824">
        <v>80</v>
      </c>
      <c r="B500" s="4825"/>
      <c r="C500" s="1451" t="s">
        <v>975</v>
      </c>
    </row>
    <row r="501" spans="1:8" ht="9" customHeight="1">
      <c r="A501" s="611"/>
    </row>
    <row r="502" spans="1:8" ht="28.15" customHeight="1">
      <c r="A502" s="4823" t="s">
        <v>4090</v>
      </c>
      <c r="B502" s="4823"/>
      <c r="C502" s="4823"/>
      <c r="D502" s="4823"/>
      <c r="E502" s="4823"/>
      <c r="F502" s="4823"/>
      <c r="G502" s="4823"/>
      <c r="H502" s="4823"/>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3" t="s">
        <v>2888</v>
      </c>
      <c r="G506" s="4823"/>
      <c r="H506" s="4823"/>
    </row>
    <row r="507" spans="1:8" ht="12.75" customHeight="1">
      <c r="C507" s="641" t="s">
        <v>1275</v>
      </c>
      <c r="D507" s="639" t="s">
        <v>1846</v>
      </c>
      <c r="E507" s="4823" t="s">
        <v>2985</v>
      </c>
      <c r="F507" s="4823"/>
      <c r="G507" s="4823"/>
      <c r="H507" s="4823"/>
    </row>
    <row r="508" spans="1:8" ht="12.75" customHeight="1">
      <c r="C508" s="1449" t="s">
        <v>4083</v>
      </c>
      <c r="E508" s="4823" t="s">
        <v>3121</v>
      </c>
      <c r="F508" s="4823"/>
      <c r="G508" s="4823"/>
      <c r="H508" s="4823"/>
    </row>
    <row r="509" spans="1:8" ht="12.75" customHeight="1">
      <c r="C509" s="1450"/>
      <c r="D509" s="1448" t="s">
        <v>2984</v>
      </c>
      <c r="E509" s="4826" t="s">
        <v>3122</v>
      </c>
      <c r="F509" s="4826"/>
      <c r="G509" s="4826"/>
      <c r="H509" s="4826"/>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3" t="s">
        <v>2985</v>
      </c>
      <c r="F512" s="4823"/>
      <c r="G512" s="4823"/>
      <c r="H512" s="4823"/>
    </row>
    <row r="513" spans="1:8" ht="12.75" customHeight="1">
      <c r="C513" s="1449" t="s">
        <v>4083</v>
      </c>
      <c r="E513" s="4823" t="s">
        <v>3121</v>
      </c>
      <c r="F513" s="4823"/>
      <c r="G513" s="4823"/>
      <c r="H513" s="4823"/>
    </row>
    <row r="514" spans="1:8" ht="12.75" customHeight="1">
      <c r="C514" s="1450"/>
      <c r="D514" s="1448" t="s">
        <v>2984</v>
      </c>
      <c r="E514" s="4826" t="s">
        <v>3122</v>
      </c>
      <c r="F514" s="4826"/>
      <c r="G514" s="4826"/>
      <c r="H514" s="4826"/>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3" t="s">
        <v>2985</v>
      </c>
      <c r="F517" s="4823"/>
      <c r="G517" s="4823"/>
      <c r="H517" s="4823"/>
    </row>
    <row r="518" spans="1:8" ht="12.75" customHeight="1">
      <c r="C518" s="1449" t="s">
        <v>4083</v>
      </c>
      <c r="E518" s="4823" t="s">
        <v>3121</v>
      </c>
      <c r="F518" s="4823"/>
      <c r="G518" s="4823"/>
      <c r="H518" s="4823"/>
    </row>
    <row r="519" spans="1:8" ht="12.75" customHeight="1">
      <c r="C519" s="1450"/>
      <c r="D519" s="1448" t="s">
        <v>2984</v>
      </c>
      <c r="E519" s="4826" t="s">
        <v>3122</v>
      </c>
      <c r="F519" s="4826"/>
      <c r="G519" s="4826"/>
      <c r="H519" s="4826"/>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3" t="s">
        <v>2985</v>
      </c>
      <c r="F524" s="4823"/>
      <c r="G524" s="4823"/>
      <c r="H524" s="4823"/>
    </row>
    <row r="525" spans="1:8" ht="12.75" customHeight="1">
      <c r="C525" s="1449" t="s">
        <v>4083</v>
      </c>
      <c r="E525" s="4823" t="s">
        <v>3121</v>
      </c>
      <c r="F525" s="4823"/>
      <c r="G525" s="4823"/>
      <c r="H525" s="4823"/>
    </row>
    <row r="526" spans="1:8" ht="12.75" customHeight="1">
      <c r="C526" s="1450"/>
      <c r="D526" s="642" t="s">
        <v>2984</v>
      </c>
      <c r="E526" s="4823" t="s">
        <v>3122</v>
      </c>
      <c r="F526" s="4823"/>
      <c r="G526" s="4823"/>
      <c r="H526" s="4823"/>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3" t="s">
        <v>2985</v>
      </c>
      <c r="F529" s="4823"/>
      <c r="G529" s="4823"/>
      <c r="H529" s="4823"/>
    </row>
    <row r="530" spans="1:8" ht="12.75" customHeight="1">
      <c r="C530" s="1449" t="s">
        <v>4083</v>
      </c>
      <c r="E530" s="4823" t="s">
        <v>3121</v>
      </c>
      <c r="F530" s="4823"/>
      <c r="G530" s="4823"/>
      <c r="H530" s="4823"/>
    </row>
    <row r="531" spans="1:8" ht="12.75" customHeight="1">
      <c r="C531" s="1450"/>
      <c r="D531" s="1448" t="s">
        <v>2984</v>
      </c>
      <c r="E531" s="4826" t="s">
        <v>3122</v>
      </c>
      <c r="F531" s="4826"/>
      <c r="G531" s="4826"/>
      <c r="H531" s="4826"/>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3" t="s">
        <v>2985</v>
      </c>
      <c r="F534" s="4823"/>
      <c r="G534" s="4823"/>
      <c r="H534" s="4823"/>
    </row>
    <row r="535" spans="1:8" ht="12.75" customHeight="1">
      <c r="C535" s="1449" t="s">
        <v>4083</v>
      </c>
      <c r="E535" s="4823" t="s">
        <v>3121</v>
      </c>
      <c r="F535" s="4823"/>
      <c r="G535" s="4823"/>
      <c r="H535" s="4823"/>
    </row>
    <row r="536" spans="1:8" ht="12.75" customHeight="1">
      <c r="C536" s="1450"/>
      <c r="D536" s="1448" t="s">
        <v>2984</v>
      </c>
      <c r="E536" s="4826" t="s">
        <v>3122</v>
      </c>
      <c r="F536" s="4826"/>
      <c r="G536" s="4826"/>
      <c r="H536" s="4826"/>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3" t="s">
        <v>2985</v>
      </c>
      <c r="F541" s="4823"/>
      <c r="G541" s="4823"/>
      <c r="H541" s="4823"/>
    </row>
    <row r="542" spans="1:8" ht="12.75" customHeight="1">
      <c r="C542" s="1449" t="s">
        <v>4083</v>
      </c>
      <c r="E542" s="4823" t="s">
        <v>3121</v>
      </c>
      <c r="F542" s="4823"/>
      <c r="G542" s="4823"/>
      <c r="H542" s="4823"/>
    </row>
    <row r="543" spans="1:8" ht="12.75" customHeight="1">
      <c r="C543" s="1450"/>
      <c r="D543" s="642" t="s">
        <v>2984</v>
      </c>
      <c r="E543" s="4823" t="s">
        <v>3122</v>
      </c>
      <c r="F543" s="4823"/>
      <c r="G543" s="4823"/>
      <c r="H543" s="4823"/>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3" t="s">
        <v>2985</v>
      </c>
      <c r="F546" s="4823"/>
      <c r="G546" s="4823"/>
      <c r="H546" s="4823"/>
    </row>
    <row r="547" spans="1:8" ht="12.75" customHeight="1">
      <c r="C547" s="1449" t="s">
        <v>4083</v>
      </c>
      <c r="E547" s="4823" t="s">
        <v>3121</v>
      </c>
      <c r="F547" s="4823"/>
      <c r="G547" s="4823"/>
      <c r="H547" s="4823"/>
    </row>
    <row r="548" spans="1:8" ht="12.75" customHeight="1">
      <c r="C548" s="1450"/>
      <c r="D548" s="1448" t="s">
        <v>2984</v>
      </c>
      <c r="E548" s="4826" t="s">
        <v>3122</v>
      </c>
      <c r="F548" s="4826"/>
      <c r="G548" s="4826"/>
      <c r="H548" s="4826"/>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3" t="s">
        <v>2985</v>
      </c>
      <c r="F551" s="4823"/>
      <c r="G551" s="4823"/>
      <c r="H551" s="4823"/>
    </row>
    <row r="552" spans="1:8" ht="12.75" customHeight="1">
      <c r="C552" s="1449" t="s">
        <v>4083</v>
      </c>
      <c r="E552" s="4823" t="s">
        <v>3121</v>
      </c>
      <c r="F552" s="4823"/>
      <c r="G552" s="4823"/>
      <c r="H552" s="4823"/>
    </row>
    <row r="553" spans="1:8" ht="12.75" customHeight="1">
      <c r="C553" s="1450"/>
      <c r="D553" s="1448" t="s">
        <v>2984</v>
      </c>
      <c r="E553" s="4826" t="s">
        <v>3122</v>
      </c>
      <c r="F553" s="4826"/>
      <c r="G553" s="4826"/>
      <c r="H553" s="4826"/>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3" t="s">
        <v>2985</v>
      </c>
      <c r="F558" s="4823"/>
      <c r="G558" s="4823"/>
      <c r="H558" s="4823"/>
    </row>
    <row r="559" spans="1:8" ht="12.75" customHeight="1">
      <c r="C559" s="1449" t="s">
        <v>4083</v>
      </c>
      <c r="E559" s="4823" t="s">
        <v>3121</v>
      </c>
      <c r="F559" s="4823"/>
      <c r="G559" s="4823"/>
      <c r="H559" s="4823"/>
    </row>
    <row r="560" spans="1:8" ht="12.75" customHeight="1">
      <c r="C560" s="1450"/>
      <c r="D560" s="642" t="s">
        <v>2984</v>
      </c>
      <c r="E560" s="4823" t="s">
        <v>3122</v>
      </c>
      <c r="F560" s="4823"/>
      <c r="G560" s="4823"/>
      <c r="H560" s="4823"/>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3" t="s">
        <v>2985</v>
      </c>
      <c r="F563" s="4823"/>
      <c r="G563" s="4823"/>
      <c r="H563" s="4823"/>
    </row>
    <row r="564" spans="1:11" ht="12.75" customHeight="1">
      <c r="C564" s="1449" t="s">
        <v>4083</v>
      </c>
      <c r="E564" s="4823" t="s">
        <v>3121</v>
      </c>
      <c r="F564" s="4823"/>
      <c r="G564" s="4823"/>
      <c r="H564" s="4823"/>
    </row>
    <row r="565" spans="1:11" ht="12.75" customHeight="1">
      <c r="C565" s="1450"/>
      <c r="D565" s="1448" t="s">
        <v>2984</v>
      </c>
      <c r="E565" s="4826" t="s">
        <v>3122</v>
      </c>
      <c r="F565" s="4826"/>
      <c r="G565" s="4826"/>
      <c r="H565" s="4826"/>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3" t="s">
        <v>2985</v>
      </c>
      <c r="F568" s="4823"/>
      <c r="G568" s="4823"/>
      <c r="H568" s="4823"/>
    </row>
    <row r="569" spans="1:11" ht="12.75" customHeight="1">
      <c r="C569" s="1449" t="s">
        <v>4083</v>
      </c>
      <c r="E569" s="4823" t="s">
        <v>3121</v>
      </c>
      <c r="F569" s="4823"/>
      <c r="G569" s="4823"/>
      <c r="H569" s="4823"/>
    </row>
    <row r="570" spans="1:11" ht="12.75" customHeight="1">
      <c r="C570" s="1450"/>
      <c r="D570" s="1448" t="s">
        <v>2984</v>
      </c>
      <c r="E570" s="4826" t="s">
        <v>3122</v>
      </c>
      <c r="F570" s="4826"/>
      <c r="G570" s="4826"/>
      <c r="H570" s="4826"/>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3" t="s">
        <v>2888</v>
      </c>
      <c r="G574" s="4823"/>
      <c r="H574" s="4823"/>
      <c r="K574" s="432" t="s">
        <v>233</v>
      </c>
    </row>
    <row r="575" spans="1:11" ht="12.75" customHeight="1">
      <c r="C575" s="641" t="s">
        <v>1275</v>
      </c>
      <c r="D575" s="639" t="s">
        <v>1846</v>
      </c>
      <c r="E575" s="4823" t="s">
        <v>2986</v>
      </c>
      <c r="F575" s="4823"/>
      <c r="G575" s="4823"/>
      <c r="H575" s="4823"/>
    </row>
    <row r="576" spans="1:11" ht="12.75" customHeight="1">
      <c r="E576" s="4823" t="s">
        <v>3121</v>
      </c>
      <c r="F576" s="4823"/>
      <c r="G576" s="4823"/>
      <c r="H576" s="4823"/>
    </row>
    <row r="577" spans="4:8" ht="12.75" customHeight="1">
      <c r="D577" s="642" t="s">
        <v>2984</v>
      </c>
      <c r="E577" s="4823" t="s">
        <v>3122</v>
      </c>
      <c r="F577" s="4823"/>
      <c r="G577" s="4823"/>
      <c r="H577" s="4823"/>
    </row>
    <row r="578" spans="4:8" ht="9" customHeight="1"/>
    <row r="579" spans="4:8" ht="7.5" customHeight="1">
      <c r="E579" s="4823"/>
      <c r="F579" s="4823"/>
      <c r="G579" s="4823"/>
      <c r="H579" s="4823"/>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The Bridges at Lincom, Hartwell, Hart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3194</v>
      </c>
      <c r="M9" s="3084"/>
      <c r="N9" s="3085"/>
      <c r="O9" s="259" t="s">
        <v>1838</v>
      </c>
      <c r="P9" s="261"/>
      <c r="Q9" s="3013"/>
      <c r="R9" s="3014"/>
      <c r="S9" s="3015"/>
      <c r="Z9" s="1706">
        <v>9</v>
      </c>
    </row>
    <row r="10" spans="1:26" s="144" customFormat="1" ht="11.25" customHeight="1">
      <c r="D10" s="260"/>
      <c r="E10" s="246" t="s">
        <v>3461</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3461</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3461</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3461</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3461</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3461</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3461</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3461</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3461</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3461</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3461</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3461</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3461</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3461</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3461</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3461</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3461</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6222</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6222</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6222</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6222</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6222</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6222</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6222</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6222</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80" t="s">
        <v>3296</v>
      </c>
      <c r="B153" s="3180"/>
      <c r="C153" s="3180"/>
      <c r="D153" s="3180"/>
      <c r="E153" s="3180"/>
      <c r="H153" s="1263" t="s">
        <v>2308</v>
      </c>
      <c r="I153" s="3174" t="s">
        <v>6516</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3838</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6220</v>
      </c>
      <c r="E155" s="256"/>
      <c r="H155" s="1216" t="s">
        <v>3838</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3838</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3838</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3838</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3838</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3838</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3889</v>
      </c>
      <c r="E161" s="256"/>
      <c r="H161" s="1216" t="s">
        <v>3838</v>
      </c>
      <c r="I161" s="3076"/>
      <c r="J161" s="3077"/>
      <c r="K161" s="3077"/>
      <c r="L161" s="3077"/>
      <c r="M161" s="3077"/>
      <c r="N161" s="3077"/>
      <c r="O161" s="3077"/>
      <c r="P161" s="3077"/>
      <c r="Q161" s="3077"/>
      <c r="R161" s="3077"/>
      <c r="S161" s="3078"/>
      <c r="Z161" s="1706">
        <v>161</v>
      </c>
    </row>
    <row r="162" spans="1:26" s="144" customFormat="1" ht="15" customHeight="1" thickBot="1">
      <c r="B162" s="476" t="s">
        <v>3888</v>
      </c>
      <c r="C162" s="3177" t="s">
        <v>6473</v>
      </c>
      <c r="D162" s="3178"/>
      <c r="E162" s="3178"/>
      <c r="F162" s="3178"/>
      <c r="G162" s="3179"/>
      <c r="H162" s="1216" t="s">
        <v>3838</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6474</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3838</v>
      </c>
      <c r="J171" s="477" t="s">
        <v>3838</v>
      </c>
      <c r="K171" s="477"/>
      <c r="L171" s="649"/>
      <c r="M171" s="482" t="s">
        <v>3838</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3838</v>
      </c>
      <c r="J172" s="478" t="s">
        <v>3838</v>
      </c>
      <c r="K172" s="478"/>
      <c r="L172" s="650"/>
      <c r="M172" s="483" t="s">
        <v>3838</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3838</v>
      </c>
      <c r="J173" s="478" t="s">
        <v>3838</v>
      </c>
      <c r="K173" s="478"/>
      <c r="L173" s="650"/>
      <c r="M173" s="483" t="s">
        <v>3838</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3838</v>
      </c>
      <c r="J174" s="478" t="s">
        <v>3838</v>
      </c>
      <c r="K174" s="478"/>
      <c r="L174" s="650"/>
      <c r="M174" s="483" t="s">
        <v>3838</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3838</v>
      </c>
      <c r="J175" s="478" t="s">
        <v>3838</v>
      </c>
      <c r="K175" s="478"/>
      <c r="L175" s="650"/>
      <c r="M175" s="483" t="s">
        <v>3838</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3838</v>
      </c>
      <c r="J176" s="478" t="s">
        <v>3838</v>
      </c>
      <c r="K176" s="478"/>
      <c r="L176" s="650"/>
      <c r="M176" s="483" t="s">
        <v>3838</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3838</v>
      </c>
      <c r="J177" s="478" t="s">
        <v>3838</v>
      </c>
      <c r="K177" s="478"/>
      <c r="L177" s="650"/>
      <c r="M177" s="483" t="s">
        <v>3838</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3838</v>
      </c>
      <c r="J178" s="478" t="s">
        <v>3838</v>
      </c>
      <c r="K178" s="478"/>
      <c r="L178" s="650"/>
      <c r="M178" s="483" t="s">
        <v>3838</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3838</v>
      </c>
      <c r="J179" s="478" t="s">
        <v>3838</v>
      </c>
      <c r="K179" s="478"/>
      <c r="L179" s="650"/>
      <c r="M179" s="483" t="s">
        <v>3838</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3838</v>
      </c>
      <c r="J180" s="478" t="s">
        <v>3838</v>
      </c>
      <c r="K180" s="478"/>
      <c r="L180" s="650"/>
      <c r="M180" s="483" t="s">
        <v>3838</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3838</v>
      </c>
      <c r="J181" s="478" t="s">
        <v>3838</v>
      </c>
      <c r="K181" s="478"/>
      <c r="L181" s="650"/>
      <c r="M181" s="483" t="s">
        <v>3838</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3838</v>
      </c>
      <c r="J182" s="478" t="s">
        <v>3838</v>
      </c>
      <c r="K182" s="478"/>
      <c r="L182" s="650"/>
      <c r="M182" s="483" t="s">
        <v>3838</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3838</v>
      </c>
      <c r="J183" s="479" t="s">
        <v>3838</v>
      </c>
      <c r="K183" s="479"/>
      <c r="L183" s="651"/>
      <c r="M183" s="484" t="s">
        <v>3838</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The Bridges at Lincom</v>
      </c>
    </row>
    <row r="2" spans="1:14">
      <c r="A2" s="560" t="s">
        <v>2882</v>
      </c>
      <c r="H2" s="432" t="str">
        <f>'Sensitivity Analysis'!E8</f>
        <v>2023-0</v>
      </c>
    </row>
    <row r="3" spans="1:14" ht="3" customHeight="1"/>
    <row r="4" spans="1:14" ht="69.599999999999994" customHeight="1">
      <c r="A4" s="4827" t="s">
        <v>2978</v>
      </c>
      <c r="B4" s="4827"/>
      <c r="C4" s="4827"/>
      <c r="D4" s="4827"/>
      <c r="E4" s="4827"/>
      <c r="F4" s="4827"/>
      <c r="G4" s="4827"/>
      <c r="H4" s="4827"/>
      <c r="I4" s="4827"/>
      <c r="J4" s="4827"/>
      <c r="K4" s="4827"/>
      <c r="L4" s="4869">
        <f>SUM('Part VI-Pro Forma'!B15:B17)/12</f>
        <v>32394.690000000002</v>
      </c>
      <c r="M4" s="4869"/>
      <c r="N4" s="1493" t="s">
        <v>3663</v>
      </c>
    </row>
    <row r="5" spans="1:14" ht="1.5" customHeight="1"/>
    <row r="6" spans="1:14" ht="12.75" customHeight="1">
      <c r="B6" s="635" t="s">
        <v>2240</v>
      </c>
      <c r="C6" s="617" t="s">
        <v>2883</v>
      </c>
      <c r="D6" s="617"/>
      <c r="E6" s="617"/>
      <c r="F6" s="617"/>
      <c r="G6" s="617"/>
      <c r="H6" s="617"/>
    </row>
    <row r="7" spans="1:14" ht="12.75" customHeight="1">
      <c r="B7" s="635" t="s">
        <v>2241</v>
      </c>
      <c r="C7" s="4827" t="s">
        <v>2884</v>
      </c>
      <c r="D7" s="4827"/>
      <c r="E7" s="4827"/>
      <c r="F7" s="4827"/>
      <c r="G7" s="4827"/>
      <c r="H7" s="4827"/>
      <c r="I7" s="4827"/>
      <c r="J7" s="4827"/>
      <c r="K7" s="4827"/>
      <c r="L7" s="4827"/>
      <c r="M7" s="4827"/>
    </row>
    <row r="8" spans="1:14" ht="3" customHeight="1"/>
    <row r="9" spans="1:14">
      <c r="A9" s="432" t="s">
        <v>2885</v>
      </c>
    </row>
    <row r="10" spans="1:14" ht="1.5" customHeight="1"/>
    <row r="11" spans="1:14" ht="26.25" customHeight="1">
      <c r="A11" s="636" t="s">
        <v>1841</v>
      </c>
      <c r="B11" s="4827" t="s">
        <v>2975</v>
      </c>
      <c r="C11" s="4827"/>
      <c r="D11" s="4827"/>
      <c r="E11" s="4827"/>
      <c r="F11" s="4827"/>
      <c r="G11" s="4827"/>
      <c r="H11" s="4827"/>
      <c r="I11" s="4827"/>
      <c r="J11" s="4827"/>
      <c r="K11" s="4827"/>
      <c r="L11" s="4828">
        <f>'Part II-Sources of Funds'!I51+'Part II-Sources of Funds'!I52</f>
        <v>14756706.908549998</v>
      </c>
      <c r="M11" s="4828"/>
    </row>
    <row r="12" spans="1:14" ht="1.5" customHeight="1">
      <c r="G12" s="617"/>
      <c r="H12" s="617"/>
    </row>
    <row r="13" spans="1:14" ht="25.9" customHeight="1">
      <c r="A13" s="636" t="s">
        <v>1843</v>
      </c>
      <c r="B13" s="4827" t="s">
        <v>2976</v>
      </c>
      <c r="C13" s="4827"/>
      <c r="D13" s="4827"/>
      <c r="E13" s="4827"/>
      <c r="F13" s="4827"/>
      <c r="G13" s="4827"/>
      <c r="H13" s="4827"/>
      <c r="I13" s="4827"/>
      <c r="J13" s="4827"/>
      <c r="K13" s="4827"/>
      <c r="L13" s="4829" t="s">
        <v>2813</v>
      </c>
      <c r="M13" s="4829"/>
    </row>
    <row r="14" spans="1:14">
      <c r="A14" s="636"/>
      <c r="B14" s="4784"/>
      <c r="C14" s="4784"/>
      <c r="D14" s="4784"/>
      <c r="E14" s="4784"/>
      <c r="F14" s="4784"/>
      <c r="G14" s="4784"/>
      <c r="H14" s="4784"/>
    </row>
    <row r="15" spans="1:14" ht="3" customHeight="1"/>
    <row r="16" spans="1:14">
      <c r="A16" s="636" t="s">
        <v>698</v>
      </c>
      <c r="B16" s="432" t="s">
        <v>2979</v>
      </c>
      <c r="L16" s="4830" t="s">
        <v>2652</v>
      </c>
      <c r="M16" s="4830"/>
    </row>
    <row r="17" spans="1:19" ht="1.5" customHeight="1">
      <c r="L17" s="620"/>
    </row>
    <row r="18" spans="1:19" ht="12" customHeight="1">
      <c r="A18" s="636" t="s">
        <v>1962</v>
      </c>
      <c r="B18" s="617" t="s">
        <v>2977</v>
      </c>
      <c r="C18" s="636"/>
      <c r="D18" s="636"/>
      <c r="E18" s="636"/>
      <c r="L18" s="4784" t="s">
        <v>2514</v>
      </c>
      <c r="M18" s="4784"/>
    </row>
    <row r="19" spans="1:19" ht="12" hidden="1" customHeight="1">
      <c r="B19" s="4784"/>
      <c r="C19" s="4784"/>
      <c r="D19" s="4784"/>
      <c r="E19" s="4784"/>
      <c r="F19" s="4784"/>
      <c r="G19" s="4784"/>
      <c r="H19" s="4784"/>
    </row>
    <row r="20" spans="1:19" ht="13.5" customHeight="1"/>
    <row r="21" spans="1:19" ht="12" customHeight="1">
      <c r="A21" s="560" t="s">
        <v>2886</v>
      </c>
    </row>
    <row r="22" spans="1:19" ht="3" customHeight="1"/>
    <row r="23" spans="1:19" ht="42.6" customHeight="1">
      <c r="A23" s="4831" t="s">
        <v>4080</v>
      </c>
      <c r="B23" s="4831"/>
      <c r="C23" s="4831"/>
      <c r="D23" s="4831"/>
      <c r="E23" s="4831"/>
      <c r="F23" s="4831"/>
      <c r="G23" s="4831"/>
      <c r="H23" s="4831"/>
      <c r="I23" s="4831"/>
      <c r="J23" s="4831"/>
      <c r="K23" s="4831"/>
      <c r="L23" s="4831"/>
      <c r="M23" s="4831"/>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1</v>
      </c>
      <c r="G26" s="1585">
        <f>'Part V-Revenues &amp; Expenses'!M57</f>
        <v>1</v>
      </c>
      <c r="H26" s="1585">
        <f>'Part V-Revenues &amp; Expenses'!N57</f>
        <v>1</v>
      </c>
      <c r="I26" s="1585">
        <f>'Part V-Revenues &amp; Expenses'!O57</f>
        <v>0</v>
      </c>
      <c r="J26" s="1586">
        <f>'Part V-Revenues &amp; Expenses'!P57</f>
        <v>3</v>
      </c>
      <c r="K26" s="432"/>
      <c r="S26" s="432"/>
    </row>
    <row r="27" spans="1:19" ht="15" customHeight="1">
      <c r="C27" s="736" t="s">
        <v>1081</v>
      </c>
      <c r="D27" s="439"/>
      <c r="E27" s="1584">
        <f>'Part V-Revenues &amp; Expenses'!K58</f>
        <v>0</v>
      </c>
      <c r="F27" s="1585">
        <f>'Part V-Revenues &amp; Expenses'!L58</f>
        <v>6</v>
      </c>
      <c r="G27" s="1585">
        <f>'Part V-Revenues &amp; Expenses'!M58</f>
        <v>22</v>
      </c>
      <c r="H27" s="1585">
        <f>'Part V-Revenues &amp; Expenses'!N58</f>
        <v>8</v>
      </c>
      <c r="I27" s="1585">
        <f>'Part V-Revenues &amp; Expenses'!O58</f>
        <v>0</v>
      </c>
      <c r="J27" s="1586">
        <f>'Part V-Revenues &amp; Expenses'!P58</f>
        <v>36</v>
      </c>
      <c r="K27" s="432"/>
      <c r="S27" s="432"/>
    </row>
    <row r="28" spans="1:19" ht="15" customHeight="1">
      <c r="C28" s="736" t="s">
        <v>112</v>
      </c>
      <c r="D28" s="439"/>
      <c r="E28" s="1584">
        <f>'Part V-Revenues &amp; Expenses'!K59</f>
        <v>0</v>
      </c>
      <c r="F28" s="1585">
        <f>'Part V-Revenues &amp; Expenses'!L59</f>
        <v>2</v>
      </c>
      <c r="G28" s="1585">
        <f>'Part V-Revenues &amp; Expenses'!M59</f>
        <v>8</v>
      </c>
      <c r="H28" s="1585">
        <f>'Part V-Revenues &amp; Expenses'!N59</f>
        <v>5</v>
      </c>
      <c r="I28" s="1585">
        <f>'Part V-Revenues &amp; Expenses'!O59</f>
        <v>0</v>
      </c>
      <c r="J28" s="1586">
        <f>'Part V-Revenues &amp; Expenses'!P59</f>
        <v>15</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9</v>
      </c>
      <c r="G32" s="1579">
        <f>'Part V-Revenues &amp; Expenses'!M63</f>
        <v>31</v>
      </c>
      <c r="H32" s="1579">
        <f>'Part V-Revenues &amp; Expenses'!N63</f>
        <v>14</v>
      </c>
      <c r="I32" s="1579">
        <f>'Part V-Revenues &amp; Expenses'!O63</f>
        <v>0</v>
      </c>
      <c r="J32" s="1588">
        <f>'Part V-Revenues &amp; Expenses'!P63</f>
        <v>54</v>
      </c>
      <c r="K32" s="432"/>
      <c r="S32" s="432"/>
    </row>
    <row r="33" spans="1:12" s="432" customFormat="1" ht="13.15" customHeight="1" thickBot="1">
      <c r="K33" s="1492"/>
    </row>
    <row r="34" spans="1:12" s="432" customFormat="1" ht="14.25" customHeight="1" thickBot="1">
      <c r="A34" s="1492"/>
      <c r="B34" s="4843" t="s">
        <v>6171</v>
      </c>
      <c r="E34" s="4844" t="s">
        <v>6067</v>
      </c>
      <c r="F34" s="4845"/>
      <c r="G34" s="4845"/>
      <c r="H34" s="4845"/>
      <c r="I34" s="4845"/>
      <c r="J34" s="4845"/>
      <c r="K34" s="4845"/>
      <c r="L34" s="4846"/>
    </row>
    <row r="35" spans="1:12" s="432" customFormat="1" ht="14.25" customHeight="1">
      <c r="A35" s="1492"/>
      <c r="B35" s="4843"/>
      <c r="C35" s="4847" t="s">
        <v>6172</v>
      </c>
      <c r="D35" s="4843" t="s">
        <v>6173</v>
      </c>
      <c r="E35" s="4848" t="s">
        <v>6070</v>
      </c>
      <c r="F35" s="4849"/>
      <c r="G35" s="4852" t="s">
        <v>1275</v>
      </c>
      <c r="H35" s="4854" t="s">
        <v>6066</v>
      </c>
      <c r="I35" s="4855"/>
      <c r="J35" s="4855"/>
      <c r="K35" s="4855"/>
      <c r="L35" s="4856"/>
    </row>
    <row r="36" spans="1:12" s="432" customFormat="1" ht="23.25" customHeight="1">
      <c r="A36" s="4847" t="s">
        <v>975</v>
      </c>
      <c r="B36" s="4843"/>
      <c r="C36" s="4847"/>
      <c r="D36" s="4843"/>
      <c r="E36" s="4850"/>
      <c r="F36" s="4851"/>
      <c r="G36" s="4853"/>
      <c r="H36" s="4857" t="s">
        <v>6068</v>
      </c>
      <c r="I36" s="4858"/>
      <c r="J36" s="4861" t="s">
        <v>1275</v>
      </c>
      <c r="K36" s="4858" t="s">
        <v>6069</v>
      </c>
      <c r="L36" s="4863"/>
    </row>
    <row r="37" spans="1:12" s="432" customFormat="1" ht="23.25" customHeight="1">
      <c r="A37" s="4847"/>
      <c r="B37" s="4843"/>
      <c r="C37" s="4847"/>
      <c r="D37" s="4843"/>
      <c r="E37" s="4850"/>
      <c r="F37" s="4851"/>
      <c r="G37" s="4853"/>
      <c r="H37" s="4857"/>
      <c r="I37" s="4858"/>
      <c r="J37" s="4862"/>
      <c r="K37" s="4858"/>
      <c r="L37" s="4863"/>
    </row>
    <row r="38" spans="1:12" s="432" customFormat="1" ht="23.25" customHeight="1">
      <c r="A38" s="4843"/>
      <c r="B38" s="4843"/>
      <c r="C38" s="4843"/>
      <c r="D38" s="4843"/>
      <c r="E38" s="4850"/>
      <c r="F38" s="4851"/>
      <c r="G38" s="4853"/>
      <c r="H38" s="4859"/>
      <c r="I38" s="4860"/>
      <c r="J38" s="4862"/>
      <c r="K38" s="4860"/>
      <c r="L38" s="4864"/>
    </row>
    <row r="39" spans="1:12" s="432" customFormat="1" ht="13.15" customHeight="1">
      <c r="A39" s="1571">
        <f>'Part V-Revenues &amp; Expenses'!B18</f>
        <v>50</v>
      </c>
      <c r="B39" s="1572">
        <f>'Part V-Revenues &amp; Expenses'!E18</f>
        <v>2</v>
      </c>
      <c r="C39" s="1573" t="str">
        <f>_xlfn.CONCAT('Part V-Revenues &amp; Expenses'!C18," / ",'Part V-Revenues &amp; Expenses'!D18)</f>
        <v>1 / 1</v>
      </c>
      <c r="D39" s="1572">
        <f>'Part V-Revenues &amp; Expenses'!F18</f>
        <v>892</v>
      </c>
      <c r="E39" s="4867">
        <f>'Part V-Revenues &amp; Expenses'!H18</f>
        <v>610</v>
      </c>
      <c r="F39" s="4868"/>
      <c r="G39" s="439"/>
      <c r="H39" s="4837"/>
      <c r="I39" s="4838"/>
      <c r="J39" s="4838"/>
      <c r="K39" s="4838"/>
      <c r="L39" s="4839"/>
    </row>
    <row r="40" spans="1:12" s="432" customFormat="1" ht="13.15" customHeight="1">
      <c r="A40" s="1574">
        <f>'Part V-Revenues &amp; Expenses'!B19</f>
        <v>50</v>
      </c>
      <c r="B40" s="1575">
        <f>'Part V-Revenues &amp; Expenses'!E19</f>
        <v>7</v>
      </c>
      <c r="C40" s="1576" t="str">
        <f>_xlfn.CONCAT('Part V-Revenues &amp; Expenses'!C19," / ",'Part V-Revenues &amp; Expenses'!D19)</f>
        <v>2 / 2.5</v>
      </c>
      <c r="D40" s="1575">
        <f>'Part V-Revenues &amp; Expenses'!F19</f>
        <v>1146</v>
      </c>
      <c r="E40" s="4835">
        <f>'Part V-Revenues &amp; Expenses'!H19</f>
        <v>690</v>
      </c>
      <c r="F40" s="4836"/>
      <c r="G40" s="439"/>
      <c r="H40" s="4832"/>
      <c r="I40" s="4833"/>
      <c r="J40" s="4833"/>
      <c r="K40" s="4833"/>
      <c r="L40" s="4834"/>
    </row>
    <row r="41" spans="1:12" s="432" customFormat="1" ht="13.15" customHeight="1">
      <c r="A41" s="1574">
        <f>'Part V-Revenues &amp; Expenses'!B20</f>
        <v>50</v>
      </c>
      <c r="B41" s="1575">
        <f>'Part V-Revenues &amp; Expenses'!E20</f>
        <v>1</v>
      </c>
      <c r="C41" s="1576" t="str">
        <f>_xlfn.CONCAT('Part V-Revenues &amp; Expenses'!C20," / ",'Part V-Revenues &amp; Expenses'!D20)</f>
        <v>2 / 2</v>
      </c>
      <c r="D41" s="1575">
        <f>'Part V-Revenues &amp; Expenses'!F20</f>
        <v>1112</v>
      </c>
      <c r="E41" s="4835">
        <f>'Part V-Revenues &amp; Expenses'!H20</f>
        <v>690</v>
      </c>
      <c r="F41" s="4836"/>
      <c r="G41" s="439"/>
      <c r="H41" s="4832"/>
      <c r="I41" s="4833"/>
      <c r="J41" s="4833"/>
      <c r="K41" s="4833"/>
      <c r="L41" s="4834"/>
    </row>
    <row r="42" spans="1:12" s="432" customFormat="1" ht="13.15" customHeight="1">
      <c r="A42" s="1574">
        <f>'Part V-Revenues &amp; Expenses'!B21</f>
        <v>50</v>
      </c>
      <c r="B42" s="1575">
        <f>'Part V-Revenues &amp; Expenses'!E21</f>
        <v>4</v>
      </c>
      <c r="C42" s="1576" t="str">
        <f>_xlfn.CONCAT('Part V-Revenues &amp; Expenses'!C21," / ",'Part V-Revenues &amp; Expenses'!D21)</f>
        <v>3 / 2.5</v>
      </c>
      <c r="D42" s="1575">
        <f>'Part V-Revenues &amp; Expenses'!F21</f>
        <v>1542</v>
      </c>
      <c r="E42" s="4835">
        <f>'Part V-Revenues &amp; Expenses'!H21</f>
        <v>773</v>
      </c>
      <c r="F42" s="4836"/>
      <c r="G42" s="439"/>
      <c r="H42" s="4832"/>
      <c r="I42" s="4833"/>
      <c r="J42" s="4833"/>
      <c r="K42" s="4833"/>
      <c r="L42" s="4834"/>
    </row>
    <row r="43" spans="1:12" s="432" customFormat="1" ht="13.15" customHeight="1">
      <c r="A43" s="1574">
        <f>'Part V-Revenues &amp; Expenses'!B22</f>
        <v>50</v>
      </c>
      <c r="B43" s="1575">
        <f>'Part V-Revenues &amp; Expenses'!E22</f>
        <v>1</v>
      </c>
      <c r="C43" s="1576" t="str">
        <f>_xlfn.CONCAT('Part V-Revenues &amp; Expenses'!C22," / ",'Part V-Revenues &amp; Expenses'!D22)</f>
        <v>3 / 2</v>
      </c>
      <c r="D43" s="1575">
        <f>'Part V-Revenues &amp; Expenses'!F22</f>
        <v>1371</v>
      </c>
      <c r="E43" s="4835">
        <f>'Part V-Revenues &amp; Expenses'!H22</f>
        <v>773</v>
      </c>
      <c r="F43" s="4836"/>
      <c r="G43" s="439"/>
      <c r="H43" s="4832"/>
      <c r="I43" s="4833"/>
      <c r="J43" s="4833"/>
      <c r="K43" s="4833"/>
      <c r="L43" s="4834"/>
    </row>
    <row r="44" spans="1:12" s="432" customFormat="1" ht="13.15" customHeight="1">
      <c r="A44" s="1574">
        <f>'Part V-Revenues &amp; Expenses'!B23</f>
        <v>60</v>
      </c>
      <c r="B44" s="1575">
        <f>'Part V-Revenues &amp; Expenses'!E23</f>
        <v>6</v>
      </c>
      <c r="C44" s="1576" t="str">
        <f>_xlfn.CONCAT('Part V-Revenues &amp; Expenses'!C23," / ",'Part V-Revenues &amp; Expenses'!D23)</f>
        <v>1 / 1</v>
      </c>
      <c r="D44" s="1575">
        <f>'Part V-Revenues &amp; Expenses'!F23</f>
        <v>892</v>
      </c>
      <c r="E44" s="4835">
        <f>'Part V-Revenues &amp; Expenses'!H23</f>
        <v>710</v>
      </c>
      <c r="F44" s="4836"/>
      <c r="G44" s="439"/>
      <c r="H44" s="4832"/>
      <c r="I44" s="4833"/>
      <c r="J44" s="4833"/>
      <c r="K44" s="4833"/>
      <c r="L44" s="4834"/>
    </row>
    <row r="45" spans="1:12" s="432" customFormat="1" ht="13.15" customHeight="1">
      <c r="A45" s="1574">
        <f>'Part V-Revenues &amp; Expenses'!B24</f>
        <v>60</v>
      </c>
      <c r="B45" s="1575">
        <f>'Part V-Revenues &amp; Expenses'!E24</f>
        <v>21</v>
      </c>
      <c r="C45" s="1576" t="str">
        <f>_xlfn.CONCAT('Part V-Revenues &amp; Expenses'!C24," / ",'Part V-Revenues &amp; Expenses'!D24)</f>
        <v>2 / 2.5</v>
      </c>
      <c r="D45" s="1575">
        <f>'Part V-Revenues &amp; Expenses'!F24</f>
        <v>1146</v>
      </c>
      <c r="E45" s="4835">
        <f>'Part V-Revenues &amp; Expenses'!H24</f>
        <v>790</v>
      </c>
      <c r="F45" s="4836"/>
      <c r="G45" s="439"/>
      <c r="H45" s="4832"/>
      <c r="I45" s="4833"/>
      <c r="J45" s="4833"/>
      <c r="K45" s="4833"/>
      <c r="L45" s="4834"/>
    </row>
    <row r="46" spans="1:12" s="432" customFormat="1" ht="13.15" customHeight="1">
      <c r="A46" s="1574">
        <f>'Part V-Revenues &amp; Expenses'!B25</f>
        <v>60</v>
      </c>
      <c r="B46" s="1575">
        <f>'Part V-Revenues &amp; Expenses'!E25</f>
        <v>1</v>
      </c>
      <c r="C46" s="1576" t="str">
        <f>_xlfn.CONCAT('Part V-Revenues &amp; Expenses'!C25," / ",'Part V-Revenues &amp; Expenses'!D25)</f>
        <v>2 / 2</v>
      </c>
      <c r="D46" s="1575">
        <f>'Part V-Revenues &amp; Expenses'!F25</f>
        <v>1112</v>
      </c>
      <c r="E46" s="4835">
        <f>'Part V-Revenues &amp; Expenses'!H25</f>
        <v>790</v>
      </c>
      <c r="F46" s="4836"/>
      <c r="G46" s="439"/>
      <c r="H46" s="4832"/>
      <c r="I46" s="4833"/>
      <c r="J46" s="4833"/>
      <c r="K46" s="4833"/>
      <c r="L46" s="4834"/>
    </row>
    <row r="47" spans="1:12" s="432" customFormat="1" ht="13.15" customHeight="1">
      <c r="A47" s="1574">
        <f>'Part V-Revenues &amp; Expenses'!B26</f>
        <v>60</v>
      </c>
      <c r="B47" s="1575">
        <f>'Part V-Revenues &amp; Expenses'!E26</f>
        <v>7</v>
      </c>
      <c r="C47" s="1576" t="str">
        <f>_xlfn.CONCAT('Part V-Revenues &amp; Expenses'!C26," / ",'Part V-Revenues &amp; Expenses'!D26)</f>
        <v>3 / 2.5</v>
      </c>
      <c r="D47" s="1575">
        <f>'Part V-Revenues &amp; Expenses'!F26</f>
        <v>1542</v>
      </c>
      <c r="E47" s="4835">
        <f>'Part V-Revenues &amp; Expenses'!H26</f>
        <v>873</v>
      </c>
      <c r="F47" s="4836"/>
      <c r="G47" s="439"/>
      <c r="H47" s="4832"/>
      <c r="I47" s="4833"/>
      <c r="J47" s="4833"/>
      <c r="K47" s="4833"/>
      <c r="L47" s="4834"/>
    </row>
    <row r="48" spans="1:12" s="432" customFormat="1" ht="13.15" customHeight="1">
      <c r="A48" s="1574">
        <f>'Part V-Revenues &amp; Expenses'!B27</f>
        <v>60</v>
      </c>
      <c r="B48" s="1575">
        <f>'Part V-Revenues &amp; Expenses'!E27</f>
        <v>1</v>
      </c>
      <c r="C48" s="1576" t="str">
        <f>_xlfn.CONCAT('Part V-Revenues &amp; Expenses'!C27," / ",'Part V-Revenues &amp; Expenses'!D27)</f>
        <v>3 / 2</v>
      </c>
      <c r="D48" s="1575">
        <f>'Part V-Revenues &amp; Expenses'!F27</f>
        <v>1371</v>
      </c>
      <c r="E48" s="4835">
        <f>'Part V-Revenues &amp; Expenses'!H27</f>
        <v>873</v>
      </c>
      <c r="F48" s="4836"/>
      <c r="G48" s="439"/>
      <c r="H48" s="4832"/>
      <c r="I48" s="4833"/>
      <c r="J48" s="4833"/>
      <c r="K48" s="4833"/>
      <c r="L48" s="4834"/>
    </row>
    <row r="49" spans="1:13" s="432" customFormat="1" ht="13.15" customHeight="1">
      <c r="A49" s="1574">
        <f>'Part V-Revenues &amp; Expenses'!B28</f>
        <v>70</v>
      </c>
      <c r="B49" s="1575">
        <f>'Part V-Revenues &amp; Expenses'!E28</f>
        <v>1</v>
      </c>
      <c r="C49" s="1576" t="str">
        <f>_xlfn.CONCAT('Part V-Revenues &amp; Expenses'!C28," / ",'Part V-Revenues &amp; Expenses'!D28)</f>
        <v>1 / 1</v>
      </c>
      <c r="D49" s="1575">
        <f>'Part V-Revenues &amp; Expenses'!F28</f>
        <v>892</v>
      </c>
      <c r="E49" s="4835">
        <f>'Part V-Revenues &amp; Expenses'!H28</f>
        <v>810</v>
      </c>
      <c r="F49" s="4836"/>
      <c r="G49" s="439"/>
      <c r="H49" s="4832"/>
      <c r="I49" s="4833"/>
      <c r="J49" s="4833"/>
      <c r="K49" s="4833"/>
      <c r="L49" s="4834"/>
    </row>
    <row r="50" spans="1:13" s="432" customFormat="1" ht="13.15" customHeight="1">
      <c r="A50" s="1574">
        <f>'Part V-Revenues &amp; Expenses'!B29</f>
        <v>70</v>
      </c>
      <c r="B50" s="1575">
        <f>'Part V-Revenues &amp; Expenses'!E29</f>
        <v>1</v>
      </c>
      <c r="C50" s="1576" t="str">
        <f>_xlfn.CONCAT('Part V-Revenues &amp; Expenses'!C29," / ",'Part V-Revenues &amp; Expenses'!D29)</f>
        <v>2 / 2.5</v>
      </c>
      <c r="D50" s="1575">
        <f>'Part V-Revenues &amp; Expenses'!F29</f>
        <v>1146</v>
      </c>
      <c r="E50" s="4835">
        <f>'Part V-Revenues &amp; Expenses'!H29</f>
        <v>890</v>
      </c>
      <c r="F50" s="4836"/>
      <c r="G50" s="439"/>
      <c r="H50" s="4832"/>
      <c r="I50" s="4833"/>
      <c r="J50" s="4833"/>
      <c r="K50" s="4833"/>
      <c r="L50" s="4834"/>
    </row>
    <row r="51" spans="1:13" s="432" customFormat="1" ht="13.15" customHeight="1">
      <c r="A51" s="1574">
        <f>'Part V-Revenues &amp; Expenses'!B30</f>
        <v>70</v>
      </c>
      <c r="B51" s="1575">
        <f>'Part V-Revenues &amp; Expenses'!E30</f>
        <v>1</v>
      </c>
      <c r="C51" s="1576" t="str">
        <f>_xlfn.CONCAT('Part V-Revenues &amp; Expenses'!C30," / ",'Part V-Revenues &amp; Expenses'!D30)</f>
        <v>3 / 2.5</v>
      </c>
      <c r="D51" s="1575">
        <f>'Part V-Revenues &amp; Expenses'!F30</f>
        <v>1542</v>
      </c>
      <c r="E51" s="4835">
        <f>'Part V-Revenues &amp; Expenses'!H30</f>
        <v>973</v>
      </c>
      <c r="F51" s="4836"/>
      <c r="G51" s="439"/>
      <c r="H51" s="4832"/>
      <c r="I51" s="4833"/>
      <c r="J51" s="4833"/>
      <c r="K51" s="4833"/>
      <c r="L51" s="4834"/>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5">
        <f>'Part V-Revenues &amp; Expenses'!H31</f>
        <v>0</v>
      </c>
      <c r="F52" s="4836"/>
      <c r="G52" s="439"/>
      <c r="H52" s="4832"/>
      <c r="I52" s="4833"/>
      <c r="J52" s="4833"/>
      <c r="K52" s="4833"/>
      <c r="L52" s="4834"/>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5">
        <f>'Part V-Revenues &amp; Expenses'!H32</f>
        <v>0</v>
      </c>
      <c r="F53" s="4836"/>
      <c r="G53" s="439"/>
      <c r="H53" s="4832"/>
      <c r="I53" s="4833"/>
      <c r="J53" s="4833"/>
      <c r="K53" s="4833"/>
      <c r="L53" s="4834"/>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5">
        <f>'Part V-Revenues &amp; Expenses'!H33</f>
        <v>0</v>
      </c>
      <c r="F54" s="4836"/>
      <c r="G54" s="439"/>
      <c r="H54" s="4832"/>
      <c r="I54" s="4833"/>
      <c r="J54" s="4833"/>
      <c r="K54" s="4833"/>
      <c r="L54" s="4834"/>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5">
        <f>'Part V-Revenues &amp; Expenses'!H34</f>
        <v>0</v>
      </c>
      <c r="F55" s="4836"/>
      <c r="G55" s="439"/>
      <c r="H55" s="4832"/>
      <c r="I55" s="4833"/>
      <c r="J55" s="4833"/>
      <c r="K55" s="4833"/>
      <c r="L55" s="4834"/>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5">
        <f>'Part V-Revenues &amp; Expenses'!H35</f>
        <v>0</v>
      </c>
      <c r="F56" s="4836"/>
      <c r="G56" s="439"/>
      <c r="H56" s="4832"/>
      <c r="I56" s="4833"/>
      <c r="J56" s="4833"/>
      <c r="K56" s="4833"/>
      <c r="L56" s="4834"/>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5">
        <f>'Part V-Revenues &amp; Expenses'!H36</f>
        <v>0</v>
      </c>
      <c r="F57" s="4836"/>
      <c r="G57" s="439"/>
      <c r="H57" s="4832"/>
      <c r="I57" s="4833"/>
      <c r="J57" s="4833"/>
      <c r="K57" s="4833"/>
      <c r="L57" s="4834"/>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5">
        <f>'Part V-Revenues &amp; Expenses'!H37</f>
        <v>0</v>
      </c>
      <c r="F58" s="4836"/>
      <c r="G58" s="439"/>
      <c r="H58" s="4832"/>
      <c r="I58" s="4833"/>
      <c r="J58" s="4833"/>
      <c r="K58" s="4833"/>
      <c r="L58" s="4834"/>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5">
        <f>'Part V-Revenues &amp; Expenses'!H38</f>
        <v>0</v>
      </c>
      <c r="F59" s="4836"/>
      <c r="G59" s="439"/>
      <c r="H59" s="4832"/>
      <c r="I59" s="4833"/>
      <c r="J59" s="4833"/>
      <c r="K59" s="4833"/>
      <c r="L59" s="4834"/>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5">
        <f>'Part V-Revenues &amp; Expenses'!H39</f>
        <v>0</v>
      </c>
      <c r="F60" s="4836"/>
      <c r="G60" s="439"/>
      <c r="H60" s="4832"/>
      <c r="I60" s="4833"/>
      <c r="J60" s="4833"/>
      <c r="K60" s="4833"/>
      <c r="L60" s="4834"/>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5">
        <f>'Part V-Revenues &amp; Expenses'!H40</f>
        <v>0</v>
      </c>
      <c r="F61" s="4836"/>
      <c r="G61" s="439"/>
      <c r="H61" s="4832"/>
      <c r="I61" s="4833"/>
      <c r="J61" s="4833"/>
      <c r="K61" s="4833"/>
      <c r="L61" s="4834"/>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5">
        <f>'Part V-Revenues &amp; Expenses'!H41</f>
        <v>0</v>
      </c>
      <c r="F62" s="4836"/>
      <c r="G62" s="439"/>
      <c r="H62" s="4832"/>
      <c r="I62" s="4833"/>
      <c r="J62" s="4833"/>
      <c r="K62" s="4833"/>
      <c r="L62" s="4834"/>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5">
        <f>'Part V-Revenues &amp; Expenses'!H42</f>
        <v>0</v>
      </c>
      <c r="F63" s="4836"/>
      <c r="G63" s="439"/>
      <c r="H63" s="4832"/>
      <c r="I63" s="4833"/>
      <c r="J63" s="4833"/>
      <c r="K63" s="4833"/>
      <c r="L63" s="4834"/>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5">
        <f>'Part V-Revenues &amp; Expenses'!H43</f>
        <v>0</v>
      </c>
      <c r="F64" s="4836"/>
      <c r="G64" s="439"/>
      <c r="H64" s="4832"/>
      <c r="I64" s="4833"/>
      <c r="J64" s="4833"/>
      <c r="K64" s="4833"/>
      <c r="L64" s="4834"/>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5">
        <f>'Part V-Revenues &amp; Expenses'!H44</f>
        <v>0</v>
      </c>
      <c r="F65" s="4836"/>
      <c r="G65" s="439"/>
      <c r="H65" s="4832"/>
      <c r="I65" s="4833"/>
      <c r="J65" s="4833"/>
      <c r="K65" s="4833"/>
      <c r="L65" s="4834"/>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5">
        <f>'Part V-Revenues &amp; Expenses'!H45</f>
        <v>0</v>
      </c>
      <c r="F66" s="4836"/>
      <c r="G66" s="439"/>
      <c r="H66" s="4832"/>
      <c r="I66" s="4833"/>
      <c r="J66" s="4833"/>
      <c r="K66" s="4833"/>
      <c r="L66" s="4834"/>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5">
        <f>'Part V-Revenues &amp; Expenses'!H46</f>
        <v>0</v>
      </c>
      <c r="F67" s="4836"/>
      <c r="G67" s="439"/>
      <c r="H67" s="4832"/>
      <c r="I67" s="4833"/>
      <c r="J67" s="4833"/>
      <c r="K67" s="4833"/>
      <c r="L67" s="4834"/>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5">
        <f>'Part V-Revenues &amp; Expenses'!H47</f>
        <v>0</v>
      </c>
      <c r="F68" s="4836"/>
      <c r="G68" s="439"/>
      <c r="H68" s="4832"/>
      <c r="I68" s="4833"/>
      <c r="J68" s="4833"/>
      <c r="K68" s="4833"/>
      <c r="L68" s="4834"/>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5">
        <f>'Part V-Revenues &amp; Expenses'!H48</f>
        <v>0</v>
      </c>
      <c r="F69" s="4866"/>
      <c r="G69" s="1580"/>
      <c r="H69" s="4840"/>
      <c r="I69" s="4841"/>
      <c r="J69" s="4841"/>
      <c r="K69" s="4841"/>
      <c r="L69" s="4842"/>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7" t="s">
        <v>3479</v>
      </c>
      <c r="C1" s="4727"/>
      <c r="D1" s="4727"/>
      <c r="E1" s="4727"/>
      <c r="F1" s="4727"/>
      <c r="G1" s="4727"/>
      <c r="H1" s="4727"/>
      <c r="I1" s="4727"/>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79" t="s">
        <v>2889</v>
      </c>
      <c r="C4" s="4879"/>
      <c r="D4" s="4879"/>
      <c r="E4" s="4884" t="s">
        <v>2890</v>
      </c>
      <c r="F4" s="4886"/>
      <c r="G4" s="4884" t="s">
        <v>574</v>
      </c>
      <c r="H4" s="4885"/>
      <c r="I4" s="4886"/>
      <c r="J4" s="1036" t="s">
        <v>2738</v>
      </c>
      <c r="K4" s="1036"/>
      <c r="L4" s="1036"/>
      <c r="M4" s="1036"/>
    </row>
    <row r="5" spans="2:13">
      <c r="B5" s="4880">
        <f>'Closing term sheet'!C8</f>
        <v>0</v>
      </c>
      <c r="C5" s="4881"/>
      <c r="D5" s="4881"/>
      <c r="E5" s="4890"/>
      <c r="F5" s="4891"/>
      <c r="G5" s="4887" t="str">
        <f>'Closing term sheet'!C28</f>
        <v>The Bridges at Lincom</v>
      </c>
      <c r="H5" s="4888"/>
      <c r="I5" s="4889"/>
    </row>
    <row r="6" spans="2:13" ht="4.5" customHeight="1">
      <c r="D6" s="1042"/>
      <c r="E6" s="1042"/>
      <c r="F6" s="1042"/>
      <c r="G6" s="1042"/>
      <c r="H6" s="1042"/>
      <c r="I6" s="1042"/>
    </row>
    <row r="7" spans="2:13">
      <c r="B7" s="4875" t="s">
        <v>2891</v>
      </c>
      <c r="C7" s="4875"/>
      <c r="H7" s="4882">
        <f>'Preview term'!E9</f>
        <v>0</v>
      </c>
      <c r="I7" s="4883"/>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7" t="s">
        <v>3487</v>
      </c>
      <c r="I35" s="4892"/>
    </row>
    <row r="36" spans="2:9">
      <c r="B36" s="1059" t="s">
        <v>3486</v>
      </c>
      <c r="C36" s="523"/>
      <c r="D36" s="523"/>
      <c r="F36" s="1258"/>
      <c r="G36" s="617"/>
      <c r="H36" s="4827"/>
      <c r="I36" s="4892"/>
    </row>
    <row r="37" spans="2:9">
      <c r="B37" s="1059" t="s">
        <v>3484</v>
      </c>
      <c r="D37" s="523"/>
      <c r="F37" s="1259"/>
      <c r="G37" s="617"/>
      <c r="H37" s="4827"/>
      <c r="I37" s="4892"/>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99">
        <f>'Closing term sheet'!$C$30</f>
        <v>0</v>
      </c>
      <c r="G48" s="4900"/>
      <c r="H48" s="4900"/>
      <c r="I48" s="4901"/>
    </row>
    <row r="49" spans="2:9">
      <c r="B49" s="1051" t="s">
        <v>2906</v>
      </c>
      <c r="D49" s="523" t="s">
        <v>2907</v>
      </c>
      <c r="F49" s="4902"/>
      <c r="G49" s="4903"/>
      <c r="H49" s="4903"/>
      <c r="I49" s="4904"/>
    </row>
    <row r="50" spans="2:9">
      <c r="B50" s="1051" t="s">
        <v>2908</v>
      </c>
      <c r="F50" s="1042"/>
      <c r="G50" s="1042"/>
      <c r="H50" s="1042"/>
      <c r="I50" s="1065"/>
    </row>
    <row r="51" spans="2:9" ht="7.5" customHeight="1">
      <c r="B51" s="1047"/>
      <c r="I51" s="1049"/>
    </row>
    <row r="52" spans="2:9">
      <c r="B52" s="1066" t="s">
        <v>3489</v>
      </c>
      <c r="C52" s="4872" t="str">
        <f>'Part I-Project Identification'!F26</f>
        <v>Hartwell</v>
      </c>
      <c r="D52" s="4873"/>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11810278</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7" t="s">
        <v>2912</v>
      </c>
      <c r="C61" s="4775"/>
      <c r="D61" s="4775"/>
      <c r="E61" s="4775"/>
      <c r="F61" s="4775"/>
      <c r="G61" s="4775"/>
      <c r="H61" s="4775"/>
      <c r="I61" s="4878"/>
    </row>
    <row r="62" spans="2:9" ht="7.5" customHeight="1">
      <c r="B62" s="4874"/>
      <c r="C62" s="4774"/>
      <c r="D62" s="4774"/>
      <c r="G62" s="1072"/>
      <c r="I62" s="1049"/>
    </row>
    <row r="63" spans="2:9">
      <c r="B63" s="1066" t="s">
        <v>2914</v>
      </c>
      <c r="D63" s="1058">
        <v>4</v>
      </c>
      <c r="G63" s="4875" t="s">
        <v>2913</v>
      </c>
      <c r="H63" s="4875"/>
      <c r="I63" s="4876"/>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7" t="s">
        <v>2925</v>
      </c>
      <c r="C81" s="4775"/>
      <c r="D81" s="4775"/>
      <c r="E81" s="4775"/>
      <c r="F81" s="4775"/>
      <c r="G81" s="4775"/>
      <c r="H81" s="4775"/>
      <c r="I81" s="4878"/>
    </row>
    <row r="82" spans="2:9">
      <c r="B82" s="1047"/>
      <c r="I82" s="1049"/>
    </row>
    <row r="83" spans="2:9">
      <c r="B83" s="1047" t="s">
        <v>2926</v>
      </c>
      <c r="I83" s="1049"/>
    </row>
    <row r="84" spans="2:9">
      <c r="B84" s="1047"/>
      <c r="C84" s="432" t="s">
        <v>2927</v>
      </c>
      <c r="F84" s="4896">
        <f>'Closing term sheet'!D63</f>
        <v>11810278</v>
      </c>
      <c r="G84" s="4896"/>
      <c r="I84" s="1049"/>
    </row>
    <row r="85" spans="2:9">
      <c r="B85" s="1047"/>
      <c r="C85" s="432" t="s">
        <v>2928</v>
      </c>
      <c r="F85" s="4871">
        <f>'Part II-Sources of Funds'!I47+'Part II-Sources of Funds'!L47</f>
        <v>915.00322494783529</v>
      </c>
      <c r="G85" s="4871"/>
      <c r="I85" s="1049"/>
    </row>
    <row r="86" spans="2:9">
      <c r="B86" s="1047"/>
      <c r="C86" s="432" t="s">
        <v>2929</v>
      </c>
      <c r="F86" s="4870"/>
      <c r="G86" s="4870"/>
      <c r="I86" s="1049"/>
    </row>
    <row r="87" spans="2:9">
      <c r="B87" s="1047"/>
      <c r="C87" s="523" t="s">
        <v>2930</v>
      </c>
      <c r="F87" s="4871">
        <v>11000</v>
      </c>
      <c r="G87" s="4871"/>
      <c r="I87" s="1049"/>
    </row>
    <row r="88" spans="2:9">
      <c r="B88" s="1047"/>
      <c r="C88" s="432" t="s">
        <v>2931</v>
      </c>
      <c r="F88" s="4898"/>
      <c r="G88" s="4898"/>
      <c r="I88" s="1049"/>
    </row>
    <row r="89" spans="2:9">
      <c r="B89" s="1047"/>
      <c r="C89" s="560" t="s">
        <v>2932</v>
      </c>
      <c r="F89" s="4894">
        <f>SUM(F84:G88)</f>
        <v>11822193.003224948</v>
      </c>
      <c r="G89" s="4894"/>
      <c r="I89" s="1049"/>
    </row>
    <row r="90" spans="2:9">
      <c r="B90" s="1047"/>
      <c r="F90" s="4895"/>
      <c r="G90" s="4895"/>
      <c r="I90" s="1049"/>
    </row>
    <row r="91" spans="2:9">
      <c r="B91" s="1047" t="s">
        <v>2933</v>
      </c>
      <c r="I91" s="1049"/>
    </row>
    <row r="92" spans="2:9">
      <c r="B92" s="1047"/>
      <c r="C92" s="432" t="s">
        <v>2934</v>
      </c>
      <c r="F92" s="4896"/>
      <c r="G92" s="4896"/>
      <c r="I92" s="1049"/>
    </row>
    <row r="93" spans="2:9">
      <c r="B93" s="1047"/>
      <c r="C93" s="432" t="s">
        <v>2935</v>
      </c>
      <c r="F93" s="4897"/>
      <c r="G93" s="4897"/>
      <c r="I93" s="1049"/>
    </row>
    <row r="94" spans="2:9">
      <c r="B94" s="1047"/>
      <c r="C94" s="432" t="s">
        <v>2936</v>
      </c>
      <c r="F94" s="4893" t="s">
        <v>2813</v>
      </c>
      <c r="G94" s="4893"/>
      <c r="I94" s="1049"/>
    </row>
    <row r="95" spans="2:9">
      <c r="B95" s="1047"/>
      <c r="C95" s="560" t="s">
        <v>2937</v>
      </c>
      <c r="F95" s="4894">
        <f>+SUM(F92:G94)</f>
        <v>0</v>
      </c>
      <c r="G95" s="4894"/>
      <c r="I95" s="1049"/>
    </row>
    <row r="96" spans="2:9">
      <c r="B96" s="1047"/>
      <c r="I96" s="1049"/>
    </row>
    <row r="97" spans="2:9">
      <c r="B97" s="1047" t="s">
        <v>2938</v>
      </c>
      <c r="I97" s="1049"/>
    </row>
    <row r="98" spans="2:9">
      <c r="B98" s="1047"/>
      <c r="C98" s="432" t="s">
        <v>2939</v>
      </c>
      <c r="F98" s="4896"/>
      <c r="G98" s="4896"/>
      <c r="I98" s="1049"/>
    </row>
    <row r="99" spans="2:9">
      <c r="B99" s="1047"/>
      <c r="C99" s="432" t="s">
        <v>2940</v>
      </c>
      <c r="F99" s="4897"/>
      <c r="G99" s="4897"/>
      <c r="I99" s="1049"/>
    </row>
    <row r="100" spans="2:9">
      <c r="B100" s="1047"/>
      <c r="C100" s="432" t="s">
        <v>2941</v>
      </c>
      <c r="F100" s="4898"/>
      <c r="G100" s="4898"/>
      <c r="I100" s="1049"/>
    </row>
    <row r="101" spans="2:9">
      <c r="B101" s="1047"/>
      <c r="C101" s="560" t="s">
        <v>2942</v>
      </c>
      <c r="F101" s="4894">
        <f>+SUM(F98:G100)</f>
        <v>0</v>
      </c>
      <c r="G101" s="4894"/>
      <c r="I101" s="1049"/>
    </row>
    <row r="102" spans="2:9">
      <c r="B102" s="1047"/>
      <c r="I102" s="1049"/>
    </row>
    <row r="103" spans="2:9">
      <c r="B103" s="1066" t="s">
        <v>2943</v>
      </c>
      <c r="F103" s="4893">
        <f>'Part II-Sources of Funds'!I48+'Part II-Sources of Funds'!I49</f>
        <v>0</v>
      </c>
      <c r="G103" s="4893"/>
      <c r="I103" s="1049"/>
    </row>
    <row r="104" spans="2:9">
      <c r="B104" s="1047"/>
      <c r="I104" s="1076" t="s">
        <v>2944</v>
      </c>
    </row>
    <row r="105" spans="2:9">
      <c r="B105" s="1047" t="s">
        <v>2945</v>
      </c>
      <c r="F105" s="4893">
        <f>+F103+F101+F95+F89</f>
        <v>11822193.003224948</v>
      </c>
      <c r="G105" s="4893"/>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2" t="s">
        <v>674</v>
      </c>
      <c r="B2" s="4923"/>
      <c r="C2" s="4923"/>
      <c r="D2" s="4923"/>
      <c r="E2" s="4923"/>
      <c r="F2" s="4923"/>
      <c r="G2" s="4923"/>
      <c r="H2" s="4923"/>
      <c r="I2" s="4923"/>
      <c r="J2" s="4923"/>
      <c r="K2" s="4923"/>
      <c r="L2" s="4923"/>
      <c r="M2" s="4923"/>
      <c r="N2" s="4923"/>
      <c r="O2" s="4923"/>
      <c r="P2" s="4923"/>
      <c r="Q2" s="4923"/>
      <c r="R2" s="492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5" t="s">
        <v>6617</v>
      </c>
      <c r="R11" s="4925"/>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8">
        <v>0.1</v>
      </c>
      <c r="R12" s="4909"/>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7" t="s">
        <v>3907</v>
      </c>
      <c r="R13" s="4907"/>
      <c r="S13" s="144"/>
      <c r="T13" s="144"/>
      <c r="U13" s="144"/>
      <c r="AA13" s="68"/>
      <c r="AB13" s="68"/>
    </row>
    <row r="14" spans="1:28" s="145" customFormat="1" ht="12.75" hidden="1" customHeight="1">
      <c r="A14" s="147"/>
      <c r="B14" s="147"/>
      <c r="C14" s="147"/>
      <c r="K14" s="236" t="s">
        <v>3908</v>
      </c>
      <c r="L14" s="236"/>
      <c r="N14" s="234"/>
      <c r="O14" s="147"/>
      <c r="P14" s="144"/>
      <c r="Q14" s="4905">
        <v>0.2</v>
      </c>
      <c r="R14" s="4906"/>
      <c r="S14" s="144"/>
      <c r="T14" s="144"/>
      <c r="U14" s="144"/>
      <c r="AA14" s="68"/>
      <c r="AB14" s="68"/>
    </row>
    <row r="15" spans="1:28" s="145" customFormat="1" ht="12.75" hidden="1" customHeight="1">
      <c r="A15" s="147"/>
      <c r="B15" s="147"/>
      <c r="C15" s="147"/>
      <c r="K15" s="236" t="s">
        <v>3909</v>
      </c>
      <c r="L15" s="236"/>
      <c r="N15" s="234"/>
      <c r="O15" s="147"/>
      <c r="P15" s="144"/>
      <c r="Q15" s="4928">
        <v>0.15</v>
      </c>
      <c r="R15" s="4929"/>
      <c r="S15" s="144"/>
      <c r="T15" s="144"/>
      <c r="U15" s="144"/>
      <c r="AA15" s="68"/>
      <c r="AB15" s="68"/>
    </row>
    <row r="16" spans="1:28" s="145" customFormat="1" ht="12.75" hidden="1" customHeight="1">
      <c r="A16" s="147"/>
      <c r="B16" s="147"/>
      <c r="C16" s="147"/>
      <c r="K16" s="236" t="s">
        <v>3910</v>
      </c>
      <c r="L16" s="236"/>
      <c r="N16" s="234"/>
      <c r="O16" s="147"/>
      <c r="P16" s="144"/>
      <c r="Q16" s="4928">
        <v>0.15</v>
      </c>
      <c r="R16" s="4929"/>
      <c r="S16" s="144"/>
      <c r="T16" s="144"/>
      <c r="U16" s="144"/>
      <c r="AA16" s="68"/>
      <c r="AB16" s="68"/>
    </row>
    <row r="17" spans="1:28" s="145" customFormat="1" ht="12.75" hidden="1" customHeight="1">
      <c r="A17" s="147"/>
      <c r="B17" s="147"/>
      <c r="C17" s="147"/>
      <c r="K17" s="236" t="s">
        <v>3911</v>
      </c>
      <c r="L17" s="236"/>
      <c r="N17" s="234"/>
      <c r="O17" s="147"/>
      <c r="P17" s="144"/>
      <c r="Q17" s="4928">
        <v>0.1</v>
      </c>
      <c r="R17" s="4929"/>
      <c r="S17" s="144"/>
      <c r="T17" s="144"/>
      <c r="U17" s="144"/>
      <c r="AA17" s="68"/>
      <c r="AB17" s="68"/>
    </row>
    <row r="18" spans="1:28" s="145" customFormat="1" ht="12.75" hidden="1" customHeight="1">
      <c r="A18" s="147"/>
      <c r="B18" s="147"/>
      <c r="C18" s="147"/>
      <c r="K18" s="236" t="s">
        <v>3912</v>
      </c>
      <c r="L18" s="236"/>
      <c r="N18" s="234"/>
      <c r="O18" s="147"/>
      <c r="P18" s="144"/>
      <c r="Q18" s="4926">
        <v>0.1</v>
      </c>
      <c r="R18" s="4927"/>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5">
        <v>1000</v>
      </c>
      <c r="R42" s="491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5">
        <v>500</v>
      </c>
      <c r="R43" s="4916"/>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2">
        <v>2500</v>
      </c>
      <c r="R44" s="4913"/>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2">
        <v>2500</v>
      </c>
      <c r="R45" s="4913"/>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2">
        <v>2000</v>
      </c>
      <c r="R46" s="4913"/>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5">
        <v>1500</v>
      </c>
      <c r="R47" s="4916"/>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12">
        <v>6500</v>
      </c>
      <c r="R48" s="4913"/>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12">
        <v>5500</v>
      </c>
      <c r="R49" s="4913"/>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2">
        <v>500</v>
      </c>
      <c r="R50" s="4913"/>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12">
        <v>10000</v>
      </c>
      <c r="R51" s="4913"/>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2">
        <v>8000</v>
      </c>
      <c r="R52" s="4913"/>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2">
        <v>1500</v>
      </c>
      <c r="R53" s="4913"/>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12">
        <v>1500</v>
      </c>
      <c r="R54" s="4913"/>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12">
        <v>2500</v>
      </c>
      <c r="R55" s="4913"/>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14">
        <v>0.08</v>
      </c>
      <c r="R56" s="4914"/>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4">
        <v>0.08</v>
      </c>
      <c r="R57" s="4914"/>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12">
        <v>8000</v>
      </c>
      <c r="R58" s="4913"/>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2"/>
      <c r="R59" s="4913"/>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41">
        <v>800</v>
      </c>
      <c r="R60" s="4942"/>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41">
        <v>1000</v>
      </c>
      <c r="R61" s="4942"/>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41">
        <v>800</v>
      </c>
      <c r="R62" s="494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1">
        <v>1500</v>
      </c>
      <c r="R63" s="4942"/>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2">
        <v>750</v>
      </c>
      <c r="R64" s="4563"/>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5">
        <v>75</v>
      </c>
      <c r="R65" s="4916"/>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3">
        <v>27500</v>
      </c>
      <c r="R67" s="4943"/>
      <c r="AA67"/>
      <c r="AB67"/>
    </row>
    <row r="68" spans="1:28" ht="11.25" customHeight="1">
      <c r="F68" s="115"/>
      <c r="H68" s="698"/>
      <c r="J68" s="392">
        <v>51</v>
      </c>
      <c r="K68" s="392">
        <v>70</v>
      </c>
      <c r="Q68" s="4921">
        <v>22000</v>
      </c>
      <c r="R68" s="4921"/>
      <c r="AA68"/>
      <c r="AB68"/>
    </row>
    <row r="69" spans="1:28" ht="11.25" customHeight="1">
      <c r="F69" s="115"/>
      <c r="H69" s="1519"/>
      <c r="I69" s="165"/>
      <c r="J69" s="1520">
        <v>71</v>
      </c>
      <c r="K69" s="1521"/>
      <c r="L69" s="165"/>
      <c r="M69" s="165"/>
      <c r="N69" s="165"/>
      <c r="O69" s="165"/>
      <c r="P69" s="1522"/>
      <c r="Q69" s="4944">
        <v>16500</v>
      </c>
      <c r="R69" s="4944"/>
      <c r="AA69"/>
      <c r="AB69"/>
    </row>
    <row r="70" spans="1:28" ht="11.25" customHeight="1">
      <c r="H70" s="1523">
        <v>0.04</v>
      </c>
      <c r="I70" s="1524"/>
      <c r="J70" s="1525">
        <v>1</v>
      </c>
      <c r="K70" s="1525">
        <v>50</v>
      </c>
      <c r="L70" s="1524"/>
      <c r="M70" s="1524"/>
      <c r="N70" s="1524"/>
      <c r="O70" s="1524"/>
      <c r="P70" s="1526"/>
      <c r="Q70" s="4943">
        <v>27500</v>
      </c>
      <c r="R70" s="4943"/>
      <c r="AA70"/>
      <c r="AB70"/>
    </row>
    <row r="71" spans="1:28" ht="11.25" customHeight="1">
      <c r="H71" s="1296"/>
      <c r="J71" s="392">
        <v>51</v>
      </c>
      <c r="K71" s="392">
        <v>70</v>
      </c>
      <c r="Q71" s="4921">
        <v>22000</v>
      </c>
      <c r="R71" s="4921"/>
      <c r="AA71"/>
      <c r="AB71"/>
    </row>
    <row r="72" spans="1:28" ht="11.25" customHeight="1">
      <c r="H72" s="1296"/>
      <c r="J72" s="392">
        <v>71</v>
      </c>
      <c r="K72" s="1296"/>
      <c r="Q72" s="4944">
        <v>16500</v>
      </c>
      <c r="R72" s="4944"/>
      <c r="AA72"/>
      <c r="AB72"/>
    </row>
    <row r="73" spans="1:28" ht="11.25" customHeight="1">
      <c r="F73" s="236" t="s">
        <v>3915</v>
      </c>
      <c r="H73" s="370"/>
      <c r="I73" s="44"/>
      <c r="AA73"/>
      <c r="AB73"/>
    </row>
    <row r="74" spans="1:28" ht="11.25" customHeight="1">
      <c r="H74" s="1297">
        <v>0.09</v>
      </c>
      <c r="I74" s="236"/>
      <c r="Q74" s="4945">
        <v>2000000</v>
      </c>
      <c r="R74" s="4945"/>
      <c r="AA74"/>
      <c r="AB74"/>
    </row>
    <row r="75" spans="1:28" ht="11.25" customHeight="1">
      <c r="H75" s="1297">
        <v>0.04</v>
      </c>
      <c r="I75" s="236"/>
      <c r="Q75" s="4945">
        <v>3500000</v>
      </c>
      <c r="R75" s="4945"/>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7">
        <v>3500000</v>
      </c>
      <c r="R77" s="4918"/>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9">
        <v>0.15</v>
      </c>
      <c r="R78" s="4920"/>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19">
        <v>0.15</v>
      </c>
      <c r="R79" s="4920"/>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9">
        <v>0.15</v>
      </c>
      <c r="R80" s="4920"/>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9">
        <v>0.15</v>
      </c>
      <c r="R81" s="4920"/>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9">
        <v>0.15</v>
      </c>
      <c r="R82" s="4920"/>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9">
        <v>0.15</v>
      </c>
      <c r="R83" s="4920"/>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9" t="s">
        <v>2190</v>
      </c>
      <c r="R84" s="4920"/>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5">
        <v>3000</v>
      </c>
      <c r="R90" s="491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10">
        <v>0.02</v>
      </c>
      <c r="R98" s="4910"/>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10">
        <v>0.02</v>
      </c>
      <c r="R99" s="4910"/>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1">
        <v>7.0000000000000007E-2</v>
      </c>
      <c r="R100" s="4931"/>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1">
        <v>7.0000000000000007E-2</v>
      </c>
      <c r="R101" s="4931"/>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1">
        <v>0.03</v>
      </c>
      <c r="R102" s="4931"/>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1">
        <v>0.03</v>
      </c>
      <c r="R103" s="4931"/>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30">
        <v>0</v>
      </c>
      <c r="R104" s="493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2">
        <v>0.1</v>
      </c>
      <c r="R106" s="4932"/>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6">
        <v>1225000</v>
      </c>
      <c r="R107" s="4936"/>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37">
        <v>1105000</v>
      </c>
      <c r="R108" s="4937"/>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11">
        <v>1225000</v>
      </c>
      <c r="R109" s="4911"/>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11">
        <v>1105000</v>
      </c>
      <c r="R110" s="4911"/>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39">
        <v>1105000</v>
      </c>
      <c r="R111" s="4940"/>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3">
        <v>1150000</v>
      </c>
      <c r="R112" s="4933"/>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3" t="s">
        <v>6760</v>
      </c>
      <c r="R113" s="4953"/>
      <c r="S113" s="230"/>
      <c r="T113" s="230"/>
      <c r="U113" s="144"/>
      <c r="V113" s="322"/>
      <c r="W113" s="322"/>
      <c r="X113" s="322"/>
      <c r="AA113" s="68"/>
      <c r="AB113" s="68"/>
    </row>
    <row r="114" spans="1:28" ht="12.75" customHeight="1">
      <c r="G114" s="2009"/>
      <c r="H114" s="147" t="s">
        <v>2392</v>
      </c>
      <c r="J114" s="4964">
        <v>0.35</v>
      </c>
      <c r="K114" s="4964"/>
      <c r="L114" s="147"/>
      <c r="M114" s="147"/>
      <c r="N114" s="147"/>
      <c r="O114" s="147"/>
      <c r="P114" s="144"/>
      <c r="Q114" s="4938">
        <v>1105000</v>
      </c>
      <c r="R114" s="4938"/>
    </row>
    <row r="115" spans="1:28" ht="11.25" customHeight="1">
      <c r="G115" s="147"/>
      <c r="H115" s="147" t="s">
        <v>6100</v>
      </c>
      <c r="I115" s="144"/>
      <c r="J115" s="4965">
        <v>0.35</v>
      </c>
      <c r="K115" s="4965"/>
      <c r="L115" s="147"/>
      <c r="M115" s="147"/>
      <c r="N115" s="147"/>
      <c r="O115" s="147"/>
      <c r="P115" s="144"/>
      <c r="Q115" s="4911">
        <v>1225000</v>
      </c>
      <c r="R115" s="4911"/>
    </row>
    <row r="116" spans="1:28" ht="11.25" customHeight="1">
      <c r="A116" s="229"/>
      <c r="G116" s="147"/>
      <c r="H116" s="147" t="s">
        <v>3021</v>
      </c>
      <c r="I116" s="144"/>
      <c r="J116" s="4952">
        <v>0.3</v>
      </c>
      <c r="K116" s="4952"/>
      <c r="L116" s="147"/>
      <c r="M116" s="147"/>
      <c r="N116" s="147"/>
      <c r="O116" s="147"/>
      <c r="P116" s="144"/>
      <c r="Q116" s="4963">
        <v>1225000</v>
      </c>
      <c r="R116" s="4963"/>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4"/>
      <c r="R118" s="4935"/>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8">
        <v>4000000</v>
      </c>
      <c r="R119" s="4968"/>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61">
        <v>1035000</v>
      </c>
      <c r="R120" s="4962"/>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60">
        <v>0.05</v>
      </c>
      <c r="R122" s="4960"/>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8">
        <v>0.4</v>
      </c>
      <c r="R123" s="4958"/>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9">
        <v>0.02</v>
      </c>
      <c r="R124" s="4959"/>
      <c r="S124" s="144"/>
      <c r="T124" s="144"/>
      <c r="U124" s="144"/>
      <c r="V124" s="715"/>
      <c r="W124" s="715"/>
      <c r="X124" s="148"/>
      <c r="AA124" s="68"/>
      <c r="AB124" s="68"/>
    </row>
    <row r="125" spans="1:28" s="145" customFormat="1" ht="12.75" customHeight="1">
      <c r="A125" s="4969" t="s">
        <v>6756</v>
      </c>
      <c r="B125" s="4969"/>
      <c r="C125" s="2002"/>
      <c r="D125" s="4971"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9"/>
      <c r="B126" s="4969"/>
      <c r="C126" s="2001">
        <v>2022</v>
      </c>
      <c r="D126" s="4972"/>
      <c r="E126" s="239"/>
      <c r="F126" s="239"/>
      <c r="G126" s="239"/>
      <c r="H126" s="239"/>
      <c r="I126" s="239"/>
    </row>
    <row r="127" spans="1:28" ht="13.5">
      <c r="A127" s="4969"/>
      <c r="B127" s="4969"/>
      <c r="C127" s="147"/>
      <c r="D127" s="4972"/>
      <c r="H127" s="4966" t="s">
        <v>6754</v>
      </c>
      <c r="J127" s="142" t="s">
        <v>748</v>
      </c>
      <c r="K127" s="142"/>
      <c r="L127" s="223"/>
    </row>
    <row r="128" spans="1:28" ht="13.5">
      <c r="C128" s="715" t="s">
        <v>751</v>
      </c>
      <c r="D128" s="1304" t="s">
        <v>2995</v>
      </c>
      <c r="F128" s="715" t="s">
        <v>6752</v>
      </c>
      <c r="H128" s="4967"/>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3401</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4">
        <v>2019</v>
      </c>
      <c r="D302" s="4970"/>
      <c r="E302" s="4970"/>
      <c r="F302" s="4970"/>
      <c r="G302" s="4954">
        <v>2020</v>
      </c>
      <c r="H302" s="4954"/>
      <c r="I302" s="4954"/>
      <c r="J302" s="4954"/>
      <c r="L302" s="4955" t="s">
        <v>4057</v>
      </c>
      <c r="M302" s="4956"/>
      <c r="N302" s="4956"/>
      <c r="O302" s="4957"/>
      <c r="P302" s="241" t="s">
        <v>740</v>
      </c>
      <c r="Q302" s="241"/>
      <c r="R302" s="147"/>
      <c r="S302" s="236"/>
      <c r="T302" s="236" t="s">
        <v>643</v>
      </c>
      <c r="U302" s="236" t="s">
        <v>2020</v>
      </c>
      <c r="W302" s="44" t="s">
        <v>1361</v>
      </c>
      <c r="X302" s="44" t="s">
        <v>3018</v>
      </c>
      <c r="AA302"/>
      <c r="AB302"/>
      <c r="AC302" s="380"/>
      <c r="AD302" s="68"/>
    </row>
    <row r="303" spans="3:30" ht="10.5" customHeight="1">
      <c r="C303" s="4946" t="s">
        <v>3961</v>
      </c>
      <c r="D303" s="4949" t="s">
        <v>3962</v>
      </c>
      <c r="E303" s="4949" t="s">
        <v>3963</v>
      </c>
      <c r="F303" s="4949" t="s">
        <v>3964</v>
      </c>
      <c r="G303" s="4946" t="s">
        <v>3961</v>
      </c>
      <c r="H303" s="4949" t="s">
        <v>3962</v>
      </c>
      <c r="I303" s="4949" t="s">
        <v>3963</v>
      </c>
      <c r="J303" s="4949" t="s">
        <v>3964</v>
      </c>
      <c r="L303" s="4946" t="s">
        <v>3961</v>
      </c>
      <c r="M303" s="4949" t="s">
        <v>3962</v>
      </c>
      <c r="N303" s="4949" t="s">
        <v>3963</v>
      </c>
      <c r="O303" s="4949" t="s">
        <v>3964</v>
      </c>
      <c r="P303" s="241" t="s">
        <v>2227</v>
      </c>
      <c r="Q303" s="241"/>
      <c r="R303" s="147"/>
      <c r="S303" s="236"/>
      <c r="T303" s="392" t="s">
        <v>148</v>
      </c>
      <c r="U303" s="392" t="s">
        <v>1738</v>
      </c>
      <c r="W303" s="44" t="s">
        <v>1479</v>
      </c>
      <c r="X303" s="44" t="s">
        <v>3018</v>
      </c>
      <c r="AA303"/>
      <c r="AB303"/>
      <c r="AC303" s="68"/>
      <c r="AD303" s="68"/>
    </row>
    <row r="304" spans="3:30" ht="10.5" customHeight="1">
      <c r="C304" s="4947"/>
      <c r="D304" s="4950"/>
      <c r="E304" s="4950"/>
      <c r="F304" s="4950"/>
      <c r="G304" s="4947"/>
      <c r="H304" s="4950"/>
      <c r="I304" s="4950"/>
      <c r="J304" s="4950"/>
      <c r="L304" s="4947"/>
      <c r="M304" s="4950"/>
      <c r="N304" s="4950"/>
      <c r="O304" s="4950"/>
      <c r="P304" s="241" t="s">
        <v>2228</v>
      </c>
      <c r="Q304" s="241"/>
      <c r="R304" s="147"/>
      <c r="S304" s="236"/>
      <c r="T304" s="392" t="s">
        <v>189</v>
      </c>
      <c r="U304" s="392" t="s">
        <v>585</v>
      </c>
      <c r="W304" s="44" t="s">
        <v>1967</v>
      </c>
      <c r="X304" s="44" t="s">
        <v>3018</v>
      </c>
      <c r="AA304"/>
      <c r="AB304"/>
      <c r="AC304" s="380"/>
      <c r="AD304" s="68"/>
    </row>
    <row r="305" spans="3:30" ht="10.5" customHeight="1">
      <c r="C305" s="4947"/>
      <c r="D305" s="4950"/>
      <c r="E305" s="4950"/>
      <c r="F305" s="4950"/>
      <c r="G305" s="4947"/>
      <c r="H305" s="4950"/>
      <c r="I305" s="4950"/>
      <c r="J305" s="4950"/>
      <c r="L305" s="4947"/>
      <c r="M305" s="4950"/>
      <c r="N305" s="4950"/>
      <c r="O305" s="4950"/>
      <c r="P305" s="241" t="s">
        <v>2230</v>
      </c>
      <c r="Q305" s="241"/>
      <c r="R305" s="147"/>
      <c r="S305" s="236"/>
      <c r="T305" s="392" t="s">
        <v>2365</v>
      </c>
      <c r="U305" s="392" t="s">
        <v>1864</v>
      </c>
      <c r="W305" s="44" t="s">
        <v>1969</v>
      </c>
      <c r="X305" s="44" t="s">
        <v>3018</v>
      </c>
      <c r="AA305"/>
      <c r="AB305"/>
      <c r="AC305" s="380"/>
      <c r="AD305" s="68"/>
    </row>
    <row r="306" spans="3:30" ht="10.5" customHeight="1">
      <c r="C306" s="4947"/>
      <c r="D306" s="4950"/>
      <c r="E306" s="4950"/>
      <c r="F306" s="4950"/>
      <c r="G306" s="4947"/>
      <c r="H306" s="4950"/>
      <c r="I306" s="4950"/>
      <c r="J306" s="4950"/>
      <c r="L306" s="4947"/>
      <c r="M306" s="4950"/>
      <c r="N306" s="4950"/>
      <c r="O306" s="4950"/>
      <c r="P306" s="241" t="s">
        <v>2232</v>
      </c>
      <c r="Q306" s="241"/>
      <c r="R306" s="147"/>
      <c r="S306" s="236"/>
      <c r="T306" s="392" t="s">
        <v>737</v>
      </c>
      <c r="U306" s="392" t="s">
        <v>100</v>
      </c>
      <c r="W306" s="44" t="s">
        <v>1352</v>
      </c>
      <c r="X306" s="44" t="s">
        <v>3018</v>
      </c>
      <c r="AA306"/>
      <c r="AB306"/>
      <c r="AC306" s="380"/>
      <c r="AD306" s="68"/>
    </row>
    <row r="307" spans="3:30" ht="10.5" customHeight="1">
      <c r="C307" s="4947"/>
      <c r="D307" s="4950"/>
      <c r="E307" s="4950"/>
      <c r="F307" s="4950"/>
      <c r="G307" s="4947"/>
      <c r="H307" s="4950"/>
      <c r="I307" s="4950"/>
      <c r="J307" s="4950"/>
      <c r="L307" s="4947"/>
      <c r="M307" s="4950"/>
      <c r="N307" s="4950"/>
      <c r="O307" s="4950"/>
      <c r="P307" s="241" t="s">
        <v>2233</v>
      </c>
      <c r="Q307" s="241"/>
      <c r="R307" s="147"/>
      <c r="S307" s="236"/>
      <c r="T307" s="392" t="s">
        <v>739</v>
      </c>
      <c r="U307" s="392" t="s">
        <v>116</v>
      </c>
      <c r="W307" s="44" t="s">
        <v>1453</v>
      </c>
      <c r="X307" s="44" t="s">
        <v>3018</v>
      </c>
      <c r="AA307"/>
      <c r="AB307"/>
      <c r="AC307" s="380"/>
      <c r="AD307" s="68"/>
    </row>
    <row r="308" spans="3:30" ht="10.5" customHeight="1">
      <c r="C308" s="4948"/>
      <c r="D308" s="4951"/>
      <c r="E308" s="4951"/>
      <c r="F308" s="4951"/>
      <c r="G308" s="4948"/>
      <c r="H308" s="4951"/>
      <c r="I308" s="4951"/>
      <c r="J308" s="4951"/>
      <c r="L308" s="4948"/>
      <c r="M308" s="4951"/>
      <c r="N308" s="4951"/>
      <c r="O308" s="4951"/>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Hartwell, The Bridges at Lincom,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6949</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6950</v>
      </c>
      <c r="H5" s="1819"/>
      <c r="I5" s="1819"/>
      <c r="J5" s="1819"/>
      <c r="K5" s="1819"/>
      <c r="L5" s="2615"/>
      <c r="M5" s="1819"/>
      <c r="N5" s="1819"/>
      <c r="O5" s="1819"/>
      <c r="P5" s="2620" t="s">
        <v>3289</v>
      </c>
    </row>
    <row r="6" spans="1:26" ht="14.25" customHeight="1">
      <c r="A6" s="2618"/>
      <c r="B6" s="2618"/>
      <c r="C6" s="2618"/>
      <c r="D6" s="2618"/>
      <c r="E6" s="2621"/>
      <c r="F6" s="2615"/>
      <c r="G6" s="2619" t="s">
        <v>6951</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1101315</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6952</v>
      </c>
      <c r="J11" s="2614" t="s">
        <v>6953</v>
      </c>
      <c r="K11" s="2614"/>
      <c r="L11" s="1622"/>
      <c r="M11" s="1819"/>
      <c r="N11" s="1819"/>
      <c r="O11" s="1819" t="str">
        <f>'Part I-Project Identification'!O12</f>
        <v>2023PA-008</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NAHPA, Inc. (Nat'l Aff Hsg Pres Associates, Inc.)</v>
      </c>
      <c r="G14" s="1819"/>
      <c r="H14" s="1819"/>
      <c r="I14" s="1819" t="s">
        <v>1670</v>
      </c>
      <c r="J14" s="1819" t="str">
        <f>'Part I-Project Identification'!J15</f>
        <v>Mark E. English</v>
      </c>
      <c r="K14" s="1819"/>
      <c r="L14" s="1819"/>
      <c r="M14" s="2623" t="s">
        <v>1839</v>
      </c>
      <c r="N14" s="1819" t="str">
        <f>'Part I-Project Identification'!N15</f>
        <v>President of General Partner</v>
      </c>
      <c r="O14" s="1819"/>
      <c r="P14" s="1819"/>
    </row>
    <row r="15" spans="1:26" s="1819" customFormat="1" ht="12.75" customHeight="1">
      <c r="B15" s="2623" t="s">
        <v>1599</v>
      </c>
      <c r="F15" s="2628">
        <f>'Part I-Project Identification'!F16</f>
        <v>2057229331</v>
      </c>
      <c r="G15" s="2628"/>
      <c r="H15" s="2628"/>
      <c r="I15" s="2623" t="s">
        <v>1598</v>
      </c>
      <c r="J15" s="2629">
        <f>'Part I-Project Identification'!J16</f>
        <v>0</v>
      </c>
      <c r="M15" s="2623" t="s">
        <v>1600</v>
      </c>
      <c r="N15" s="2628">
        <f>'Part I-Project Identification'!N16</f>
        <v>2057229331</v>
      </c>
      <c r="O15" s="2628"/>
      <c r="P15" s="2628"/>
      <c r="Q15" s="357"/>
      <c r="R15" s="357"/>
      <c r="S15" s="357"/>
      <c r="V15" s="2630"/>
      <c r="W15" s="2630"/>
      <c r="X15" s="2630"/>
      <c r="Z15" s="1622">
        <v>18</v>
      </c>
    </row>
    <row r="16" spans="1:26" s="1819" customFormat="1">
      <c r="B16" s="2623" t="s">
        <v>1842</v>
      </c>
      <c r="F16" s="2631" t="str">
        <f>'Part I-Project Identification'!F17</f>
        <v>mark@nahpa.org</v>
      </c>
      <c r="G16" s="2631"/>
      <c r="H16" s="2631"/>
      <c r="I16" s="2631"/>
      <c r="J16" s="2631"/>
      <c r="K16" s="2631"/>
      <c r="L16" s="2631"/>
      <c r="M16" s="2623" t="s">
        <v>1838</v>
      </c>
      <c r="N16" s="2628">
        <f>'Part I-Project Identification'!N17</f>
        <v>2053948000</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Vantage Development, LLC</v>
      </c>
      <c r="G18" s="1819"/>
      <c r="H18" s="1819"/>
      <c r="I18" s="1819" t="s">
        <v>1670</v>
      </c>
      <c r="J18" s="1819" t="str">
        <f>'Part I-Project Identification'!J19</f>
        <v>Jordan Wilson</v>
      </c>
      <c r="K18" s="1819"/>
      <c r="L18" s="1819"/>
      <c r="M18" s="2623" t="s">
        <v>1839</v>
      </c>
      <c r="N18" s="1819" t="str">
        <f>'Part I-Project Identification'!N19</f>
        <v>Development Director for Consultant</v>
      </c>
      <c r="O18" s="1819"/>
      <c r="P18" s="1819"/>
    </row>
    <row r="19" spans="1:26" s="1819" customFormat="1" ht="12.75" customHeight="1">
      <c r="B19" s="2623" t="s">
        <v>1599</v>
      </c>
      <c r="F19" s="2628">
        <f>'Part I-Project Identification'!F20</f>
        <v>2564174920</v>
      </c>
      <c r="G19" s="2628"/>
      <c r="H19" s="2628"/>
      <c r="I19" s="2623" t="s">
        <v>1598</v>
      </c>
      <c r="J19" s="2629">
        <f>'Part I-Project Identification'!J20</f>
        <v>288</v>
      </c>
      <c r="M19" s="2623" t="s">
        <v>1600</v>
      </c>
      <c r="N19" s="2628">
        <f>'Part I-Project Identification'!N20</f>
        <v>4234132650</v>
      </c>
      <c r="O19" s="2628"/>
      <c r="P19" s="2628"/>
      <c r="Q19" s="357"/>
      <c r="R19" s="357"/>
      <c r="S19" s="357"/>
      <c r="V19" s="2630"/>
      <c r="W19" s="2630"/>
      <c r="X19" s="2630"/>
      <c r="Z19" s="1622">
        <v>18</v>
      </c>
    </row>
    <row r="20" spans="1:26" s="1819" customFormat="1">
      <c r="B20" s="2623" t="s">
        <v>1842</v>
      </c>
      <c r="F20" s="2631" t="str">
        <f>'Part I-Project Identification'!F21</f>
        <v>jwilson@thevantagegroup.biz</v>
      </c>
      <c r="G20" s="2631"/>
      <c r="H20" s="2631"/>
      <c r="I20" s="2631"/>
      <c r="J20" s="2631"/>
      <c r="K20" s="2631"/>
      <c r="L20" s="2631"/>
      <c r="M20" s="2623" t="s">
        <v>1838</v>
      </c>
      <c r="N20" s="2628">
        <f>'Part I-Project Identification'!N21</f>
        <v>4234132650</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The Bridges at Lincom</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Hartwell</v>
      </c>
      <c r="G25" s="1819"/>
      <c r="H25" s="1819"/>
      <c r="I25" s="2632" t="s">
        <v>576</v>
      </c>
      <c r="J25" s="1819" t="str">
        <f>'Part I-Project Identification'!J26</f>
        <v>Hart</v>
      </c>
      <c r="K25" s="1819"/>
      <c r="L25" s="1819"/>
      <c r="M25" s="2623" t="s">
        <v>426</v>
      </c>
      <c r="N25" s="1819"/>
      <c r="O25" s="1819"/>
      <c r="P25" s="2545" t="str">
        <f>'Part I-Project Identification'!P26</f>
        <v>Yes</v>
      </c>
    </row>
    <row r="26" spans="1:26" ht="13.5">
      <c r="A26" s="2615"/>
      <c r="B26" s="1819" t="s">
        <v>3906</v>
      </c>
      <c r="C26" s="2633"/>
      <c r="D26" s="1681"/>
      <c r="E26" s="1681"/>
      <c r="F26" s="1819" t="str">
        <f>'Part I-Project Identification'!F27</f>
        <v>City Limits</v>
      </c>
      <c r="G26" s="1819"/>
      <c r="H26" s="1819"/>
      <c r="I26" s="1622"/>
      <c r="J26" s="379" t="s">
        <v>6723</v>
      </c>
      <c r="K26" s="1622"/>
      <c r="L26" s="1819"/>
      <c r="M26" s="2623" t="s">
        <v>6666</v>
      </c>
      <c r="N26" s="1819"/>
      <c r="O26" s="2634">
        <f>'Part I-Project Identification'!O27</f>
        <v>5.726</v>
      </c>
      <c r="P26" s="2634"/>
    </row>
    <row r="27" spans="1:26">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Hart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409.5">
      <c r="A40" s="2639" t="str">
        <f>'Part I-Project Identification'!A41</f>
        <v>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The Bridges at Lincom, Hartwell, Hart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No</v>
      </c>
      <c r="M58" s="2644" t="s">
        <v>6082</v>
      </c>
      <c r="N58" s="2641"/>
      <c r="O58" s="2641"/>
      <c r="P58" s="2641"/>
      <c r="Q58" s="2641"/>
    </row>
    <row r="59" spans="1:17" ht="13.5">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25.5">
      <c r="A65" s="1819"/>
      <c r="B65" s="1819" t="s">
        <v>1486</v>
      </c>
      <c r="C65" s="1819"/>
      <c r="D65" s="1819"/>
      <c r="E65" s="1819"/>
      <c r="F65" s="1819"/>
      <c r="G65" s="1819"/>
      <c r="H65" s="2645" t="str">
        <f>'Part II-Sources of Funds'!H22</f>
        <v>TBD - Synovus</v>
      </c>
      <c r="I65" s="2645"/>
      <c r="J65" s="2645"/>
      <c r="K65" s="2645"/>
      <c r="L65" s="2547">
        <f>'Part II-Sources of Funds'!L22</f>
        <v>11810278</v>
      </c>
      <c r="M65" s="2547"/>
      <c r="N65" s="2548">
        <f>'Part II-Sources of Funds'!N22</f>
        <v>8.2500000000000004E-2</v>
      </c>
      <c r="O65" s="2548"/>
      <c r="P65" s="2549">
        <f>'Part II-Sources of Funds'!P22</f>
        <v>24</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25.5">
      <c r="A71" s="1819"/>
      <c r="B71" s="1819" t="s">
        <v>746</v>
      </c>
      <c r="C71" s="1819"/>
      <c r="D71" s="1819"/>
      <c r="E71" s="1819"/>
      <c r="F71" s="2641"/>
      <c r="G71" s="2641"/>
      <c r="H71" s="2645" t="str">
        <f>'Part II-Sources of Funds'!H28</f>
        <v>TBD - Synovus</v>
      </c>
      <c r="I71" s="2645"/>
      <c r="J71" s="2645"/>
      <c r="K71" s="2645"/>
      <c r="L71" s="2547">
        <f>'Part II-Sources of Funds'!L28</f>
        <v>1828183</v>
      </c>
      <c r="M71" s="2547"/>
      <c r="N71" s="1819"/>
      <c r="O71" s="2641"/>
      <c r="P71" s="2641"/>
      <c r="Q71" s="1819"/>
    </row>
    <row r="72" spans="1:17" ht="63.75">
      <c r="A72" s="1819"/>
      <c r="B72" s="1819" t="s">
        <v>747</v>
      </c>
      <c r="C72" s="1819"/>
      <c r="D72" s="1819"/>
      <c r="E72" s="1819"/>
      <c r="F72" s="2641"/>
      <c r="G72" s="2641"/>
      <c r="H72" s="2645" t="str">
        <f>'Part II-Sources of Funds'!H29</f>
        <v>TBD - Sugar Creek (incl'd 1% Fed.)</v>
      </c>
      <c r="I72" s="2645"/>
      <c r="J72" s="2645"/>
      <c r="K72" s="2645"/>
      <c r="L72" s="2547">
        <f>'Part II-Sources of Funds'!L29</f>
        <v>1123341</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14761802</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14009780</v>
      </c>
      <c r="M77" s="2550"/>
      <c r="N77" s="2646"/>
      <c r="O77" s="2641"/>
      <c r="P77" s="2641"/>
      <c r="Q77" s="2641"/>
    </row>
    <row r="78" spans="1:17" ht="13.5">
      <c r="A78" s="1819"/>
      <c r="B78" s="2623" t="s">
        <v>2002</v>
      </c>
      <c r="C78" s="1819"/>
      <c r="D78" s="1819"/>
      <c r="E78" s="1819"/>
      <c r="F78" s="1819"/>
      <c r="G78" s="1819"/>
      <c r="H78" s="1819"/>
      <c r="I78" s="1819"/>
      <c r="J78" s="2641"/>
      <c r="K78" s="2641"/>
      <c r="L78" s="2647">
        <f>L76-L77</f>
        <v>752022</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25.5">
      <c r="A83" s="1819"/>
      <c r="B83" s="1819" t="s">
        <v>2402</v>
      </c>
      <c r="C83" s="1819"/>
      <c r="D83" s="1819"/>
      <c r="E83" s="2645" t="str">
        <f>'Part II-Sources of Funds'!E40</f>
        <v>TBD - United Bank</v>
      </c>
      <c r="F83" s="2645"/>
      <c r="G83" s="2645"/>
      <c r="H83" s="2645"/>
      <c r="I83" s="2648">
        <f>'Part II-Sources of Funds'!I40</f>
        <v>1068777</v>
      </c>
      <c r="J83" s="1819"/>
      <c r="K83" s="2649">
        <f>'Part II-Sources of Funds'!K40</f>
        <v>8.2500000000000004E-2</v>
      </c>
      <c r="L83" s="1622">
        <f>'Part II-Sources of Funds'!L40</f>
        <v>20</v>
      </c>
      <c r="M83" s="1622">
        <f>'Part II-Sources of Funds'!M40</f>
        <v>20</v>
      </c>
      <c r="N83" s="1819" t="str">
        <f>'Part II-Sources of Funds'!N40</f>
        <v>Amortizing</v>
      </c>
      <c r="O83" s="1819"/>
      <c r="P83" s="2551">
        <f>'Part II-Sources of Funds'!P40</f>
        <v>109280.22</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8.25">
      <c r="A88" s="1819"/>
      <c r="B88" s="1819" t="s">
        <v>220</v>
      </c>
      <c r="C88" s="1819"/>
      <c r="D88" s="2650">
        <f>'Part II-Sources of Funds'!D45</f>
        <v>6.2542720437457284E-4</v>
      </c>
      <c r="E88" s="2645" t="str">
        <f>'Part II-Sources of Funds'!E45</f>
        <v>NAHPA Development, LLC</v>
      </c>
      <c r="F88" s="2645"/>
      <c r="G88" s="2645"/>
      <c r="H88" s="2645"/>
      <c r="I88" s="2648">
        <f>'Part II-Sources of Funds'!I45</f>
        <v>915</v>
      </c>
      <c r="J88" s="1819"/>
      <c r="K88" s="2649">
        <f>'Part II-Sources of Funds'!K45</f>
        <v>0</v>
      </c>
      <c r="L88" s="1622">
        <f>'Part II-Sources of Funds'!L45</f>
        <v>10</v>
      </c>
      <c r="M88" s="1622" t="str">
        <f>'Part II-Sources of Funds'!M45</f>
        <v>N/A</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f>'Part II-Sources of Funds'!F47</f>
        <v>283725.51952384668</v>
      </c>
      <c r="G90" s="2641"/>
      <c r="H90" s="2654" t="s">
        <v>3404</v>
      </c>
      <c r="I90" s="2653">
        <f>'Part II-Sources of Funds'!I47</f>
        <v>915</v>
      </c>
      <c r="J90" s="2641"/>
      <c r="K90" s="2654" t="s">
        <v>3406</v>
      </c>
      <c r="L90" s="2655">
        <f>'Part II-Sources of Funds'!L47</f>
        <v>3.2249478352725184E-3</v>
      </c>
      <c r="M90" s="2655"/>
      <c r="N90" s="2551" t="s">
        <v>3847</v>
      </c>
      <c r="O90" s="2551"/>
      <c r="P90" s="1820">
        <f>'Part II-Sources of Funds'!P47</f>
        <v>9.1450002044439316E-2</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25.5">
      <c r="A94" s="1819"/>
      <c r="B94" s="1819" t="s">
        <v>746</v>
      </c>
      <c r="C94" s="1819"/>
      <c r="D94" s="1819"/>
      <c r="E94" s="2645" t="str">
        <f>'Part II-Sources of Funds'!E51</f>
        <v>TBD - Synovus</v>
      </c>
      <c r="F94" s="2645"/>
      <c r="G94" s="2645"/>
      <c r="H94" s="2645"/>
      <c r="I94" s="2648">
        <f>'Part II-Sources of Funds'!I51</f>
        <v>9048591.2635499984</v>
      </c>
      <c r="J94" s="1819"/>
      <c r="K94" s="2641"/>
      <c r="L94" s="2659">
        <f>'Part II-Sources of Funds'!L51</f>
        <v>9140914.5</v>
      </c>
      <c r="M94" s="2659"/>
      <c r="N94" s="2660">
        <f>I94-L94</f>
        <v>-92323.236450001597</v>
      </c>
      <c r="O94" s="2660"/>
      <c r="P94" s="2661">
        <f>I94/I104</f>
        <v>0.57174037274998557</v>
      </c>
      <c r="Q94" s="1819"/>
    </row>
    <row r="95" spans="1:17" ht="63.75">
      <c r="A95" s="1819"/>
      <c r="B95" s="1819" t="s">
        <v>747</v>
      </c>
      <c r="C95" s="1819"/>
      <c r="D95" s="1819"/>
      <c r="E95" s="2645" t="str">
        <f>'Part II-Sources of Funds'!E52</f>
        <v>TBD - Sugar Creek (incl'd 1% Fed.)</v>
      </c>
      <c r="F95" s="2645"/>
      <c r="G95" s="2645"/>
      <c r="H95" s="2645"/>
      <c r="I95" s="2648">
        <f>'Part II-Sources of Funds'!I52</f>
        <v>5708115.6449999996</v>
      </c>
      <c r="J95" s="1819"/>
      <c r="K95" s="2641"/>
      <c r="L95" s="2659">
        <f>'Part II-Sources of Funds'!L52</f>
        <v>5616706.5</v>
      </c>
      <c r="M95" s="2659"/>
      <c r="N95" s="2660">
        <f>I95-L95</f>
        <v>91409.144999999553</v>
      </c>
      <c r="O95" s="2660"/>
      <c r="P95" s="2661">
        <f>I95/I104</f>
        <v>0.36067052555669799</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0.93241089830668356</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15826398.908549998</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15826399</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-9.1450002044439316E-2</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 xml:space="preserve">All sources and uses are verifiable. Commitments for the above listed financing are located in Tab 01: Feasibility. Please note that there will be no shortfall of funding during construction.
Interest Rate: 30-day term SOFR plus 275bps. For application purposes we have assumed an 8.25% rate on the construction loan at this time. The perm loan will have a rate of 8.25%.  Additionally, we have included a construction interst rate chart that justifies the construction loan interest amount used in our sources of funds. </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The Bridges at Lincom,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8500</v>
      </c>
      <c r="H122" s="2547"/>
      <c r="I122" s="1819"/>
      <c r="J122" s="2547">
        <f>'Part III-A-Uses of Funds'!J9</f>
        <v>8500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10500</v>
      </c>
      <c r="H123" s="2547"/>
      <c r="I123" s="1819"/>
      <c r="J123" s="2547">
        <f>'Part III-A-Uses of Funds'!J10</f>
        <v>10500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21975</v>
      </c>
      <c r="H124" s="2547"/>
      <c r="I124" s="1819"/>
      <c r="J124" s="2547">
        <f>'Part III-A-Uses of Funds'!J11</f>
        <v>21975</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15000</v>
      </c>
      <c r="H125" s="2547"/>
      <c r="I125" s="1819"/>
      <c r="J125" s="2547">
        <f>'Part III-A-Uses of Funds'!J12</f>
        <v>15000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14000</v>
      </c>
      <c r="H126" s="2547"/>
      <c r="I126" s="1819"/>
      <c r="J126" s="2547">
        <f>'Part III-A-Uses of Funds'!J13</f>
        <v>14000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3460</v>
      </c>
      <c r="H127" s="2547"/>
      <c r="I127" s="1819"/>
      <c r="J127" s="2547">
        <f>'Part III-A-Uses of Funds'!J14</f>
        <v>3460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73435</v>
      </c>
      <c r="H131" s="2547"/>
      <c r="I131" s="1819"/>
      <c r="J131" s="2547">
        <f>SUM(J122:J130)</f>
        <v>73435</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179182.67551519384</v>
      </c>
      <c r="G133" s="2547">
        <f>'Part III-A-Uses of Funds'!G20</f>
        <v>1026000</v>
      </c>
      <c r="H133" s="2547"/>
      <c r="I133" s="1819"/>
      <c r="J133" s="2545"/>
      <c r="K133" s="2547"/>
      <c r="L133" s="2545"/>
      <c r="M133" s="2545"/>
      <c r="N133" s="2547"/>
      <c r="O133" s="1819"/>
      <c r="P133" s="2545"/>
      <c r="Q133" s="2547"/>
      <c r="R133" s="1819"/>
      <c r="S133" s="2547">
        <f>'Part III-A-Uses of Funds'!S20</f>
        <v>1026000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1026000</v>
      </c>
      <c r="H137" s="2547"/>
      <c r="I137" s="1819"/>
      <c r="J137" s="2545"/>
      <c r="K137" s="2547"/>
      <c r="L137" s="2545"/>
      <c r="M137" s="2547">
        <f>SUM(M135:M136)</f>
        <v>0</v>
      </c>
      <c r="N137" s="2547"/>
      <c r="O137" s="1819"/>
      <c r="P137" s="2545"/>
      <c r="Q137" s="2547"/>
      <c r="R137" s="1819"/>
      <c r="S137" s="2547">
        <f>SUM(S133:S136)</f>
        <v>1026000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369972.05728257075</v>
      </c>
      <c r="G139" s="2547">
        <f>'Part III-A-Uses of Funds'!G26</f>
        <v>2118460</v>
      </c>
      <c r="H139" s="2547"/>
      <c r="I139" s="1819"/>
      <c r="J139" s="2547">
        <f>'Part III-A-Uses of Funds'!J26</f>
        <v>2118460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2118460</v>
      </c>
      <c r="H141" s="2547"/>
      <c r="I141" s="1819"/>
      <c r="J141" s="2547">
        <f>SUM(J139:J140)</f>
        <v>2118460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7244200</v>
      </c>
      <c r="H143" s="2547"/>
      <c r="I143" s="1819"/>
      <c r="J143" s="2547">
        <f>'Part III-A-Uses of Funds'!J30</f>
        <v>7244200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175000</v>
      </c>
      <c r="H145" s="2547"/>
      <c r="I145" s="1819"/>
      <c r="J145" s="2547">
        <f>'Part III-A-Uses of Funds'!J32</f>
        <v>175000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7419200</v>
      </c>
      <c r="H149" s="2547"/>
      <c r="I149" s="1819"/>
      <c r="J149" s="2547">
        <f>SUM(J143:J148)</f>
        <v>7419200</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572259</v>
      </c>
      <c r="F151" s="2676">
        <f>IF(($G$24+$G$32)=0,0,G151/($G$24+$G$32))</f>
        <v>0</v>
      </c>
      <c r="G151" s="2547">
        <f>'Part III-A-Uses of Funds'!G38</f>
        <v>572250</v>
      </c>
      <c r="H151" s="2547"/>
      <c r="I151" s="1819"/>
      <c r="J151" s="2547">
        <f>'Part III-A-Uses of Funds'!J38</f>
        <v>572250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190753</v>
      </c>
      <c r="F152" s="2676">
        <f>IF(($G$24+$G$32)=0,0,G152/($G$24+$G$32))</f>
        <v>0</v>
      </c>
      <c r="G152" s="2547">
        <f>'Part III-A-Uses of Funds'!G39</f>
        <v>190750</v>
      </c>
      <c r="H152" s="2547"/>
      <c r="I152" s="378"/>
      <c r="J152" s="2547">
        <f>'Part III-A-Uses of Funds'!J39</f>
        <v>190750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572259</v>
      </c>
      <c r="F153" s="2676">
        <f>IF(($G$24+$G$32)=0,0,G153/($G$24+$G$32))</f>
        <v>0</v>
      </c>
      <c r="G153" s="2547">
        <f>'Part III-A-Uses of Funds'!G40</f>
        <v>572250</v>
      </c>
      <c r="H153" s="2547"/>
      <c r="I153" s="378"/>
      <c r="J153" s="2547">
        <f>'Part III-A-Uses of Funds'!J40</f>
        <v>572250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1335271</v>
      </c>
      <c r="F154" s="2669" t="s">
        <v>184</v>
      </c>
      <c r="G154" s="2547">
        <f>SUM(G151:G153)</f>
        <v>1335250</v>
      </c>
      <c r="H154" s="2547"/>
      <c r="I154" s="1819"/>
      <c r="J154" s="2547">
        <f>SUM(J151:J153)</f>
        <v>1335250</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10872910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6954</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6955</v>
      </c>
      <c r="C161" s="2681"/>
      <c r="D161" s="1819"/>
      <c r="E161" s="2616" t="s">
        <v>2478</v>
      </c>
      <c r="F161" s="2557">
        <f>C162/'Part V-Revenues &amp; Expenses'!$P$65</f>
        <v>201350.1851851852</v>
      </c>
      <c r="G161" s="2682" t="s">
        <v>6956</v>
      </c>
      <c r="H161" s="1819"/>
      <c r="I161" s="1819"/>
      <c r="J161" s="2558">
        <f>C162/'Part V-Revenues &amp; Expenses'!$P$67</f>
        <v>201350.1851851852</v>
      </c>
      <c r="K161" s="2558"/>
      <c r="L161" s="1819"/>
      <c r="M161" s="2683" t="s">
        <v>6475</v>
      </c>
      <c r="N161" s="2683"/>
      <c r="O161" s="1819"/>
      <c r="P161" s="2558">
        <f>C162/'Part V-Revenues &amp; Expenses'!$K$175</f>
        <v>163.99067901420773</v>
      </c>
      <c r="Q161" s="2558"/>
      <c r="R161" s="1819"/>
      <c r="S161" s="2684" t="s">
        <v>6477</v>
      </c>
      <c r="T161" s="2684"/>
      <c r="U161" s="1819"/>
      <c r="V161" s="2665"/>
    </row>
    <row r="162" spans="1:22" ht="13.5">
      <c r="A162" s="1819"/>
      <c r="B162" s="2685" t="s">
        <v>6488</v>
      </c>
      <c r="C162" s="2686">
        <f>G141+G149+G154+G159</f>
        <v>10872910</v>
      </c>
      <c r="D162" s="1819"/>
      <c r="E162" s="2616"/>
      <c r="F162" s="2557">
        <f>C162/'Part V-Revenues &amp; Expenses'!$P$166</f>
        <v>167.96808379163321</v>
      </c>
      <c r="G162" s="2684" t="s">
        <v>6957</v>
      </c>
      <c r="H162" s="1819"/>
      <c r="I162" s="1819"/>
      <c r="J162" s="2558">
        <f>C162/'Part V-Revenues &amp; Expenses'!$P$168</f>
        <v>167.96808379163321</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6958</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543645.5</v>
      </c>
      <c r="F168" s="2650">
        <f>G168/C162</f>
        <v>4.9999954014150763E-2</v>
      </c>
      <c r="G168" s="2547">
        <f>'Part III-A-Uses of Funds'!G55</f>
        <v>543645</v>
      </c>
      <c r="H168" s="2547"/>
      <c r="I168" s="1819"/>
      <c r="J168" s="2547">
        <f>'Part III-A-Uses of Funds'!J55</f>
        <v>543645</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211417.6851851852</v>
      </c>
      <c r="G170" s="2682" t="s">
        <v>6956</v>
      </c>
      <c r="H170" s="1819"/>
      <c r="I170" s="1819"/>
      <c r="J170" s="2558">
        <f>B171/'Part V-Revenues &amp; Expenses'!$P$67</f>
        <v>211417.6851851852</v>
      </c>
      <c r="K170" s="2558"/>
      <c r="L170" s="1819"/>
      <c r="M170" s="2683" t="s">
        <v>6475</v>
      </c>
      <c r="N170" s="2683"/>
      <c r="O170" s="1819"/>
      <c r="P170" s="2558">
        <f>B171/'Part V-Revenues &amp; Expenses'!$K$175</f>
        <v>172.19020542366746</v>
      </c>
      <c r="Q170" s="2558"/>
      <c r="R170" s="1819"/>
      <c r="S170" s="2684" t="s">
        <v>6477</v>
      </c>
      <c r="T170" s="2684"/>
      <c r="U170" s="1819"/>
      <c r="V170" s="2665"/>
    </row>
    <row r="171" spans="1:22">
      <c r="A171" s="1819"/>
      <c r="B171" s="2686">
        <f>C162+G168</f>
        <v>11416555</v>
      </c>
      <c r="C171" s="2686"/>
      <c r="D171" s="1819"/>
      <c r="E171" s="2616"/>
      <c r="F171" s="2557">
        <f>B171/'Part V-Revenues &amp; Expenses'!$P$166</f>
        <v>176.36648025705989</v>
      </c>
      <c r="G171" s="2684" t="s">
        <v>6957</v>
      </c>
      <c r="H171" s="1819"/>
      <c r="I171" s="1819"/>
      <c r="J171" s="2558">
        <f>B171/'Part V-Revenues &amp; Expenses'!$P$168</f>
        <v>176.36648025705989</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118102</v>
      </c>
      <c r="H176" s="2547"/>
      <c r="I176" s="1819"/>
      <c r="J176" s="2547">
        <f>'Part III-A-Uses of Funds'!J63</f>
        <v>118102</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489183</v>
      </c>
      <c r="H177" s="2547"/>
      <c r="I177" s="1819"/>
      <c r="J177" s="2547">
        <f>'Part III-A-Uses of Funds'!J64</f>
        <v>489183</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30000</v>
      </c>
      <c r="H178" s="2547"/>
      <c r="I178" s="1819"/>
      <c r="J178" s="2547">
        <f>'Part III-A-Uses of Funds'!J65</f>
        <v>30000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14500</v>
      </c>
      <c r="H179" s="2547"/>
      <c r="I179" s="1819"/>
      <c r="J179" s="2547">
        <f>'Part III-A-Uses of Funds'!J66</f>
        <v>14500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5000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5000</v>
      </c>
      <c r="T180" s="2547"/>
      <c r="U180" s="1819"/>
      <c r="V180" s="2665"/>
    </row>
    <row r="181" spans="1:22">
      <c r="A181" s="1819"/>
      <c r="B181" s="1819" t="s">
        <v>2169</v>
      </c>
      <c r="C181" s="1819"/>
      <c r="D181" s="1819"/>
      <c r="E181" s="1819"/>
      <c r="F181" s="1819"/>
      <c r="G181" s="2547">
        <f>'Part III-A-Uses of Funds'!G68</f>
        <v>60000</v>
      </c>
      <c r="H181" s="2547"/>
      <c r="I181" s="1819"/>
      <c r="J181" s="2547">
        <f>'Part III-A-Uses of Funds'!J68</f>
        <v>60000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50000</v>
      </c>
      <c r="H182" s="2547"/>
      <c r="I182" s="1819"/>
      <c r="J182" s="2547">
        <f>'Part III-A-Uses of Funds'!J69</f>
        <v>50000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766785</v>
      </c>
      <c r="H186" s="2547"/>
      <c r="I186" s="1819"/>
      <c r="J186" s="2547">
        <f>SUM(J174:J185)</f>
        <v>761785</v>
      </c>
      <c r="K186" s="2547"/>
      <c r="L186" s="2545"/>
      <c r="M186" s="2547">
        <f>SUM(M174:M185)</f>
        <v>0</v>
      </c>
      <c r="N186" s="2547"/>
      <c r="O186" s="1819"/>
      <c r="P186" s="2547">
        <f>SUM(P174:P185)</f>
        <v>0</v>
      </c>
      <c r="Q186" s="2547"/>
      <c r="R186" s="1819"/>
      <c r="S186" s="2547">
        <f>SUM(S174:S185)</f>
        <v>5000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113400</v>
      </c>
      <c r="H188" s="2547"/>
      <c r="I188" s="1819"/>
      <c r="J188" s="2547">
        <f>'Part III-A-Uses of Funds'!J75</f>
        <v>113400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12000</v>
      </c>
      <c r="H189" s="2547"/>
      <c r="I189" s="1819"/>
      <c r="J189" s="2547">
        <f>'Part III-A-Uses of Funds'!J76</f>
        <v>12000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0</v>
      </c>
      <c r="H190" s="2547"/>
      <c r="I190" s="1819"/>
      <c r="J190" s="2547">
        <f>'Part III-A-Uses of Funds'!J77</f>
        <v>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20000</v>
      </c>
      <c r="H191" s="2547"/>
      <c r="I191" s="1819"/>
      <c r="J191" s="2547">
        <f>'Part III-A-Uses of Funds'!J78</f>
        <v>20000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20000</v>
      </c>
      <c r="H192" s="2547"/>
      <c r="I192" s="1819"/>
      <c r="J192" s="2547">
        <f>'Part III-A-Uses of Funds'!J79</f>
        <v>20000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45000</v>
      </c>
      <c r="H194" s="2547"/>
      <c r="I194" s="1819"/>
      <c r="J194" s="2547">
        <f>'Part III-A-Uses of Funds'!J81</f>
        <v>45000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70000</v>
      </c>
      <c r="H195" s="2547"/>
      <c r="I195" s="1819"/>
      <c r="J195" s="2547">
        <f>'Part III-A-Uses of Funds'!J82</f>
        <v>63000</v>
      </c>
      <c r="K195" s="2547"/>
      <c r="L195" s="2545"/>
      <c r="M195" s="2547">
        <f>'Part III-A-Uses of Funds'!M82</f>
        <v>0</v>
      </c>
      <c r="N195" s="2547"/>
      <c r="O195" s="1819"/>
      <c r="P195" s="2547">
        <f>'Part III-A-Uses of Funds'!P82</f>
        <v>0</v>
      </c>
      <c r="Q195" s="2547"/>
      <c r="R195" s="1819"/>
      <c r="S195" s="2547">
        <f>'Part III-A-Uses of Funds'!S82</f>
        <v>7000</v>
      </c>
      <c r="T195" s="2547"/>
      <c r="U195" s="1819"/>
      <c r="V195" s="2665"/>
    </row>
    <row r="196" spans="1:22">
      <c r="A196" s="1819"/>
      <c r="B196" s="1819" t="s">
        <v>1899</v>
      </c>
      <c r="C196" s="1819"/>
      <c r="D196" s="1819"/>
      <c r="E196" s="1819"/>
      <c r="F196" s="1819"/>
      <c r="G196" s="2547">
        <f>'Part III-A-Uses of Funds'!G83</f>
        <v>25000</v>
      </c>
      <c r="H196" s="2547"/>
      <c r="I196" s="1819"/>
      <c r="J196" s="2547">
        <f>'Part III-A-Uses of Funds'!J83</f>
        <v>22500</v>
      </c>
      <c r="K196" s="2547"/>
      <c r="L196" s="2545"/>
      <c r="M196" s="2547">
        <f>'Part III-A-Uses of Funds'!M83</f>
        <v>0</v>
      </c>
      <c r="N196" s="2547"/>
      <c r="O196" s="1819"/>
      <c r="P196" s="2547">
        <f>'Part III-A-Uses of Funds'!P83</f>
        <v>0</v>
      </c>
      <c r="Q196" s="2547"/>
      <c r="R196" s="1819"/>
      <c r="S196" s="2547">
        <f>'Part III-A-Uses of Funds'!S83</f>
        <v>2500</v>
      </c>
      <c r="T196" s="2547"/>
      <c r="U196" s="1819"/>
      <c r="V196" s="2665"/>
    </row>
    <row r="197" spans="1:22">
      <c r="A197" s="1819"/>
      <c r="B197" s="1819" t="s">
        <v>1201</v>
      </c>
      <c r="C197" s="1819"/>
      <c r="D197" s="1819"/>
      <c r="E197" s="1819"/>
      <c r="F197" s="1819"/>
      <c r="G197" s="2547">
        <f>'Part III-A-Uses of Funds'!G84</f>
        <v>12000</v>
      </c>
      <c r="H197" s="2547"/>
      <c r="I197" s="1819"/>
      <c r="J197" s="2547">
        <f>'Part III-A-Uses of Funds'!J84</f>
        <v>12000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317400</v>
      </c>
      <c r="H199" s="2547"/>
      <c r="I199" s="1819"/>
      <c r="J199" s="2547">
        <f>SUM(J188:J198)</f>
        <v>307900</v>
      </c>
      <c r="K199" s="2547"/>
      <c r="L199" s="2545"/>
      <c r="M199" s="2547">
        <f>SUM(M188:M198)</f>
        <v>0</v>
      </c>
      <c r="N199" s="2547"/>
      <c r="O199" s="1819"/>
      <c r="P199" s="2547">
        <f>SUM(P188:P198)</f>
        <v>0</v>
      </c>
      <c r="Q199" s="2547"/>
      <c r="R199" s="1819"/>
      <c r="S199" s="2547">
        <f>SUM(S188:S198)</f>
        <v>9500</v>
      </c>
      <c r="T199" s="2547"/>
      <c r="U199" s="1819"/>
      <c r="V199" s="2665">
        <f>SUM(V188:V198)</f>
        <v>0</v>
      </c>
    </row>
    <row r="200" spans="1:22">
      <c r="A200" s="1819"/>
      <c r="B200" s="2614" t="s">
        <v>1193</v>
      </c>
      <c r="C200" s="1819"/>
      <c r="D200" s="2692" t="s">
        <v>3228</v>
      </c>
      <c r="E200" s="2693">
        <f>G205/'Part V-Revenues &amp; Expenses'!$P$67</f>
        <v>4361.0925925925922</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15499</v>
      </c>
      <c r="H201" s="2547"/>
      <c r="I201" s="1819"/>
      <c r="J201" s="2547">
        <f>'Part III-A-Uses of Funds'!J88</f>
        <v>15499</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110000</v>
      </c>
      <c r="H203" s="2547"/>
      <c r="I203" s="378"/>
      <c r="J203" s="2547">
        <f>'Part III-A-Uses of Funds'!J90</f>
        <v>110000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110000</v>
      </c>
      <c r="H204" s="2547"/>
      <c r="I204" s="378"/>
      <c r="J204" s="2547">
        <f>'Part III-A-Uses of Funds'!J91</f>
        <v>110000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235499</v>
      </c>
      <c r="H205" s="2547"/>
      <c r="I205" s="1819"/>
      <c r="J205" s="2547">
        <f>SUM(J201:J204)</f>
        <v>235499</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6959</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17000</v>
      </c>
      <c r="H210" s="2547"/>
      <c r="I210" s="1819"/>
      <c r="J210" s="2547"/>
      <c r="K210" s="2547"/>
      <c r="L210" s="2545"/>
      <c r="M210" s="2547"/>
      <c r="N210" s="2547"/>
      <c r="O210" s="1819"/>
      <c r="P210" s="2547"/>
      <c r="Q210" s="2547"/>
      <c r="R210" s="1819"/>
      <c r="S210" s="2547">
        <f>'Part III-A-Uses of Funds'!S97</f>
        <v>17000</v>
      </c>
      <c r="T210" s="2547"/>
      <c r="U210" s="1819"/>
      <c r="V210" s="2665"/>
    </row>
    <row r="211" spans="1:33">
      <c r="A211" s="1819"/>
      <c r="B211" s="1819" t="s">
        <v>1199</v>
      </c>
      <c r="C211" s="1819"/>
      <c r="D211" s="1819"/>
      <c r="E211" s="1819"/>
      <c r="F211" s="1819"/>
      <c r="G211" s="2547">
        <f>'Part III-A-Uses of Funds'!G98</f>
        <v>35000</v>
      </c>
      <c r="H211" s="2547"/>
      <c r="I211" s="1819"/>
      <c r="J211" s="2547"/>
      <c r="K211" s="2547"/>
      <c r="L211" s="2545"/>
      <c r="M211" s="2547"/>
      <c r="N211" s="2547"/>
      <c r="O211" s="1819"/>
      <c r="P211" s="2547"/>
      <c r="Q211" s="2547"/>
      <c r="R211" s="1819"/>
      <c r="S211" s="2547">
        <f>'Part III-A-Uses of Funds'!S98</f>
        <v>35000</v>
      </c>
      <c r="T211" s="2547"/>
      <c r="U211" s="1819"/>
      <c r="V211" s="2665"/>
    </row>
    <row r="212" spans="1:33">
      <c r="A212" s="1819"/>
      <c r="B212" s="1819" t="s">
        <v>1200</v>
      </c>
      <c r="C212" s="1819"/>
      <c r="D212" s="1819"/>
      <c r="E212" s="1819"/>
      <c r="F212" s="1819"/>
      <c r="G212" s="2547">
        <f>'Part III-A-Uses of Funds'!G99</f>
        <v>18064</v>
      </c>
      <c r="H212" s="2547"/>
      <c r="I212" s="1819"/>
      <c r="J212" s="2547"/>
      <c r="K212" s="2547"/>
      <c r="L212" s="2545"/>
      <c r="M212" s="2547"/>
      <c r="N212" s="2547"/>
      <c r="O212" s="1819"/>
      <c r="P212" s="2547"/>
      <c r="Q212" s="2547"/>
      <c r="R212" s="1819"/>
      <c r="S212" s="2547">
        <f>'Part III-A-Uses of Funds'!S99</f>
        <v>18064</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70064</v>
      </c>
      <c r="H216" s="2547"/>
      <c r="I216" s="1819"/>
      <c r="J216" s="2547"/>
      <c r="K216" s="2547"/>
      <c r="L216" s="2545"/>
      <c r="M216" s="2547"/>
      <c r="N216" s="2547"/>
      <c r="O216" s="1819"/>
      <c r="P216" s="2547"/>
      <c r="Q216" s="2547"/>
      <c r="R216" s="1819"/>
      <c r="S216" s="2547">
        <f>SUM(S210:S215)</f>
        <v>70064</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8000</v>
      </c>
      <c r="H219" s="2547"/>
      <c r="I219" s="1819"/>
      <c r="J219" s="2545"/>
      <c r="K219" s="2545"/>
      <c r="L219" s="2560"/>
      <c r="M219" s="2545"/>
      <c r="N219" s="2545"/>
      <c r="O219" s="1819"/>
      <c r="P219" s="2545"/>
      <c r="Q219" s="2545"/>
      <c r="R219" s="1819"/>
      <c r="S219" s="2547">
        <f>'Part III-A-Uses of Funds'!S106</f>
        <v>8000</v>
      </c>
      <c r="T219" s="2547"/>
      <c r="U219" s="1819"/>
      <c r="V219" s="2665"/>
      <c r="W219" s="2645"/>
      <c r="X219" s="1819"/>
      <c r="Y219" s="2684" t="s">
        <v>3151</v>
      </c>
      <c r="Z219" s="2684"/>
      <c r="AA219" s="2684"/>
      <c r="AB219" s="2699">
        <f>'Part V-Revenues &amp; Expenses'!$P$67</f>
        <v>54</v>
      </c>
      <c r="AC219" s="1819"/>
      <c r="AD219" s="1819"/>
      <c r="AE219" s="1819"/>
      <c r="AF219" s="1819"/>
      <c r="AG219" s="1819"/>
    </row>
    <row r="220" spans="1:33">
      <c r="A220" s="1819"/>
      <c r="B220" s="1819" t="s">
        <v>3318</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88106</v>
      </c>
      <c r="F221" s="2561"/>
      <c r="G221" s="2547">
        <f>'Part III-A-Uses of Funds'!G108</f>
        <v>88106</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88106</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54000</v>
      </c>
      <c r="F222" s="2561"/>
      <c r="G222" s="2547">
        <f>'Part III-A-Uses of Funds'!G109</f>
        <v>54000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54000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0</v>
      </c>
      <c r="AC226" s="1819"/>
      <c r="AD226" s="2703">
        <f>IF($AD$101="Income Averaging",AB226*'DCA Underwriting Assumptions'!$Q$61,AB226*'DCA Underwriting Assumptions'!$Q$60)</f>
        <v>0</v>
      </c>
      <c r="AE226" s="1819"/>
      <c r="AF226" s="1819"/>
      <c r="AG226" s="1819"/>
    </row>
    <row r="227" spans="1:33">
      <c r="A227" s="1819"/>
      <c r="B227" s="1819"/>
      <c r="C227" s="1819"/>
      <c r="D227" s="1819"/>
      <c r="E227" s="1819"/>
      <c r="F227" s="2669" t="s">
        <v>184</v>
      </c>
      <c r="G227" s="2547">
        <f>SUM(G218:G226)</f>
        <v>160106</v>
      </c>
      <c r="H227" s="2547"/>
      <c r="I227" s="1819"/>
      <c r="J227" s="2545"/>
      <c r="K227" s="2545"/>
      <c r="L227" s="2545"/>
      <c r="M227" s="2545"/>
      <c r="N227" s="2545"/>
      <c r="O227" s="1819"/>
      <c r="P227" s="2545"/>
      <c r="Q227" s="2545"/>
      <c r="R227" s="1819"/>
      <c r="S227" s="2547">
        <f>SUM(S218:S226)</f>
        <v>160106</v>
      </c>
      <c r="T227" s="2547"/>
      <c r="U227" s="1819"/>
      <c r="V227" s="2665">
        <f>SUM(V218:V226)</f>
        <v>0</v>
      </c>
      <c r="W227" s="1819"/>
      <c r="X227" s="1819"/>
      <c r="Y227" s="2622" t="s">
        <v>6481</v>
      </c>
      <c r="Z227" s="2622"/>
      <c r="AA227" s="2707"/>
      <c r="AB227" s="2702">
        <f>'Part V-Revenues &amp; Expenses'!$P$138+'Part V-Revenues &amp; Expenses'!$P$139</f>
        <v>54</v>
      </c>
      <c r="AC227" s="1819"/>
      <c r="AD227" s="2703">
        <f>IF($AD$101="Income Averaging",AB227*'DCA Underwriting Assumptions'!$Q$61,AB227*'DCA Underwriting Assumptions'!$Q$60)</f>
        <v>43200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54</v>
      </c>
      <c r="AC228" s="1819"/>
      <c r="AD228" s="2706">
        <f>SUM(AD226:AD227)</f>
        <v>43200</v>
      </c>
      <c r="AE228" s="1819"/>
      <c r="AF228" s="1819"/>
      <c r="AG228" s="1819"/>
    </row>
    <row r="229" spans="1:33">
      <c r="A229" s="1819"/>
      <c r="B229" s="1819" t="s">
        <v>267</v>
      </c>
      <c r="C229" s="1819"/>
      <c r="D229" s="1819"/>
      <c r="E229" s="1819"/>
      <c r="F229" s="1819"/>
      <c r="G229" s="2547">
        <f>'Part III-A-Uses of Funds'!G116</f>
        <v>5000</v>
      </c>
      <c r="H229" s="2547"/>
      <c r="I229" s="1819"/>
      <c r="J229" s="2547"/>
      <c r="K229" s="2547"/>
      <c r="L229" s="2545"/>
      <c r="M229" s="2547"/>
      <c r="N229" s="2547"/>
      <c r="O229" s="1819"/>
      <c r="P229" s="2547"/>
      <c r="Q229" s="2547"/>
      <c r="R229" s="1819"/>
      <c r="S229" s="2547">
        <f>'Part III-A-Uses of Funds'!S116</f>
        <v>5000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2500</v>
      </c>
      <c r="H230" s="2547"/>
      <c r="I230" s="1819"/>
      <c r="J230" s="2547"/>
      <c r="K230" s="2547"/>
      <c r="L230" s="2545"/>
      <c r="M230" s="2547"/>
      <c r="N230" s="2547"/>
      <c r="O230" s="1819"/>
      <c r="P230" s="2547"/>
      <c r="Q230" s="2547"/>
      <c r="R230" s="1819"/>
      <c r="S230" s="2547">
        <f>'Part III-A-Uses of Funds'!S117</f>
        <v>2500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7500</v>
      </c>
      <c r="H233" s="2547"/>
      <c r="I233" s="1819"/>
      <c r="J233" s="2547"/>
      <c r="K233" s="2547"/>
      <c r="L233" s="2545"/>
      <c r="M233" s="2547"/>
      <c r="N233" s="2547"/>
      <c r="O233" s="1819"/>
      <c r="P233" s="2547"/>
      <c r="Q233" s="2547"/>
      <c r="R233" s="1819"/>
      <c r="S233" s="2547">
        <f>SUM(S229:S232)</f>
        <v>7500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5">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0</v>
      </c>
      <c r="G235" s="2547">
        <f>'Part III-A-Uses of Funds'!G122</f>
        <v>0</v>
      </c>
      <c r="H235" s="2547"/>
      <c r="I235" s="1819"/>
      <c r="J235" s="2547">
        <f>'Part III-A-Uses of Funds'!J122</f>
        <v>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5">
      <c r="A236" s="1819"/>
      <c r="B236" s="1819" t="s">
        <v>3411</v>
      </c>
      <c r="C236" s="1819"/>
      <c r="D236" s="1819"/>
      <c r="E236" s="1819"/>
      <c r="F236" s="2564">
        <f>'Part III-A-Uses of Funds'!F123</f>
        <v>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5">
      <c r="A239" s="1819"/>
      <c r="B239" s="1819" t="s">
        <v>1717</v>
      </c>
      <c r="C239" s="1819"/>
      <c r="D239" s="1819"/>
      <c r="E239" s="1819"/>
      <c r="F239" s="2649">
        <f>'Part III-A-Uses of Funds'!F126</f>
        <v>1</v>
      </c>
      <c r="G239" s="2547">
        <f>'Part III-A-Uses of Funds'!G126</f>
        <v>1463000</v>
      </c>
      <c r="H239" s="2547"/>
      <c r="I239" s="1819"/>
      <c r="J239" s="2547">
        <f>'Part III-A-Uses of Funds'!J126</f>
        <v>1463000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1463000</v>
      </c>
      <c r="F240" s="2669" t="s">
        <v>184</v>
      </c>
      <c r="G240" s="2547">
        <f>SUM(G235:G239)</f>
        <v>1463000</v>
      </c>
      <c r="H240" s="2547"/>
      <c r="I240" s="1819"/>
      <c r="J240" s="2547">
        <f>SUM(J235:J239)</f>
        <v>1463000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40500</v>
      </c>
      <c r="H242" s="2547"/>
      <c r="I242" s="1819"/>
      <c r="J242" s="2560"/>
      <c r="K242" s="2560"/>
      <c r="L242" s="2560"/>
      <c r="M242" s="2560"/>
      <c r="N242" s="2560"/>
      <c r="O242" s="1819"/>
      <c r="P242" s="2560"/>
      <c r="Q242" s="2560"/>
      <c r="R242" s="1819"/>
      <c r="S242" s="2547">
        <f>'Part III-A-Uses of Funds'!S129</f>
        <v>40500</v>
      </c>
      <c r="T242" s="2547"/>
      <c r="U242" s="1819"/>
      <c r="V242" s="2665"/>
    </row>
    <row r="243" spans="1:22">
      <c r="A243" s="1819"/>
      <c r="B243" s="1819" t="s">
        <v>1436</v>
      </c>
      <c r="C243" s="1819"/>
      <c r="D243" s="1819"/>
      <c r="E243" s="1819"/>
      <c r="F243" s="2717">
        <f>'Part III-A-Uses of Funds'!F130</f>
        <v>58305</v>
      </c>
      <c r="G243" s="2547">
        <f>'Part III-A-Uses of Funds'!G130</f>
        <v>58305</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58305</v>
      </c>
      <c r="T243" s="2547"/>
      <c r="U243" s="1819"/>
      <c r="V243" s="2665"/>
    </row>
    <row r="244" spans="1:22">
      <c r="A244" s="1819"/>
      <c r="B244" s="1819" t="s">
        <v>632</v>
      </c>
      <c r="C244" s="1819"/>
      <c r="D244" s="1819"/>
      <c r="E244" s="1819"/>
      <c r="F244" s="2717">
        <f>'Part III-A-Uses of Funds'!F131</f>
        <v>171250.11000000002</v>
      </c>
      <c r="G244" s="2547">
        <f>'Part III-A-Uses of Funds'!G131</f>
        <v>171250</v>
      </c>
      <c r="H244" s="2547"/>
      <c r="I244" s="1819"/>
      <c r="J244" s="2565" t="str">
        <f>IF(E244&gt;G244,"WARNING! ODR proposed is below minimum - add comment.","")</f>
        <v/>
      </c>
      <c r="K244" s="2560"/>
      <c r="L244" s="2560"/>
      <c r="M244" s="2560"/>
      <c r="N244" s="2560"/>
      <c r="O244" s="1819"/>
      <c r="P244" s="2560"/>
      <c r="Q244" s="2560"/>
      <c r="R244" s="1819"/>
      <c r="S244" s="2547">
        <f>'Part III-A-Uses of Funds'!S131</f>
        <v>171250</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370.37037037037038</v>
      </c>
      <c r="G246" s="2547">
        <f>'Part III-A-Uses of Funds'!G133</f>
        <v>20000</v>
      </c>
      <c r="H246" s="2547"/>
      <c r="I246" s="1819"/>
      <c r="J246" s="2547">
        <f>'Part III-A-Uses of Funds'!J133</f>
        <v>20000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290055</v>
      </c>
      <c r="H248" s="2547"/>
      <c r="I248" s="1819"/>
      <c r="J248" s="2547">
        <f>SUM(J246:J247)</f>
        <v>20000</v>
      </c>
      <c r="K248" s="2547"/>
      <c r="L248" s="2545"/>
      <c r="M248" s="2547">
        <f>SUM(M246:M247)</f>
        <v>0</v>
      </c>
      <c r="N248" s="2547"/>
      <c r="O248" s="1819"/>
      <c r="P248" s="2547">
        <f>SUM(P246:P247)</f>
        <v>0</v>
      </c>
      <c r="Q248" s="2547"/>
      <c r="R248" s="1819"/>
      <c r="S248" s="2547">
        <f>SUM(S242:S247)</f>
        <v>270055</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6959</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6960</v>
      </c>
      <c r="C259" s="1819"/>
      <c r="D259" s="1819"/>
      <c r="E259" s="2670"/>
      <c r="F259" s="2722"/>
      <c r="G259" s="2567">
        <f>G131+G137+G141+G149+G154+G159+G168+G186+G199+G205+G216+G227+G233+G240+G248+G257</f>
        <v>15826399</v>
      </c>
      <c r="H259" s="2567"/>
      <c r="I259" s="1819"/>
      <c r="J259" s="2567">
        <f>J131+J137+J141+J149+J154+J159+J168+J186+J199+J205+J216+J227+J233+J240+J248+J257</f>
        <v>14278174</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1548225</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6961</v>
      </c>
      <c r="C261" s="2681"/>
      <c r="D261" s="2568">
        <f>IF('Part V-Revenues &amp; Expenses'!$P$67=0,0,G259/'Part V-Revenues &amp; Expenses'!$P$67)</f>
        <v>293081.46296296298</v>
      </c>
      <c r="E261" s="2568"/>
      <c r="F261" s="2695" t="s">
        <v>2487</v>
      </c>
      <c r="G261" s="2568">
        <f>IF('Part V-Revenues &amp; Expenses'!$K$175=0,0,G259/'Part V-Revenues &amp; Expenses'!$K$175)</f>
        <v>238.70168320714308</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14278174</v>
      </c>
      <c r="K275" s="2648"/>
      <c r="L275" s="1819"/>
      <c r="M275" s="2648">
        <f>M259</f>
        <v>0</v>
      </c>
      <c r="N275" s="2648"/>
      <c r="O275" s="1819"/>
      <c r="P275" s="2648">
        <f>P259</f>
        <v>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14278174</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18561626.199999999</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18561626.199999999</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1670546.3579999998</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1670546</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6962</v>
      </c>
      <c r="C289" s="1819"/>
      <c r="D289" s="1819"/>
      <c r="E289" s="1819"/>
      <c r="F289" s="1819"/>
      <c r="G289" s="1819"/>
      <c r="H289" s="1819"/>
      <c r="I289" s="1819"/>
      <c r="J289" s="2648">
        <f>G259</f>
        <v>15826399</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1068777</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14757622</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5">
      <c r="A293" s="1819"/>
      <c r="B293" s="1819" t="s">
        <v>1210</v>
      </c>
      <c r="C293" s="1819"/>
      <c r="D293" s="1819"/>
      <c r="E293" s="1819"/>
      <c r="F293" s="1819"/>
      <c r="G293" s="1819"/>
      <c r="H293" s="1819"/>
      <c r="I293" s="1819"/>
      <c r="J293" s="2648">
        <f>J291/10</f>
        <v>1475762.2</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6963</v>
      </c>
      <c r="C295" s="1819"/>
      <c r="D295" s="1819"/>
      <c r="E295" s="1819"/>
      <c r="F295" s="1819"/>
      <c r="G295" s="1819"/>
      <c r="H295" s="1819"/>
      <c r="I295" s="1819"/>
      <c r="J295" s="2733">
        <f>N295+Q295</f>
        <v>1.3399999999999999</v>
      </c>
      <c r="K295" s="2733"/>
      <c r="L295" s="2733"/>
      <c r="M295" s="1622" t="s">
        <v>1212</v>
      </c>
      <c r="N295" s="2734">
        <f>'Part III-A-Uses of Funds'!N182</f>
        <v>0.83</v>
      </c>
      <c r="O295" s="2734"/>
      <c r="P295" s="1622" t="s">
        <v>570</v>
      </c>
      <c r="Q295" s="2734">
        <f>'Part III-A-Uses of Funds'!Q182</f>
        <v>0.51</v>
      </c>
      <c r="R295" s="2734"/>
      <c r="S295" s="1819"/>
      <c r="T295" s="1819"/>
      <c r="U295" s="1819"/>
      <c r="V295" s="2665"/>
    </row>
    <row r="296" spans="1:22">
      <c r="A296" s="1819"/>
      <c r="B296" s="2614" t="s">
        <v>1340</v>
      </c>
      <c r="C296" s="1819"/>
      <c r="D296" s="1819"/>
      <c r="E296" s="1819"/>
      <c r="F296" s="1819"/>
      <c r="G296" s="1819"/>
      <c r="H296" s="1819"/>
      <c r="I296" s="1819"/>
      <c r="J296" s="2647">
        <f>ROUNDDOWN(IF(J295=0,"",J293/J295),0)</f>
        <v>1101315</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6964</v>
      </c>
      <c r="C300" s="1819"/>
      <c r="D300" s="1819"/>
      <c r="E300" s="1819"/>
      <c r="F300" s="1819"/>
      <c r="G300" s="1819"/>
      <c r="H300" s="1819"/>
      <c r="I300" s="1819"/>
      <c r="J300" s="2647">
        <f>'Part III-A-Uses of Funds'!J187</f>
        <v>1101315</v>
      </c>
      <c r="K300" s="2647"/>
      <c r="L300" s="2647"/>
      <c r="M300" s="1819"/>
      <c r="N300" s="1819"/>
      <c r="O300" s="1819"/>
      <c r="P300" s="1819"/>
      <c r="Q300" s="2622" t="s">
        <v>6247</v>
      </c>
      <c r="R300" s="2622"/>
      <c r="S300" s="2622" t="str">
        <f>'Part VIII Scoring Criteria'!$J$36</f>
        <v>Rural</v>
      </c>
      <c r="T300" s="2622"/>
      <c r="U300" s="1622" t="str">
        <f>IF(OR(S300="Atlanta Metro", "Other Metro"), "Metro", IF(S300="Rural","Rural",""))</f>
        <v>Rural</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6965</v>
      </c>
      <c r="C302" s="1819"/>
      <c r="D302" s="1819"/>
      <c r="E302" s="1819"/>
      <c r="F302" s="1819"/>
      <c r="G302" s="1819"/>
      <c r="H302" s="1819"/>
      <c r="I302" s="1819"/>
      <c r="J302" s="2647">
        <f>'Part III-A-Uses of Funds'!J189</f>
        <v>1101315</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6966</v>
      </c>
      <c r="C304" s="1819"/>
      <c r="D304" s="378"/>
      <c r="E304" s="378"/>
      <c r="F304" s="2623"/>
      <c r="G304" s="1819"/>
      <c r="H304" s="1819"/>
      <c r="I304" s="1819"/>
      <c r="J304" s="2647">
        <f>IF(J302="",0,+MIN(J300,J302))</f>
        <v>1101315</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We have included a construction interest rate chart that justifies the amount used in our sources of funds.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The Bridges at Lincom  -  Hartwell  -  Hart,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6967</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6968</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6969</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6970</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The Bridges at Lincom,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North</v>
      </c>
    </row>
    <row r="403" spans="1:13">
      <c r="A403" s="2754" t="s">
        <v>6971</v>
      </c>
    </row>
    <row r="405" spans="1:13" ht="25.5">
      <c r="A405" s="361" t="s">
        <v>573</v>
      </c>
      <c r="B405" s="361" t="s">
        <v>2059</v>
      </c>
      <c r="F405" s="359" t="s">
        <v>2317</v>
      </c>
      <c r="G405" s="359"/>
      <c r="H405" s="359"/>
      <c r="I405" s="2621" t="str">
        <f>'Part IV-Utility Allowances'!I7</f>
        <v>DCA North Region</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9</v>
      </c>
      <c r="K410" s="1894">
        <f>'Part IV-Utility Allowances'!K12</f>
        <v>12</v>
      </c>
      <c r="L410" s="1894">
        <f>'Part IV-Utility Allowances'!L12</f>
        <v>17</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8</v>
      </c>
      <c r="K411" s="1894">
        <f>'Part IV-Utility Allowances'!K13</f>
        <v>10</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20</v>
      </c>
      <c r="L412" s="1894">
        <f>'Part IV-Utility Allowances'!L14</f>
        <v>25</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8</v>
      </c>
      <c r="K413" s="1894">
        <f>'Part IV-Utility Allowances'!K15</f>
        <v>11</v>
      </c>
      <c r="L413" s="1894">
        <f>'Part IV-Utility Allowances'!L15</f>
        <v>13</v>
      </c>
      <c r="M413" s="1894">
        <f>'Part IV-Utility Allowances'!M15</f>
        <v>0</v>
      </c>
    </row>
    <row r="414" spans="1:13">
      <c r="B414" s="359" t="s">
        <v>3269</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22</v>
      </c>
      <c r="K416" s="1894">
        <f>'Part IV-Utility Allowances'!K18</f>
        <v>29</v>
      </c>
      <c r="L416" s="1894">
        <f>'Part IV-Utility Allowances'!L18</f>
        <v>35</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49</v>
      </c>
      <c r="K417" s="1894">
        <f>'Part IV-Utility Allowances'!K19</f>
        <v>58</v>
      </c>
      <c r="L417" s="1894">
        <f>'Part IV-Utility Allowances'!L19</f>
        <v>71</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110</v>
      </c>
      <c r="K420" s="2756">
        <f>IF(SUM(K410:K419)=0,0,IF(OR($D410="&lt;&lt;Select Fuel &gt;&gt;",$D411="&lt;&lt;Select Fuel &gt;&gt;",$D412="&lt;&lt;Select Fuel &gt;&gt;"),"Select Fuel",IF($E417="&lt;Select&gt;","Submeter?",SUM(K410:K419))))</f>
        <v>140</v>
      </c>
      <c r="L420" s="2756">
        <f>IF(SUM(L410:L419)=0,0,IF(OR($D410="&lt;&lt;Select Fuel &gt;&gt;",$D411="&lt;&lt;Select Fuel &gt;&gt;",$D412="&lt;&lt;Select Fuel &gt;&gt;"),"Select Fuel",IF($E417="&lt;Select&gt;","Submeter?",SUM(L410:L419))))</f>
        <v>173</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409.5">
      <c r="B441" s="2757" t="str">
        <f>'Part IV-Utility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The Bridges at Lincom,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The Bridges at Lincom,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Hart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6972</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6973</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6974</v>
      </c>
      <c r="P453" s="2768">
        <f>'Part V-Revenues &amp; Expenses'!P6</f>
        <v>71300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&lt;Select&gt;</v>
      </c>
      <c r="I454" s="2771" t="s">
        <v>4070</v>
      </c>
      <c r="J454" s="2765" t="s">
        <v>742</v>
      </c>
      <c r="K454" s="2765" t="s">
        <v>3182</v>
      </c>
      <c r="L454" s="2766"/>
      <c r="M454" s="2766"/>
      <c r="N454" s="2766"/>
      <c r="O454" s="2772" t="s">
        <v>6075</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HUD</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6975</v>
      </c>
      <c r="L456" s="1634" t="s">
        <v>139</v>
      </c>
      <c r="M456" s="1634"/>
      <c r="N456" s="2765" t="s">
        <v>2184</v>
      </c>
      <c r="O456" s="2765" t="s">
        <v>6482</v>
      </c>
      <c r="P456" s="2761" t="s">
        <v>6976</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2</v>
      </c>
      <c r="F465" s="2578">
        <f>'Part V-Revenues &amp; Expenses'!F18</f>
        <v>892</v>
      </c>
      <c r="G465" s="2578">
        <f>'Part V-Revenues &amp; Expenses'!G18</f>
        <v>668</v>
      </c>
      <c r="H465" s="2578">
        <f>'Part V-Revenues &amp; Expenses'!H18</f>
        <v>610</v>
      </c>
      <c r="I465" s="2578">
        <f>'Part V-Revenues &amp; Expenses'!I18</f>
        <v>0</v>
      </c>
      <c r="J465" s="2578">
        <f>'Part V-Revenues &amp; Expenses'!J18</f>
        <v>110</v>
      </c>
      <c r="K465" s="2579">
        <f>'Part V-Revenues &amp; Expenses'!K18</f>
        <v>0</v>
      </c>
      <c r="L465" s="2580">
        <f t="shared" si="1"/>
        <v>500</v>
      </c>
      <c r="M465" s="2580">
        <f t="shared" si="2"/>
        <v>1000</v>
      </c>
      <c r="N465" s="2651" t="str">
        <f>'Part V-Revenues &amp; Expenses'!N18</f>
        <v>No</v>
      </c>
      <c r="O465" s="1320" t="str">
        <f>'Part V-Revenues &amp; Expenses'!O18</f>
        <v>Row House/TH</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2</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1784</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2</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f t="shared" si="249"/>
        <v>2</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2</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50</v>
      </c>
      <c r="C466" s="2576">
        <f>'Part V-Revenues &amp; Expenses'!C19</f>
        <v>2</v>
      </c>
      <c r="D466" s="2577">
        <f>'Part V-Revenues &amp; Expenses'!D19</f>
        <v>2.5</v>
      </c>
      <c r="E466" s="2578">
        <f>'Part V-Revenues &amp; Expenses'!E19</f>
        <v>7</v>
      </c>
      <c r="F466" s="2578">
        <f>'Part V-Revenues &amp; Expenses'!F19</f>
        <v>1146</v>
      </c>
      <c r="G466" s="2578">
        <f>'Part V-Revenues &amp; Expenses'!G19</f>
        <v>802</v>
      </c>
      <c r="H466" s="2578">
        <f>'Part V-Revenues &amp; Expenses'!H19</f>
        <v>690</v>
      </c>
      <c r="I466" s="2578">
        <f>'Part V-Revenues &amp; Expenses'!I19</f>
        <v>0</v>
      </c>
      <c r="J466" s="2578">
        <f>'Part V-Revenues &amp; Expenses'!J19</f>
        <v>140</v>
      </c>
      <c r="K466" s="2579">
        <f>'Part V-Revenues &amp; Expenses'!K19</f>
        <v>0</v>
      </c>
      <c r="L466" s="2580">
        <f t="shared" si="1"/>
        <v>550</v>
      </c>
      <c r="M466" s="2580">
        <f t="shared" si="2"/>
        <v>3850</v>
      </c>
      <c r="N466" s="2651" t="str">
        <f>'Part V-Revenues &amp; Expenses'!N19</f>
        <v>No</v>
      </c>
      <c r="O466" s="1320" t="str">
        <f>'Part V-Revenues &amp; Expenses'!O19</f>
        <v>Row House/TH</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7</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8022</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7</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f t="shared" si="250"/>
        <v>7</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7</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50</v>
      </c>
      <c r="C467" s="2576">
        <f>'Part V-Revenues &amp; Expenses'!C20</f>
        <v>2</v>
      </c>
      <c r="D467" s="2577">
        <f>'Part V-Revenues &amp; Expenses'!D20</f>
        <v>2</v>
      </c>
      <c r="E467" s="2578">
        <f>'Part V-Revenues &amp; Expenses'!E20</f>
        <v>1</v>
      </c>
      <c r="F467" s="2578">
        <f>'Part V-Revenues &amp; Expenses'!F20</f>
        <v>1112</v>
      </c>
      <c r="G467" s="2578">
        <f>'Part V-Revenues &amp; Expenses'!G20</f>
        <v>802</v>
      </c>
      <c r="H467" s="2578">
        <f>'Part V-Revenues &amp; Expenses'!H20</f>
        <v>690</v>
      </c>
      <c r="I467" s="2578">
        <f>'Part V-Revenues &amp; Expenses'!I20</f>
        <v>0</v>
      </c>
      <c r="J467" s="2578">
        <f>'Part V-Revenues &amp; Expenses'!J20</f>
        <v>140</v>
      </c>
      <c r="K467" s="2579">
        <f>'Part V-Revenues &amp; Expenses'!K20</f>
        <v>0</v>
      </c>
      <c r="L467" s="2580">
        <f t="shared" si="1"/>
        <v>550</v>
      </c>
      <c r="M467" s="2580">
        <f t="shared" si="2"/>
        <v>550</v>
      </c>
      <c r="N467" s="2651" t="str">
        <f>'Part V-Revenues &amp; Expenses'!N20</f>
        <v>No</v>
      </c>
      <c r="O467" s="1320" t="str">
        <f>'Part V-Revenues &amp; Expenses'!O20</f>
        <v>Row House/TH</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1</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1112</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1</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f t="shared" si="250"/>
        <v>1</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1</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50</v>
      </c>
      <c r="C468" s="2576">
        <f>'Part V-Revenues &amp; Expenses'!C21</f>
        <v>3</v>
      </c>
      <c r="D468" s="2577">
        <f>'Part V-Revenues &amp; Expenses'!D21</f>
        <v>2.5</v>
      </c>
      <c r="E468" s="2578">
        <f>'Part V-Revenues &amp; Expenses'!E21</f>
        <v>4</v>
      </c>
      <c r="F468" s="2578">
        <f>'Part V-Revenues &amp; Expenses'!F21</f>
        <v>1542</v>
      </c>
      <c r="G468" s="2578">
        <f>'Part V-Revenues &amp; Expenses'!G21</f>
        <v>926</v>
      </c>
      <c r="H468" s="2578">
        <f>'Part V-Revenues &amp; Expenses'!H21</f>
        <v>773</v>
      </c>
      <c r="I468" s="2578">
        <f>'Part V-Revenues &amp; Expenses'!I21</f>
        <v>0</v>
      </c>
      <c r="J468" s="2578">
        <f>'Part V-Revenues &amp; Expenses'!J21</f>
        <v>173</v>
      </c>
      <c r="K468" s="2579">
        <f>'Part V-Revenues &amp; Expenses'!K21</f>
        <v>0</v>
      </c>
      <c r="L468" s="2580">
        <f t="shared" si="1"/>
        <v>600</v>
      </c>
      <c r="M468" s="2580">
        <f t="shared" si="2"/>
        <v>2400</v>
      </c>
      <c r="N468" s="2651" t="str">
        <f>'Part V-Revenues &amp; Expenses'!N21</f>
        <v>No</v>
      </c>
      <c r="O468" s="1320" t="str">
        <f>'Part V-Revenues &amp; Expenses'!O21</f>
        <v>Row House/TH</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f t="shared" si="21"/>
        <v>4</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f t="shared" si="136"/>
        <v>6168</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f t="shared" si="171"/>
        <v>4</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f t="shared" si="251"/>
        <v>4</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4</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50</v>
      </c>
      <c r="C469" s="2576">
        <f>'Part V-Revenues &amp; Expenses'!C22</f>
        <v>3</v>
      </c>
      <c r="D469" s="2577">
        <f>'Part V-Revenues &amp; Expenses'!D22</f>
        <v>2</v>
      </c>
      <c r="E469" s="2578">
        <f>'Part V-Revenues &amp; Expenses'!E22</f>
        <v>1</v>
      </c>
      <c r="F469" s="2578">
        <f>'Part V-Revenues &amp; Expenses'!F22</f>
        <v>1371</v>
      </c>
      <c r="G469" s="2578">
        <f>'Part V-Revenues &amp; Expenses'!G22</f>
        <v>926</v>
      </c>
      <c r="H469" s="2578">
        <f>'Part V-Revenues &amp; Expenses'!H22</f>
        <v>773</v>
      </c>
      <c r="I469" s="2578">
        <f>'Part V-Revenues &amp; Expenses'!I22</f>
        <v>0</v>
      </c>
      <c r="J469" s="2578">
        <f>'Part V-Revenues &amp; Expenses'!J22</f>
        <v>173</v>
      </c>
      <c r="K469" s="2579">
        <f>'Part V-Revenues &amp; Expenses'!K22</f>
        <v>0</v>
      </c>
      <c r="L469" s="2580">
        <f t="shared" si="1"/>
        <v>600</v>
      </c>
      <c r="M469" s="2580">
        <f t="shared" si="2"/>
        <v>600</v>
      </c>
      <c r="N469" s="2651" t="str">
        <f>'Part V-Revenues &amp; Expenses'!N22</f>
        <v>No</v>
      </c>
      <c r="O469" s="1320" t="str">
        <f>'Part V-Revenues &amp; Expenses'!O22</f>
        <v>Row House/TH</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f t="shared" si="21"/>
        <v>1</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f t="shared" si="136"/>
        <v>1371</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f t="shared" si="171"/>
        <v>1</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f t="shared" si="251"/>
        <v>1</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1</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60</v>
      </c>
      <c r="C470" s="2576">
        <f>'Part V-Revenues &amp; Expenses'!C23</f>
        <v>1</v>
      </c>
      <c r="D470" s="2577">
        <f>'Part V-Revenues &amp; Expenses'!D23</f>
        <v>1</v>
      </c>
      <c r="E470" s="2578">
        <f>'Part V-Revenues &amp; Expenses'!E23</f>
        <v>6</v>
      </c>
      <c r="F470" s="2578">
        <f>'Part V-Revenues &amp; Expenses'!F23</f>
        <v>892</v>
      </c>
      <c r="G470" s="2578">
        <f>'Part V-Revenues &amp; Expenses'!G23</f>
        <v>801</v>
      </c>
      <c r="H470" s="2578">
        <f>'Part V-Revenues &amp; Expenses'!H23</f>
        <v>710</v>
      </c>
      <c r="I470" s="2578">
        <f>'Part V-Revenues &amp; Expenses'!I23</f>
        <v>0</v>
      </c>
      <c r="J470" s="2578">
        <f>'Part V-Revenues &amp; Expenses'!J23</f>
        <v>110</v>
      </c>
      <c r="K470" s="2579">
        <f>'Part V-Revenues &amp; Expenses'!K23</f>
        <v>0</v>
      </c>
      <c r="L470" s="2580">
        <f t="shared" si="1"/>
        <v>600</v>
      </c>
      <c r="M470" s="2580">
        <f t="shared" si="2"/>
        <v>3600</v>
      </c>
      <c r="N470" s="2651" t="str">
        <f>'Part V-Revenues &amp; Expenses'!N23</f>
        <v>No</v>
      </c>
      <c r="O470" s="1320" t="str">
        <f>'Part V-Revenues &amp; Expenses'!O23</f>
        <v>Row House/TH</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f t="shared" si="14"/>
        <v>6</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f t="shared" si="129"/>
        <v>5352</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f t="shared" si="169"/>
        <v>6</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f t="shared" si="249"/>
        <v>6</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6</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60</v>
      </c>
      <c r="C471" s="2576">
        <f>'Part V-Revenues &amp; Expenses'!C24</f>
        <v>2</v>
      </c>
      <c r="D471" s="2577">
        <f>'Part V-Revenues &amp; Expenses'!D24</f>
        <v>2.5</v>
      </c>
      <c r="E471" s="2578">
        <f>'Part V-Revenues &amp; Expenses'!E24</f>
        <v>21</v>
      </c>
      <c r="F471" s="2578">
        <f>'Part V-Revenues &amp; Expenses'!F24</f>
        <v>1146</v>
      </c>
      <c r="G471" s="2578">
        <f>'Part V-Revenues &amp; Expenses'!G24</f>
        <v>963</v>
      </c>
      <c r="H471" s="2578">
        <f>'Part V-Revenues &amp; Expenses'!H24</f>
        <v>790</v>
      </c>
      <c r="I471" s="2578">
        <f>'Part V-Revenues &amp; Expenses'!I24</f>
        <v>0</v>
      </c>
      <c r="J471" s="2578">
        <f>'Part V-Revenues &amp; Expenses'!J24</f>
        <v>140</v>
      </c>
      <c r="K471" s="2579">
        <f>'Part V-Revenues &amp; Expenses'!K24</f>
        <v>0</v>
      </c>
      <c r="L471" s="2580">
        <f t="shared" si="1"/>
        <v>650</v>
      </c>
      <c r="M471" s="2580">
        <f t="shared" si="2"/>
        <v>13650</v>
      </c>
      <c r="N471" s="2651" t="str">
        <f>'Part V-Revenues &amp; Expenses'!N24</f>
        <v>No</v>
      </c>
      <c r="O471" s="1320" t="str">
        <f>'Part V-Revenues &amp; Expenses'!O24</f>
        <v>Row House/TH</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f t="shared" si="15"/>
        <v>21</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f t="shared" si="130"/>
        <v>24066</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f t="shared" si="170"/>
        <v>21</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f t="shared" si="250"/>
        <v>21</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21</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60</v>
      </c>
      <c r="C472" s="2576">
        <f>'Part V-Revenues &amp; Expenses'!C25</f>
        <v>2</v>
      </c>
      <c r="D472" s="2577">
        <f>'Part V-Revenues &amp; Expenses'!D25</f>
        <v>2</v>
      </c>
      <c r="E472" s="2578">
        <f>'Part V-Revenues &amp; Expenses'!E25</f>
        <v>1</v>
      </c>
      <c r="F472" s="2578">
        <f>'Part V-Revenues &amp; Expenses'!F25</f>
        <v>1112</v>
      </c>
      <c r="G472" s="2578">
        <f>'Part V-Revenues &amp; Expenses'!G25</f>
        <v>963</v>
      </c>
      <c r="H472" s="2578">
        <f>'Part V-Revenues &amp; Expenses'!H25</f>
        <v>790</v>
      </c>
      <c r="I472" s="2578">
        <f>'Part V-Revenues &amp; Expenses'!I25</f>
        <v>0</v>
      </c>
      <c r="J472" s="2578">
        <f>'Part V-Revenues &amp; Expenses'!J25</f>
        <v>140</v>
      </c>
      <c r="K472" s="2579">
        <f>'Part V-Revenues &amp; Expenses'!K25</f>
        <v>0</v>
      </c>
      <c r="L472" s="2580">
        <f t="shared" si="1"/>
        <v>650</v>
      </c>
      <c r="M472" s="2580">
        <f t="shared" si="2"/>
        <v>650</v>
      </c>
      <c r="N472" s="2651" t="str">
        <f>'Part V-Revenues &amp; Expenses'!N25</f>
        <v>No</v>
      </c>
      <c r="O472" s="1320" t="str">
        <f>'Part V-Revenues &amp; Expenses'!O25</f>
        <v>Row House/TH</v>
      </c>
      <c r="P472" s="2651" t="str">
        <f>'Part V-Revenues &amp; Expenses'!P25</f>
        <v>New Construction</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f t="shared" si="15"/>
        <v>1</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f t="shared" si="130"/>
        <v>1112</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1</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f t="shared" si="250"/>
        <v>1</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1</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60</v>
      </c>
      <c r="C473" s="2576">
        <f>'Part V-Revenues &amp; Expenses'!C26</f>
        <v>3</v>
      </c>
      <c r="D473" s="2577">
        <f>'Part V-Revenues &amp; Expenses'!D26</f>
        <v>2.5</v>
      </c>
      <c r="E473" s="2578">
        <f>'Part V-Revenues &amp; Expenses'!E26</f>
        <v>7</v>
      </c>
      <c r="F473" s="2578">
        <f>'Part V-Revenues &amp; Expenses'!F26</f>
        <v>1542</v>
      </c>
      <c r="G473" s="2578">
        <f>'Part V-Revenues &amp; Expenses'!G26</f>
        <v>1112</v>
      </c>
      <c r="H473" s="2578">
        <f>'Part V-Revenues &amp; Expenses'!H26</f>
        <v>873</v>
      </c>
      <c r="I473" s="2578">
        <f>'Part V-Revenues &amp; Expenses'!I26</f>
        <v>0</v>
      </c>
      <c r="J473" s="2578">
        <f>'Part V-Revenues &amp; Expenses'!J26</f>
        <v>173</v>
      </c>
      <c r="K473" s="2579">
        <f>'Part V-Revenues &amp; Expenses'!K26</f>
        <v>0</v>
      </c>
      <c r="L473" s="2580">
        <f t="shared" si="1"/>
        <v>700</v>
      </c>
      <c r="M473" s="2580">
        <f t="shared" si="2"/>
        <v>4900</v>
      </c>
      <c r="N473" s="2651" t="str">
        <f>'Part V-Revenues &amp; Expenses'!N26</f>
        <v>No</v>
      </c>
      <c r="O473" s="1320" t="str">
        <f>'Part V-Revenues &amp; Expenses'!O26</f>
        <v>Row House/TH</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f t="shared" si="16"/>
        <v>7</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f t="shared" si="131"/>
        <v>10794</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7</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f t="shared" si="251"/>
        <v>7</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7</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60</v>
      </c>
      <c r="C474" s="2576">
        <f>'Part V-Revenues &amp; Expenses'!C27</f>
        <v>3</v>
      </c>
      <c r="D474" s="2577">
        <f>'Part V-Revenues &amp; Expenses'!D27</f>
        <v>2</v>
      </c>
      <c r="E474" s="2578">
        <f>'Part V-Revenues &amp; Expenses'!E27</f>
        <v>1</v>
      </c>
      <c r="F474" s="2578">
        <f>'Part V-Revenues &amp; Expenses'!F27</f>
        <v>1371</v>
      </c>
      <c r="G474" s="2578">
        <f>'Part V-Revenues &amp; Expenses'!G27</f>
        <v>1112</v>
      </c>
      <c r="H474" s="2578">
        <f>'Part V-Revenues &amp; Expenses'!H27</f>
        <v>873</v>
      </c>
      <c r="I474" s="2578">
        <f>'Part V-Revenues &amp; Expenses'!I27</f>
        <v>0</v>
      </c>
      <c r="J474" s="2578">
        <f>'Part V-Revenues &amp; Expenses'!J27</f>
        <v>173</v>
      </c>
      <c r="K474" s="2579">
        <f>'Part V-Revenues &amp; Expenses'!K27</f>
        <v>0</v>
      </c>
      <c r="L474" s="2580">
        <f t="shared" si="1"/>
        <v>700</v>
      </c>
      <c r="M474" s="2580">
        <f t="shared" si="2"/>
        <v>700</v>
      </c>
      <c r="N474" s="2651" t="str">
        <f>'Part V-Revenues &amp; Expenses'!N27</f>
        <v>No</v>
      </c>
      <c r="O474" s="1320" t="str">
        <f>'Part V-Revenues &amp; Expenses'!O27</f>
        <v>Row House/TH</v>
      </c>
      <c r="P474" s="2651" t="str">
        <f>'Part V-Revenues &amp; Expenses'!P27</f>
        <v>New Construction</v>
      </c>
      <c r="Q474" s="1895" t="str">
        <f>'Part V-Revenues &amp; Expenses'!Q27</f>
        <v>No</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f t="shared" si="16"/>
        <v>1</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f t="shared" si="131"/>
        <v>1371</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f t="shared" si="171"/>
        <v>1</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f t="shared" si="251"/>
        <v>1</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1</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70</v>
      </c>
      <c r="C475" s="2576">
        <f>'Part V-Revenues &amp; Expenses'!C28</f>
        <v>1</v>
      </c>
      <c r="D475" s="2577">
        <f>'Part V-Revenues &amp; Expenses'!D28</f>
        <v>1</v>
      </c>
      <c r="E475" s="2578">
        <f>'Part V-Revenues &amp; Expenses'!E28</f>
        <v>1</v>
      </c>
      <c r="F475" s="2578">
        <f>'Part V-Revenues &amp; Expenses'!F28</f>
        <v>892</v>
      </c>
      <c r="G475" s="2578">
        <f>'Part V-Revenues &amp; Expenses'!G28</f>
        <v>935</v>
      </c>
      <c r="H475" s="2578">
        <f>'Part V-Revenues &amp; Expenses'!H28</f>
        <v>810</v>
      </c>
      <c r="I475" s="2578">
        <f>'Part V-Revenues &amp; Expenses'!I28</f>
        <v>0</v>
      </c>
      <c r="J475" s="2578">
        <f>'Part V-Revenues &amp; Expenses'!J28</f>
        <v>110</v>
      </c>
      <c r="K475" s="2579">
        <f>'Part V-Revenues &amp; Expenses'!K28</f>
        <v>0</v>
      </c>
      <c r="L475" s="2580">
        <f t="shared" si="1"/>
        <v>700</v>
      </c>
      <c r="M475" s="2580">
        <f t="shared" si="2"/>
        <v>700</v>
      </c>
      <c r="N475" s="2651" t="str">
        <f>'Part V-Revenues &amp; Expenses'!N28</f>
        <v>No</v>
      </c>
      <c r="O475" s="1320" t="str">
        <f>'Part V-Revenues &amp; Expenses'!O28</f>
        <v>Row House/TH</v>
      </c>
      <c r="P475" s="2651" t="str">
        <f>'Part V-Revenues &amp; Expenses'!P28</f>
        <v>New Construction</v>
      </c>
      <c r="Q475" s="1895" t="str">
        <f>'Part V-Revenues &amp; Expenses'!Q28</f>
        <v>No</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f t="shared" si="9"/>
        <v>1</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f t="shared" si="69"/>
        <v>1</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f t="shared" si="124"/>
        <v>892</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f t="shared" si="169"/>
        <v>1</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f t="shared" si="249"/>
        <v>1</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1</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70</v>
      </c>
      <c r="C476" s="2576">
        <f>'Part V-Revenues &amp; Expenses'!C29</f>
        <v>2</v>
      </c>
      <c r="D476" s="2577">
        <f>'Part V-Revenues &amp; Expenses'!D29</f>
        <v>2.5</v>
      </c>
      <c r="E476" s="2578">
        <f>'Part V-Revenues &amp; Expenses'!E29</f>
        <v>1</v>
      </c>
      <c r="F476" s="2578">
        <f>'Part V-Revenues &amp; Expenses'!F29</f>
        <v>1146</v>
      </c>
      <c r="G476" s="2578">
        <f>'Part V-Revenues &amp; Expenses'!G29</f>
        <v>1123</v>
      </c>
      <c r="H476" s="2578">
        <f>'Part V-Revenues &amp; Expenses'!H29</f>
        <v>890</v>
      </c>
      <c r="I476" s="2578">
        <f>'Part V-Revenues &amp; Expenses'!I29</f>
        <v>0</v>
      </c>
      <c r="J476" s="2578">
        <f>'Part V-Revenues &amp; Expenses'!J29</f>
        <v>140</v>
      </c>
      <c r="K476" s="2579">
        <f>'Part V-Revenues &amp; Expenses'!K29</f>
        <v>0</v>
      </c>
      <c r="L476" s="2580">
        <f t="shared" si="1"/>
        <v>750</v>
      </c>
      <c r="M476" s="2580">
        <f t="shared" si="2"/>
        <v>750</v>
      </c>
      <c r="N476" s="2651" t="str">
        <f>'Part V-Revenues &amp; Expenses'!N29</f>
        <v>No</v>
      </c>
      <c r="O476" s="1320" t="str">
        <f>'Part V-Revenues &amp; Expenses'!O29</f>
        <v>Row House/TH</v>
      </c>
      <c r="P476" s="2651" t="str">
        <f>'Part V-Revenues &amp; Expenses'!P29</f>
        <v>New Construction</v>
      </c>
      <c r="Q476" s="1895" t="str">
        <f>'Part V-Revenues &amp; Expenses'!Q29</f>
        <v>No</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f t="shared" si="10"/>
        <v>1</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f t="shared" si="70"/>
        <v>1</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f t="shared" si="125"/>
        <v>1146</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f t="shared" si="170"/>
        <v>1</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f t="shared" si="250"/>
        <v>1</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1</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70</v>
      </c>
      <c r="C477" s="2576">
        <f>'Part V-Revenues &amp; Expenses'!C30</f>
        <v>3</v>
      </c>
      <c r="D477" s="2577">
        <f>'Part V-Revenues &amp; Expenses'!D30</f>
        <v>2.5</v>
      </c>
      <c r="E477" s="2578">
        <f>'Part V-Revenues &amp; Expenses'!E30</f>
        <v>1</v>
      </c>
      <c r="F477" s="2578">
        <f>'Part V-Revenues &amp; Expenses'!F30</f>
        <v>1542</v>
      </c>
      <c r="G477" s="2578">
        <f>'Part V-Revenues &amp; Expenses'!G30</f>
        <v>1297</v>
      </c>
      <c r="H477" s="2578">
        <f>'Part V-Revenues &amp; Expenses'!H30</f>
        <v>973</v>
      </c>
      <c r="I477" s="2578">
        <f>'Part V-Revenues &amp; Expenses'!I30</f>
        <v>0</v>
      </c>
      <c r="J477" s="2578">
        <f>'Part V-Revenues &amp; Expenses'!J30</f>
        <v>173</v>
      </c>
      <c r="K477" s="2579">
        <f>'Part V-Revenues &amp; Expenses'!K30</f>
        <v>0</v>
      </c>
      <c r="L477" s="2580">
        <f t="shared" si="1"/>
        <v>800</v>
      </c>
      <c r="M477" s="2580">
        <f t="shared" si="2"/>
        <v>800</v>
      </c>
      <c r="N477" s="2651" t="str">
        <f>'Part V-Revenues &amp; Expenses'!N30</f>
        <v>No</v>
      </c>
      <c r="O477" s="1320" t="str">
        <f>'Part V-Revenues &amp; Expenses'!O30</f>
        <v>Row House/TH</v>
      </c>
      <c r="P477" s="2651" t="str">
        <f>'Part V-Revenues &amp; Expenses'!P30</f>
        <v>New Construction</v>
      </c>
      <c r="Q477" s="1895" t="str">
        <f>'Part V-Revenues &amp; Expenses'!Q30</f>
        <v>No</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f t="shared" si="11"/>
        <v>1</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f t="shared" si="71"/>
        <v>1</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f t="shared" si="126"/>
        <v>1542</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f t="shared" si="171"/>
        <v>1</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f t="shared" si="251"/>
        <v>1</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1</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54</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64732</v>
      </c>
      <c r="H496" s="2583" t="s">
        <v>3765</v>
      </c>
      <c r="I496" s="2787" t="s">
        <v>3766</v>
      </c>
      <c r="J496" s="2584" t="str">
        <f>IF(P514=0,"",IF(SUM(P505:P509)/P514&gt;=0.4,"Pass","Fail"))</f>
        <v>Pass</v>
      </c>
      <c r="K496" s="363"/>
      <c r="L496" s="2788" t="s">
        <v>1225</v>
      </c>
      <c r="M496" s="2585">
        <f>SUM(M458:M495)</f>
        <v>34150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1</v>
      </c>
      <c r="AE496" s="1749">
        <f t="shared" si="338"/>
        <v>1</v>
      </c>
      <c r="AF496" s="1749">
        <f t="shared" si="338"/>
        <v>1</v>
      </c>
      <c r="AG496" s="1749">
        <f t="shared" si="338"/>
        <v>0</v>
      </c>
      <c r="AH496" s="1749">
        <f t="shared" si="338"/>
        <v>0</v>
      </c>
      <c r="AI496" s="1749">
        <f t="shared" si="338"/>
        <v>6</v>
      </c>
      <c r="AJ496" s="1749">
        <f t="shared" si="338"/>
        <v>22</v>
      </c>
      <c r="AK496" s="1749">
        <f t="shared" si="338"/>
        <v>8</v>
      </c>
      <c r="AL496" s="1749">
        <f t="shared" si="338"/>
        <v>0</v>
      </c>
      <c r="AM496" s="1749">
        <f>SUM(AM458:AM495)</f>
        <v>0</v>
      </c>
      <c r="AN496" s="1749">
        <f>SUM(AN458:AN495)</f>
        <v>2</v>
      </c>
      <c r="AO496" s="1749">
        <f>SUM(AO458:AO495)</f>
        <v>8</v>
      </c>
      <c r="AP496" s="1749">
        <f>SUM(AP458:AP495)</f>
        <v>5</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1</v>
      </c>
      <c r="CM496" s="1749">
        <f>SUM(CM458:CM495)</f>
        <v>1</v>
      </c>
      <c r="CN496" s="1749">
        <f>SUM(CN458:CN495)</f>
        <v>1</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892</v>
      </c>
      <c r="EP496" s="1749">
        <f t="shared" si="338"/>
        <v>1146</v>
      </c>
      <c r="EQ496" s="1749">
        <f t="shared" si="338"/>
        <v>1542</v>
      </c>
      <c r="ER496" s="1749">
        <f t="shared" si="338"/>
        <v>0</v>
      </c>
      <c r="ES496" s="1749">
        <f t="shared" si="338"/>
        <v>0</v>
      </c>
      <c r="ET496" s="1749">
        <f t="shared" si="338"/>
        <v>5352</v>
      </c>
      <c r="EU496" s="1749">
        <f t="shared" si="338"/>
        <v>25178</v>
      </c>
      <c r="EV496" s="1749">
        <f t="shared" si="338"/>
        <v>12165</v>
      </c>
      <c r="EW496" s="1749">
        <f t="shared" si="338"/>
        <v>0</v>
      </c>
      <c r="EX496" s="1749">
        <f t="shared" si="338"/>
        <v>0</v>
      </c>
      <c r="EY496" s="1749">
        <f t="shared" si="338"/>
        <v>1784</v>
      </c>
      <c r="EZ496" s="1749">
        <f t="shared" si="338"/>
        <v>9134</v>
      </c>
      <c r="FA496" s="1749">
        <f t="shared" si="338"/>
        <v>7539</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9</v>
      </c>
      <c r="GI496" s="1749">
        <f t="shared" si="340"/>
        <v>31</v>
      </c>
      <c r="GJ496" s="1749">
        <f t="shared" si="340"/>
        <v>14</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9</v>
      </c>
      <c r="JK496" s="1749">
        <f t="shared" si="341"/>
        <v>31</v>
      </c>
      <c r="JL496" s="1749">
        <f t="shared" si="341"/>
        <v>14</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9</v>
      </c>
      <c r="MM496" s="1749">
        <f t="shared" si="343"/>
        <v>31</v>
      </c>
      <c r="MN496" s="1749">
        <f t="shared" si="343"/>
        <v>14</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57.777777777777779</v>
      </c>
      <c r="C497" s="2789"/>
      <c r="D497" s="2756" t="s">
        <v>3675</v>
      </c>
      <c r="E497" s="2581">
        <f>SUM(E465:E495)</f>
        <v>54</v>
      </c>
      <c r="F497" s="2582">
        <f>(E465*F465+E466*F466+E467*F467+E468*F468+E469*F469+E470*F470+E471*F471+E472*F472+E473*F473+E474*F474+E475*F475+E476*F476+E477*F477+E478*F478+E479*F479+E480*F480+E481*F481+E482*F482+E483*F483+E484*F484+E485*F485+E486*F486+E487*F487+E488*F488+E489*F489+E490*F490+E491*F491+E492*F492+E493*F493+E494*F494+E495*F495)</f>
        <v>64732</v>
      </c>
      <c r="H497" s="2583"/>
      <c r="I497" s="2787" t="s">
        <v>3767</v>
      </c>
      <c r="J497" s="2584" t="str">
        <f>IF(P514=0,"",IF(SUM(P506:P509)/P514&gt;=0.2,"Pass","Fail"))</f>
        <v>Pass</v>
      </c>
      <c r="K497" s="363"/>
      <c r="L497" s="2786" t="s">
        <v>757</v>
      </c>
      <c r="M497" s="2585">
        <f>M496*12</f>
        <v>409800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6977</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1</v>
      </c>
      <c r="M504" s="2586">
        <f>AE496</f>
        <v>1</v>
      </c>
      <c r="N504" s="2586">
        <f>AF496</f>
        <v>1</v>
      </c>
      <c r="O504" s="2586">
        <f>AG496</f>
        <v>0</v>
      </c>
      <c r="P504" s="2586">
        <f t="shared" si="344"/>
        <v>3</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6</v>
      </c>
      <c r="M505" s="2586">
        <f>AJ496</f>
        <v>22</v>
      </c>
      <c r="N505" s="2586">
        <f>AK496</f>
        <v>8</v>
      </c>
      <c r="O505" s="2586">
        <f>AL496</f>
        <v>0</v>
      </c>
      <c r="P505" s="2586">
        <f t="shared" si="344"/>
        <v>36</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2</v>
      </c>
      <c r="M506" s="2586">
        <f>AO496</f>
        <v>8</v>
      </c>
      <c r="N506" s="2586">
        <f>AP496</f>
        <v>5</v>
      </c>
      <c r="O506" s="2586">
        <f>AQ496</f>
        <v>0</v>
      </c>
      <c r="P506" s="2586">
        <f t="shared" si="344"/>
        <v>15</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9</v>
      </c>
      <c r="M510" s="2586">
        <f>SUM(M503:M509)</f>
        <v>31</v>
      </c>
      <c r="N510" s="2586">
        <f>SUM(N503:N509)</f>
        <v>14</v>
      </c>
      <c r="O510" s="2586">
        <f>SUM(O503:O509)</f>
        <v>0</v>
      </c>
      <c r="P510" s="2586">
        <f t="shared" si="344"/>
        <v>54</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9</v>
      </c>
      <c r="M512" s="2587">
        <f>SUM(M510:M511)</f>
        <v>31</v>
      </c>
      <c r="N512" s="2587">
        <f>SUM(N510:N511)</f>
        <v>14</v>
      </c>
      <c r="O512" s="2587">
        <f>SUM(O510:O511)</f>
        <v>0</v>
      </c>
      <c r="P512" s="2587">
        <f t="shared" si="344"/>
        <v>54</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9</v>
      </c>
      <c r="M514" s="2588">
        <f>SUM(M512:M513)</f>
        <v>31</v>
      </c>
      <c r="N514" s="2588">
        <f>SUM(N512:N513)</f>
        <v>14</v>
      </c>
      <c r="O514" s="2588">
        <f>SUM(O512:O513)</f>
        <v>0</v>
      </c>
      <c r="P514" s="2588">
        <f t="shared" si="344"/>
        <v>54</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6978</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6979</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6980</v>
      </c>
      <c r="E520" s="2621"/>
      <c r="F520" s="2621"/>
      <c r="H520" s="1503" t="s">
        <v>3677</v>
      </c>
      <c r="I520" s="362"/>
      <c r="J520" s="359"/>
      <c r="K520" s="2803" t="str">
        <f t="shared" ref="K520:P520" si="347">IF(OR(K504=0,K514=0),"",K504/K514)</f>
        <v/>
      </c>
      <c r="L520" s="2803">
        <f t="shared" si="347"/>
        <v>0.1111111111111111</v>
      </c>
      <c r="M520" s="2803">
        <f t="shared" si="347"/>
        <v>3.2258064516129031E-2</v>
      </c>
      <c r="N520" s="2803">
        <f t="shared" si="347"/>
        <v>7.1428571428571425E-2</v>
      </c>
      <c r="O520" s="2803" t="str">
        <f t="shared" si="347"/>
        <v/>
      </c>
      <c r="P520" s="2803">
        <f t="shared" si="347"/>
        <v>5.5555555555555552E-2</v>
      </c>
      <c r="S520" s="2784"/>
      <c r="T520" s="2784"/>
      <c r="U520" s="2784"/>
      <c r="V520" s="2784"/>
      <c r="W520" s="2784"/>
    </row>
    <row r="521" spans="1:343">
      <c r="C521" s="2621"/>
      <c r="D521" s="2621"/>
      <c r="E521" s="2621"/>
      <c r="F521" s="2621"/>
      <c r="H521" s="1503" t="s">
        <v>6978</v>
      </c>
      <c r="I521" s="362"/>
      <c r="J521" s="359"/>
      <c r="K521" s="2804" t="str">
        <f>IF(OR(K504=0,P520="",K514=0),"",P520*K514)</f>
        <v/>
      </c>
      <c r="L521" s="2804">
        <f>IF(OR(L504=0,P520="",L514=0),"",P520*L514)</f>
        <v>0.5</v>
      </c>
      <c r="M521" s="2804">
        <f>IF(OR(M504=0,P520="",M514=0),"",P520*M514)</f>
        <v>1.7222222222222221</v>
      </c>
      <c r="N521" s="2804">
        <f>IF(OR(N504=0,P520="",N514=0),"",P520*N514)</f>
        <v>0.77777777777777768</v>
      </c>
      <c r="O521" s="2804" t="str">
        <f>IF(OR(O504=0,P520="",O514=0),"",P520*O514)</f>
        <v/>
      </c>
      <c r="P521" s="2804">
        <f>IF(OR(P520="",P514=0),"",P520*P514)</f>
        <v>3</v>
      </c>
      <c r="S521" s="2784"/>
      <c r="T521" s="2784"/>
      <c r="U521" s="2784"/>
      <c r="V521" s="2784"/>
      <c r="W521" s="2784"/>
    </row>
    <row r="522" spans="1:343">
      <c r="C522" s="2621"/>
      <c r="D522" s="2621"/>
      <c r="E522" s="2621"/>
      <c r="F522" s="2621"/>
      <c r="G522" s="2787"/>
      <c r="H522" s="1503" t="s">
        <v>6979</v>
      </c>
      <c r="I522" s="362"/>
      <c r="J522" s="359"/>
      <c r="K522" s="2804" t="str">
        <f t="shared" ref="K522:P522" si="348">IF(OR(K521="",K504=0),"", K504-K521)</f>
        <v/>
      </c>
      <c r="L522" s="2804">
        <f t="shared" si="348"/>
        <v>0.5</v>
      </c>
      <c r="M522" s="2804">
        <f t="shared" si="348"/>
        <v>-0.7222222222222221</v>
      </c>
      <c r="N522" s="2804">
        <f t="shared" si="348"/>
        <v>0.22222222222222232</v>
      </c>
      <c r="O522" s="2804" t="str">
        <f t="shared" si="348"/>
        <v/>
      </c>
      <c r="P522" s="2804">
        <f t="shared" si="348"/>
        <v>0</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0.66666666666666663</v>
      </c>
      <c r="M523" s="2803">
        <f t="shared" si="349"/>
        <v>0.70967741935483875</v>
      </c>
      <c r="N523" s="2803">
        <f t="shared" si="349"/>
        <v>0.5714285714285714</v>
      </c>
      <c r="O523" s="2803" t="str">
        <f t="shared" si="349"/>
        <v/>
      </c>
      <c r="P523" s="2803">
        <f t="shared" si="349"/>
        <v>0.66666666666666663</v>
      </c>
      <c r="S523" s="2784"/>
      <c r="T523" s="2784"/>
      <c r="U523" s="2784"/>
      <c r="V523" s="2784"/>
      <c r="W523" s="2784"/>
    </row>
    <row r="524" spans="1:343" ht="15.75" customHeight="1">
      <c r="C524" s="2805"/>
      <c r="D524" s="2621"/>
      <c r="E524" s="2621"/>
      <c r="F524" s="2621"/>
      <c r="H524" s="1503" t="s">
        <v>6978</v>
      </c>
      <c r="I524" s="362"/>
      <c r="J524" s="359"/>
      <c r="K524" s="2804" t="str">
        <f>IF(OR(K505=0,P523="",K514=0),"",P523*K514)</f>
        <v/>
      </c>
      <c r="L524" s="2804">
        <f>IF(OR(L505=0,P523="",L514=0),"",P523*L514)</f>
        <v>6</v>
      </c>
      <c r="M524" s="2804">
        <f>IF(OR(M505=0,P523="",M514=0),"",P523*M514)</f>
        <v>20.666666666666664</v>
      </c>
      <c r="N524" s="2804">
        <f>IF(OR(N505=0,P523="",N514=0),"",P523*N514)</f>
        <v>9.3333333333333321</v>
      </c>
      <c r="O524" s="2804" t="str">
        <f>IF(OR(O505=0,P523="",O514=0),"",P523*O514)</f>
        <v/>
      </c>
      <c r="P524" s="2804">
        <f>IF(OR(P523="",P514=0),"",P523*P514)</f>
        <v>36</v>
      </c>
      <c r="S524" s="2784"/>
      <c r="T524" s="2784"/>
      <c r="U524" s="2784"/>
      <c r="V524" s="2784"/>
      <c r="W524" s="2784"/>
    </row>
    <row r="525" spans="1:343" ht="15.75" customHeight="1">
      <c r="C525" s="2805"/>
      <c r="D525" s="2621"/>
      <c r="E525" s="2621"/>
      <c r="F525" s="2621"/>
      <c r="G525" s="2787"/>
      <c r="H525" s="1503" t="s">
        <v>6979</v>
      </c>
      <c r="I525" s="362"/>
      <c r="J525" s="359"/>
      <c r="K525" s="2804" t="str">
        <f t="shared" ref="K525:P525" si="350">IF(OR(K524="",K505=0),"", K505-K524)</f>
        <v/>
      </c>
      <c r="L525" s="2804">
        <f t="shared" si="350"/>
        <v>0</v>
      </c>
      <c r="M525" s="2804">
        <f t="shared" si="350"/>
        <v>1.3333333333333357</v>
      </c>
      <c r="N525" s="2804">
        <f t="shared" si="350"/>
        <v>-1.3333333333333321</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0.22222222222222221</v>
      </c>
      <c r="M526" s="2803">
        <f t="shared" si="351"/>
        <v>0.25806451612903225</v>
      </c>
      <c r="N526" s="2803">
        <f t="shared" si="351"/>
        <v>0.35714285714285715</v>
      </c>
      <c r="O526" s="2803" t="str">
        <f t="shared" si="351"/>
        <v/>
      </c>
      <c r="P526" s="2803">
        <f t="shared" si="351"/>
        <v>0.27777777777777779</v>
      </c>
    </row>
    <row r="527" spans="1:343">
      <c r="C527" s="2805"/>
      <c r="D527" s="2805"/>
      <c r="E527" s="2805"/>
      <c r="H527" s="1503" t="s">
        <v>6978</v>
      </c>
      <c r="I527" s="362"/>
      <c r="J527" s="359"/>
      <c r="K527" s="2804" t="str">
        <f>IF(OR(K506=0,P526="",K514=0),"",P526*K514)</f>
        <v/>
      </c>
      <c r="L527" s="2804">
        <f>IF(OR(L506=0,P526="",L514=0),"",P526*L514)</f>
        <v>2.5</v>
      </c>
      <c r="M527" s="2804">
        <f>IF(OR(M506=0,P526="",M514=0),"",P526*M514)</f>
        <v>8.6111111111111107</v>
      </c>
      <c r="N527" s="2804">
        <f>IF(OR(N506=0,P526="",N514=0),"",P526*N514)</f>
        <v>3.8888888888888893</v>
      </c>
      <c r="O527" s="2804" t="str">
        <f>IF(OR(O506=0,P526="",O514=0),"",P526*O514)</f>
        <v/>
      </c>
      <c r="P527" s="2804">
        <f>IF(OR(P526="",P514=0),"",P526*P514)</f>
        <v>15</v>
      </c>
    </row>
    <row r="528" spans="1:343">
      <c r="C528" s="2805"/>
      <c r="D528" s="2805"/>
      <c r="E528" s="2805"/>
      <c r="G528" s="2787"/>
      <c r="H528" s="1503" t="s">
        <v>6979</v>
      </c>
      <c r="I528" s="362"/>
      <c r="J528" s="359"/>
      <c r="K528" s="2804" t="str">
        <f t="shared" ref="K528:P528" si="352">IF(OR(K527="",K506=0),"", K506-K527)</f>
        <v/>
      </c>
      <c r="L528" s="2804">
        <f t="shared" si="352"/>
        <v>-0.5</v>
      </c>
      <c r="M528" s="2804">
        <f t="shared" si="352"/>
        <v>-0.61111111111111072</v>
      </c>
      <c r="N528" s="2804">
        <f t="shared" si="352"/>
        <v>1.1111111111111107</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6978</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6979</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6978</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6979</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6978</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6979</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1</v>
      </c>
      <c r="M541" s="2586">
        <f>CM496</f>
        <v>1</v>
      </c>
      <c r="N541" s="2586">
        <f>CN496</f>
        <v>1</v>
      </c>
      <c r="O541" s="2586">
        <f>CO496</f>
        <v>0</v>
      </c>
      <c r="P541" s="2586">
        <f t="shared" si="359"/>
        <v>3</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1</v>
      </c>
      <c r="M547" s="2588">
        <f>SUM(M540:M546)</f>
        <v>1</v>
      </c>
      <c r="N547" s="2588">
        <f>SUM(N540:N546)</f>
        <v>1</v>
      </c>
      <c r="O547" s="2588">
        <f>SUM(O540:O546)</f>
        <v>0</v>
      </c>
      <c r="P547" s="2588">
        <f t="shared" si="359"/>
        <v>3</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9</v>
      </c>
      <c r="M560" s="2586">
        <f>GI496</f>
        <v>31</v>
      </c>
      <c r="N560" s="2586">
        <f>GJ496</f>
        <v>14</v>
      </c>
      <c r="O560" s="2586">
        <f>GK496</f>
        <v>0</v>
      </c>
      <c r="P560" s="2586">
        <f t="shared" ref="P560:P570" si="361">SUM(K560:O560)</f>
        <v>54</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9</v>
      </c>
      <c r="M562" s="2588">
        <f>SUM(M560:M561)+GS496</f>
        <v>31</v>
      </c>
      <c r="N562" s="2588">
        <f>SUM(N560:N561)+GT496</f>
        <v>14</v>
      </c>
      <c r="O562" s="2588">
        <f>SUM(O560:O561)+GU496</f>
        <v>0</v>
      </c>
      <c r="P562" s="2588">
        <f t="shared" si="361"/>
        <v>54</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6982</v>
      </c>
      <c r="D574" s="2784"/>
      <c r="E574" s="1503" t="s">
        <v>36</v>
      </c>
      <c r="F574" s="359"/>
      <c r="G574" s="2622"/>
      <c r="H574" s="360"/>
      <c r="K574" s="2588">
        <f t="shared" ref="K574:P574" si="362">SUM(K575:K582)</f>
        <v>0</v>
      </c>
      <c r="L574" s="2588">
        <f t="shared" si="362"/>
        <v>0</v>
      </c>
      <c r="M574" s="2588">
        <f t="shared" si="362"/>
        <v>0</v>
      </c>
      <c r="N574" s="2588">
        <f t="shared" si="362"/>
        <v>0</v>
      </c>
      <c r="O574" s="2588">
        <f t="shared" si="362"/>
        <v>0</v>
      </c>
      <c r="P574" s="2588">
        <f t="shared" si="362"/>
        <v>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9</v>
      </c>
      <c r="M585" s="2586">
        <f>JK496</f>
        <v>31</v>
      </c>
      <c r="N585" s="2586">
        <f>JL496</f>
        <v>14</v>
      </c>
      <c r="O585" s="2586">
        <f>JM496</f>
        <v>0</v>
      </c>
      <c r="P585" s="2588">
        <f t="shared" si="363"/>
        <v>54</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6983</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9</v>
      </c>
      <c r="M596" s="2586">
        <f t="shared" si="366"/>
        <v>31</v>
      </c>
      <c r="N596" s="2586">
        <f t="shared" si="366"/>
        <v>14</v>
      </c>
      <c r="O596" s="2586">
        <f t="shared" si="366"/>
        <v>0</v>
      </c>
      <c r="P596" s="2588">
        <f t="shared" si="365"/>
        <v>54</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6984</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892</v>
      </c>
      <c r="M605" s="2590">
        <f>EP496</f>
        <v>1146</v>
      </c>
      <c r="N605" s="2590">
        <f>EQ496</f>
        <v>1542</v>
      </c>
      <c r="O605" s="2590">
        <f>ER496</f>
        <v>0</v>
      </c>
      <c r="P605" s="2590">
        <f t="shared" si="368"/>
        <v>3580</v>
      </c>
      <c r="Q605" s="2804">
        <f t="shared" si="369"/>
        <v>1193.3333333333333</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5352</v>
      </c>
      <c r="M606" s="2590">
        <f>EU496</f>
        <v>25178</v>
      </c>
      <c r="N606" s="2590">
        <f>EV496</f>
        <v>12165</v>
      </c>
      <c r="O606" s="2590">
        <f>EW496</f>
        <v>0</v>
      </c>
      <c r="P606" s="2590">
        <f t="shared" si="368"/>
        <v>42695</v>
      </c>
      <c r="Q606" s="2804">
        <f t="shared" si="369"/>
        <v>1185.9722222222222</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1784</v>
      </c>
      <c r="M607" s="2590">
        <f>EZ496</f>
        <v>9134</v>
      </c>
      <c r="N607" s="2590">
        <f>FA496</f>
        <v>7539</v>
      </c>
      <c r="O607" s="2590">
        <f>FB496</f>
        <v>0</v>
      </c>
      <c r="P607" s="2590">
        <f t="shared" si="368"/>
        <v>18457</v>
      </c>
      <c r="Q607" s="2804">
        <f t="shared" si="369"/>
        <v>1230.4666666666667</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8028</v>
      </c>
      <c r="M611" s="2591">
        <f>SUM(M604:M610)</f>
        <v>35458</v>
      </c>
      <c r="N611" s="2591">
        <f>SUM(N604:N610)</f>
        <v>21246</v>
      </c>
      <c r="O611" s="2591">
        <f>SUM(O604:O610)</f>
        <v>0</v>
      </c>
      <c r="P611" s="2591">
        <f>SUM(K611:O611)</f>
        <v>64732</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8028</v>
      </c>
      <c r="M613" s="2592">
        <f>SUM(M611:M612)</f>
        <v>35458</v>
      </c>
      <c r="N613" s="2592">
        <f>SUM(N611:N612)</f>
        <v>21246</v>
      </c>
      <c r="O613" s="2592">
        <f>SUM(O611:O612)</f>
        <v>0</v>
      </c>
      <c r="P613" s="2592">
        <f>SUM(K613:O613)</f>
        <v>64732</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8028</v>
      </c>
      <c r="M615" s="2593">
        <f>SUM(M613:M614)</f>
        <v>35458</v>
      </c>
      <c r="N615" s="2593">
        <f>SUM(N613:N614)</f>
        <v>21246</v>
      </c>
      <c r="O615" s="2593">
        <f>SUM(O613:O614)</f>
        <v>0</v>
      </c>
      <c r="P615" s="2593">
        <f>SUM(K615:O615)</f>
        <v>64732</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818" t="str">
        <f>IF(OR(K514="",K514=0),"",K615/K514)</f>
        <v/>
      </c>
      <c r="L618" s="2818">
        <f>IF(OR(L514="",L514=0),"",L615/L514)</f>
        <v>892</v>
      </c>
      <c r="M618" s="2818">
        <f>IF(OR(M514="",M514=0),"",M615/M514)</f>
        <v>1143.8064516129032</v>
      </c>
      <c r="N618" s="2818">
        <f>IF(OR(N514="",N514=0),"",N615/N514)</f>
        <v>1517.5714285714287</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6986</v>
      </c>
      <c r="K621" s="2549">
        <f>'Part V-Revenues &amp; Expenses'!K174</f>
        <v>1570</v>
      </c>
      <c r="L621" s="2549"/>
      <c r="Z621" s="1622">
        <v>68</v>
      </c>
    </row>
    <row r="622" spans="1:380" s="1819" customFormat="1" ht="13.35" customHeight="1">
      <c r="A622" s="2615"/>
      <c r="C622" s="377" t="s">
        <v>242</v>
      </c>
      <c r="K622" s="2549">
        <f>P615+K621</f>
        <v>66302</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8196</v>
      </c>
      <c r="I626" s="2820"/>
      <c r="J626" s="2810" t="s">
        <v>6988</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6989</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6989</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6990</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6989</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6990</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6989</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34986</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33750</v>
      </c>
      <c r="G668" s="2590"/>
      <c r="I668" s="359" t="s">
        <v>1300</v>
      </c>
      <c r="L668" s="2590">
        <f>'Part V-Revenues &amp; Expenses'!L221</f>
        <v>0</v>
      </c>
      <c r="M668" s="2590"/>
      <c r="O668" s="2599">
        <f>+Q667/(P514*0.93)</f>
        <v>696.65471923536427</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33750</v>
      </c>
      <c r="G669" s="2590"/>
      <c r="I669" s="359" t="s">
        <v>1301</v>
      </c>
      <c r="L669" s="2590">
        <f>'Part V-Revenues &amp; Expenses'!L222</f>
        <v>0</v>
      </c>
      <c r="M669" s="2590"/>
      <c r="O669" s="2599">
        <f>+Q667/(P514*0.93)/12</f>
        <v>58.054559936280356</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67500</v>
      </c>
      <c r="G674" s="2590"/>
      <c r="I674" s="359" t="s">
        <v>1497</v>
      </c>
      <c r="L674" s="2590">
        <f>'Part V-Revenues &amp; Expenses'!L227</f>
        <v>1620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4428</v>
      </c>
      <c r="M675" s="2590"/>
      <c r="N675" s="2771" t="str">
        <f>IF(Q677="","",IF(Q675&lt;Q677, "WARNING! OE below required minimum.",""))</f>
        <v/>
      </c>
      <c r="O675" s="1747" t="s">
        <v>2029</v>
      </c>
      <c r="Q675" s="2818">
        <f>F674+F683+F694+L670+L678+L688+L694+Q667</f>
        <v>233220</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324</v>
      </c>
      <c r="M676" s="2590"/>
      <c r="N676" s="2771"/>
      <c r="O676" s="2799" t="s">
        <v>2486</v>
      </c>
      <c r="P676" s="2599">
        <f>+Q675/P514</f>
        <v>4318.8888888888887</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1350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175500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3186</v>
      </c>
      <c r="G678" s="2590"/>
      <c r="I678" s="1747"/>
      <c r="K678" s="2828" t="s">
        <v>184</v>
      </c>
      <c r="L678" s="2818">
        <f>SUM(L674:L677)</f>
        <v>6372</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5400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6912</v>
      </c>
      <c r="G681" s="2590"/>
      <c r="I681" s="1747" t="s">
        <v>1297</v>
      </c>
      <c r="K681" s="1622" t="s">
        <v>3883</v>
      </c>
      <c r="O681" s="1747" t="s">
        <v>3085</v>
      </c>
      <c r="P681" s="1747"/>
      <c r="Q681" s="2600">
        <f>'Part V-Revenues &amp; Expenses'!Q234</f>
        <v>13500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(training/dues)</v>
      </c>
      <c r="C682" s="362"/>
      <c r="D682" s="362"/>
      <c r="E682" s="362"/>
      <c r="F682" s="2590">
        <f>'Part V-Revenues &amp; Expenses'!F235</f>
        <v>540</v>
      </c>
      <c r="G682" s="2590"/>
      <c r="I682" s="359" t="s">
        <v>1290</v>
      </c>
      <c r="K682" s="2717">
        <f>L682/12/P514</f>
        <v>7.5</v>
      </c>
      <c r="L682" s="2590">
        <f>'Part V-Revenues &amp; Expenses'!L235</f>
        <v>4860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17388</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2</v>
      </c>
      <c r="L684" s="2590">
        <f>'Part V-Revenues &amp; Expenses'!L237</f>
        <v>1296</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14.166666666666666</v>
      </c>
      <c r="L685" s="2590">
        <f>'Part V-Revenues &amp; Expenses'!L238</f>
        <v>9180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0</v>
      </c>
      <c r="G686" s="2590"/>
      <c r="I686" s="359" t="s">
        <v>6991</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4860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54 units x $250 =</v>
      </c>
      <c r="Q687" s="2837">
        <f>'Part V-Revenues &amp; Expenses'!Q240</f>
        <v>13500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9990</v>
      </c>
      <c r="G688" s="2590"/>
      <c r="K688" s="2828" t="s">
        <v>184</v>
      </c>
      <c r="L688" s="2818">
        <f>SUM(L682:L687)</f>
        <v>15336</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4698</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8640</v>
      </c>
      <c r="G690" s="2590"/>
      <c r="I690" s="1747" t="s">
        <v>1298</v>
      </c>
      <c r="O690" s="2788" t="s">
        <v>2467</v>
      </c>
      <c r="P690" s="2782">
        <f>'Part V-Revenues &amp; Expenses'!P243</f>
        <v>54</v>
      </c>
      <c r="Q690" s="2838">
        <f>SUM(Q686:Q689)</f>
        <v>13500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6992</v>
      </c>
      <c r="L691" s="2590">
        <f>'Part V-Revenues &amp; Expenses'!L244</f>
        <v>38610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5940</v>
      </c>
      <c r="G692" s="2590"/>
      <c r="I692" s="359" t="s">
        <v>140</v>
      </c>
      <c r="L692" s="2590">
        <f>'Part V-Revenues &amp; Expenses'!L245</f>
        <v>18900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34128</v>
      </c>
      <c r="G694" s="2590"/>
      <c r="K694" s="2828" t="s">
        <v>184</v>
      </c>
      <c r="L694" s="2818">
        <f>SUM(L690:L693)</f>
        <v>57510</v>
      </c>
      <c r="M694" s="2818"/>
      <c r="O694" s="1747" t="s">
        <v>2030</v>
      </c>
      <c r="Q694" s="2818">
        <f>Q675+Q681</f>
        <v>246720</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 is blank as there is no ground lease in place.</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The Bridges at Lincom,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6993</v>
      </c>
    </row>
    <row r="712" spans="1:11">
      <c r="C712" s="2771"/>
    </row>
    <row r="713" spans="1:11" ht="12.75" customHeight="1">
      <c r="A713" s="357" t="s">
        <v>2031</v>
      </c>
      <c r="B713" s="2841">
        <f>'DCA Underwriting Assumptions'!$Q$99</f>
        <v>0.02</v>
      </c>
      <c r="C713" s="2771"/>
      <c r="D713" s="2784" t="s">
        <v>6994</v>
      </c>
      <c r="E713" s="2784"/>
      <c r="F713" s="2784"/>
      <c r="G713" s="2603">
        <f>'Part VI-Pro Forma'!G6</f>
        <v>6075</v>
      </c>
      <c r="H713" s="2814" t="s">
        <v>1768</v>
      </c>
      <c r="K713" s="2842">
        <f>'Part VI-Pro Forma'!K6</f>
        <v>-1.5627561183638429E-2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8.9999317789427824E-2</v>
      </c>
    </row>
    <row r="716" spans="1:11">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0.09</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409800</v>
      </c>
      <c r="C722" s="2606">
        <f>'Part VI-Pro Forma'!C15</f>
        <v>417996</v>
      </c>
      <c r="D722" s="2606">
        <f>'Part VI-Pro Forma'!D15</f>
        <v>426355.92</v>
      </c>
      <c r="E722" s="2606">
        <f>'Part VI-Pro Forma'!E15</f>
        <v>434883.03839999996</v>
      </c>
      <c r="F722" s="2606">
        <f>'Part VI-Pro Forma'!F15</f>
        <v>443580.69916799996</v>
      </c>
      <c r="G722" s="2606">
        <f>'Part VI-Pro Forma'!G15</f>
        <v>452452.31315136002</v>
      </c>
      <c r="H722" s="2606">
        <f>'Part VI-Pro Forma'!H15</f>
        <v>461501.3594143872</v>
      </c>
      <c r="I722" s="2606">
        <f>'Part VI-Pro Forma'!I15</f>
        <v>470731.38660267484</v>
      </c>
      <c r="J722" s="2606">
        <f>'Part VI-Pro Forma'!J15</f>
        <v>480146.01433472842</v>
      </c>
      <c r="K722" s="2606">
        <f>'Part VI-Pro Forma'!K15</f>
        <v>489748.93462142296</v>
      </c>
    </row>
    <row r="723" spans="1:11">
      <c r="A723" s="357" t="s">
        <v>952</v>
      </c>
      <c r="B723" s="2606">
        <f>'Part VI-Pro Forma'!B16</f>
        <v>8196</v>
      </c>
      <c r="C723" s="2606">
        <f>'Part VI-Pro Forma'!C16</f>
        <v>8359.92</v>
      </c>
      <c r="D723" s="2606">
        <f>'Part VI-Pro Forma'!D16</f>
        <v>8527.1183999999994</v>
      </c>
      <c r="E723" s="2606">
        <f>'Part VI-Pro Forma'!E16</f>
        <v>8697.6607679999997</v>
      </c>
      <c r="F723" s="2606">
        <f>'Part VI-Pro Forma'!F16</f>
        <v>8871.6139833599991</v>
      </c>
      <c r="G723" s="2606">
        <f>'Part VI-Pro Forma'!G16</f>
        <v>9049.0462630271995</v>
      </c>
      <c r="H723" s="2606">
        <f>'Part VI-Pro Forma'!H16</f>
        <v>9230.0271882877441</v>
      </c>
      <c r="I723" s="2606">
        <f>'Part VI-Pro Forma'!I16</f>
        <v>9414.6277320534973</v>
      </c>
      <c r="J723" s="2606">
        <f>'Part VI-Pro Forma'!J16</f>
        <v>9602.9202866945689</v>
      </c>
      <c r="K723" s="2606">
        <f>'Part VI-Pro Forma'!K16</f>
        <v>9794.9786924284599</v>
      </c>
    </row>
    <row r="724" spans="1:11">
      <c r="A724" s="357" t="s">
        <v>2216</v>
      </c>
      <c r="B724" s="2606">
        <f>'Part VI-Pro Forma'!B17</f>
        <v>-29259.72</v>
      </c>
      <c r="C724" s="2606">
        <f>'Part VI-Pro Forma'!C17</f>
        <v>-29844.914400000001</v>
      </c>
      <c r="D724" s="2606">
        <f>'Part VI-Pro Forma'!D17</f>
        <v>-30441.812688000002</v>
      </c>
      <c r="E724" s="2606">
        <f>'Part VI-Pro Forma'!E17</f>
        <v>-31050.648941759999</v>
      </c>
      <c r="F724" s="2606">
        <f>'Part VI-Pro Forma'!F17</f>
        <v>-31671.661920595201</v>
      </c>
      <c r="G724" s="2606">
        <f>'Part VI-Pro Forma'!G17</f>
        <v>-32305.095159007109</v>
      </c>
      <c r="H724" s="2606">
        <f>'Part VI-Pro Forma'!H17</f>
        <v>-32951.197062187253</v>
      </c>
      <c r="I724" s="2606">
        <f>'Part VI-Pro Forma'!I17</f>
        <v>-33610.22100343099</v>
      </c>
      <c r="J724" s="2606">
        <f>'Part VI-Pro Forma'!J17</f>
        <v>-34282.425423499611</v>
      </c>
      <c r="K724" s="2606">
        <f>'Part VI-Pro Forma'!K17</f>
        <v>-34968.0739319696</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388736.28</v>
      </c>
      <c r="C727" s="2606">
        <f>'Part VI-Pro Forma'!C20</f>
        <v>396511.00559999997</v>
      </c>
      <c r="D727" s="2606">
        <f>'Part VI-Pro Forma'!D20</f>
        <v>404441.22571199998</v>
      </c>
      <c r="E727" s="2606">
        <f>'Part VI-Pro Forma'!E20</f>
        <v>412530.05022623995</v>
      </c>
      <c r="F727" s="2606">
        <f>'Part VI-Pro Forma'!F20</f>
        <v>420780.65123076475</v>
      </c>
      <c r="G727" s="2606">
        <f>'Part VI-Pro Forma'!G20</f>
        <v>429196.26425538008</v>
      </c>
      <c r="H727" s="2606">
        <f>'Part VI-Pro Forma'!H20</f>
        <v>437780.18954048771</v>
      </c>
      <c r="I727" s="2606">
        <f>'Part VI-Pro Forma'!I20</f>
        <v>446535.79333129735</v>
      </c>
      <c r="J727" s="2606">
        <f>'Part VI-Pro Forma'!J20</f>
        <v>455466.50919792335</v>
      </c>
      <c r="K727" s="2606">
        <f>'Part VI-Pro Forma'!K20</f>
        <v>464575.83938188181</v>
      </c>
    </row>
    <row r="728" spans="1:11">
      <c r="A728" s="357" t="s">
        <v>572</v>
      </c>
      <c r="B728" s="2606">
        <f>'Part VI-Pro Forma'!B21</f>
        <v>-198234</v>
      </c>
      <c r="C728" s="2606">
        <f>'Part VI-Pro Forma'!C21</f>
        <v>-204181.02000000002</v>
      </c>
      <c r="D728" s="2606">
        <f>'Part VI-Pro Forma'!D21</f>
        <v>-210306.45059999998</v>
      </c>
      <c r="E728" s="2606">
        <f>'Part VI-Pro Forma'!E21</f>
        <v>-216615.644118</v>
      </c>
      <c r="F728" s="2606">
        <f>'Part VI-Pro Forma'!F21</f>
        <v>-223114.11344153999</v>
      </c>
      <c r="G728" s="2606">
        <f>'Part VI-Pro Forma'!G21</f>
        <v>-229807.53684478617</v>
      </c>
      <c r="H728" s="2606">
        <f>'Part VI-Pro Forma'!H21</f>
        <v>-236701.76295012978</v>
      </c>
      <c r="I728" s="2606">
        <f>'Part VI-Pro Forma'!I21</f>
        <v>-243802.81583863369</v>
      </c>
      <c r="J728" s="2606">
        <f>'Part VI-Pro Forma'!J21</f>
        <v>-251116.90031379266</v>
      </c>
      <c r="K728" s="2606">
        <f>'Part VI-Pro Forma'!K21</f>
        <v>-258650.40732320645</v>
      </c>
    </row>
    <row r="729" spans="1:11">
      <c r="A729" s="357" t="s">
        <v>1050</v>
      </c>
      <c r="B729" s="2606">
        <f>'Part VI-Pro Forma'!B22</f>
        <v>-34986</v>
      </c>
      <c r="C729" s="2606">
        <f>'Part VI-Pro Forma'!C22</f>
        <v>-35686</v>
      </c>
      <c r="D729" s="2606">
        <f>'Part VI-Pro Forma'!D22</f>
        <v>-36400</v>
      </c>
      <c r="E729" s="2606">
        <f>'Part VI-Pro Forma'!E22</f>
        <v>-37128</v>
      </c>
      <c r="F729" s="2606">
        <f>'Part VI-Pro Forma'!F22</f>
        <v>-37870</v>
      </c>
      <c r="G729" s="2606">
        <f>'Part VI-Pro Forma'!G22</f>
        <v>-38628</v>
      </c>
      <c r="H729" s="2606">
        <f>'Part VI-Pro Forma'!H22</f>
        <v>-39400</v>
      </c>
      <c r="I729" s="2606">
        <f>'Part VI-Pro Forma'!I22</f>
        <v>-40188</v>
      </c>
      <c r="J729" s="2606">
        <f>'Part VI-Pro Forma'!J22</f>
        <v>-40992</v>
      </c>
      <c r="K729" s="2606">
        <f>'Part VI-Pro Forma'!K22</f>
        <v>-41812</v>
      </c>
    </row>
    <row r="730" spans="1:11">
      <c r="A730" s="357" t="s">
        <v>1128</v>
      </c>
      <c r="B730" s="2606">
        <f>'Part VI-Pro Forma'!B23</f>
        <v>-13500</v>
      </c>
      <c r="C730" s="2606">
        <f>'Part VI-Pro Forma'!C23</f>
        <v>-13905</v>
      </c>
      <c r="D730" s="2606">
        <f>'Part VI-Pro Forma'!D23</f>
        <v>-14322.15</v>
      </c>
      <c r="E730" s="2606">
        <f>'Part VI-Pro Forma'!E23</f>
        <v>-14751.8145</v>
      </c>
      <c r="F730" s="2606">
        <f>'Part VI-Pro Forma'!F23</f>
        <v>-15194.368934999999</v>
      </c>
      <c r="G730" s="2606">
        <f>'Part VI-Pro Forma'!G23</f>
        <v>-15650.200003049998</v>
      </c>
      <c r="H730" s="2606">
        <f>'Part VI-Pro Forma'!H23</f>
        <v>-16119.706003141499</v>
      </c>
      <c r="I730" s="2606">
        <f>'Part VI-Pro Forma'!I23</f>
        <v>-16603.297183235743</v>
      </c>
      <c r="J730" s="2606">
        <f>'Part VI-Pro Forma'!J23</f>
        <v>-17101.396098732814</v>
      </c>
      <c r="K730" s="2606">
        <f>'Part VI-Pro Forma'!K23</f>
        <v>-17614.437981694799</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142016.28000000003</v>
      </c>
      <c r="C732" s="2606">
        <f t="shared" ref="C732:J732" si="377">SUM(C727:C731)</f>
        <v>142738.98559999996</v>
      </c>
      <c r="D732" s="2606">
        <f t="shared" si="377"/>
        <v>143412.62511200001</v>
      </c>
      <c r="E732" s="2606">
        <f t="shared" si="377"/>
        <v>144034.59160823995</v>
      </c>
      <c r="F732" s="2606">
        <f t="shared" si="377"/>
        <v>144602.16885422476</v>
      </c>
      <c r="G732" s="2606">
        <f t="shared" si="377"/>
        <v>145110.52740754391</v>
      </c>
      <c r="H732" s="2606">
        <f t="shared" si="377"/>
        <v>145558.72058721643</v>
      </c>
      <c r="I732" s="2606">
        <f t="shared" si="377"/>
        <v>145941.6803094279</v>
      </c>
      <c r="J732" s="2606">
        <f t="shared" si="377"/>
        <v>146256.21278539789</v>
      </c>
      <c r="K732" s="2606">
        <f>SUM(K727:K731)</f>
        <v>146498.99407698057</v>
      </c>
    </row>
    <row r="733" spans="1:11">
      <c r="A733" s="357" t="s">
        <v>1486</v>
      </c>
      <c r="B733" s="2606">
        <f>'Part VI-Pro Forma'!B26</f>
        <v>-109280.22</v>
      </c>
      <c r="C733" s="2606">
        <f>'Part VI-Pro Forma'!C26</f>
        <v>-109280.22</v>
      </c>
      <c r="D733" s="2606">
        <f>'Part VI-Pro Forma'!D26</f>
        <v>-109280.22</v>
      </c>
      <c r="E733" s="2606">
        <f>'Part VI-Pro Forma'!E26</f>
        <v>-109280.22</v>
      </c>
      <c r="F733" s="2606">
        <f>'Part VI-Pro Forma'!F26</f>
        <v>-109280.22</v>
      </c>
      <c r="G733" s="2606">
        <f>'Part VI-Pro Forma'!G26</f>
        <v>-109280.22</v>
      </c>
      <c r="H733" s="2606">
        <f>'Part VI-Pro Forma'!H26</f>
        <v>-109280.22</v>
      </c>
      <c r="I733" s="2606">
        <f>'Part VI-Pro Forma'!I26</f>
        <v>-109280.22</v>
      </c>
      <c r="J733" s="2606">
        <f>'Part VI-Pro Forma'!J26</f>
        <v>-109280.22</v>
      </c>
      <c r="K733" s="2606">
        <f>'Part VI-Pro Forma'!K26</f>
        <v>-109280.22</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-6075</v>
      </c>
      <c r="C738" s="2606">
        <f>'Part VI-Pro Forma'!C31</f>
        <v>-6257.25</v>
      </c>
      <c r="D738" s="2606">
        <f>'Part VI-Pro Forma'!D31</f>
        <v>-6444.9674999999997</v>
      </c>
      <c r="E738" s="2606">
        <f>'Part VI-Pro Forma'!E31</f>
        <v>-6638.3165250000002</v>
      </c>
      <c r="F738" s="2606">
        <f>'Part VI-Pro Forma'!F31</f>
        <v>-6837.4660207500001</v>
      </c>
      <c r="G738" s="2606">
        <f>'Part VI-Pro Forma'!G31</f>
        <v>-7042.5900013725004</v>
      </c>
      <c r="H738" s="2606">
        <f>'Part VI-Pro Forma'!H31</f>
        <v>-7253.8677014136756</v>
      </c>
      <c r="I738" s="2606">
        <f>'Part VI-Pro Forma'!I31</f>
        <v>-7471.4837324560858</v>
      </c>
      <c r="J738" s="2606">
        <f>'Part VI-Pro Forma'!J31</f>
        <v>-7695.6282444297685</v>
      </c>
      <c r="K738" s="2606">
        <f>'Part VI-Pro Forma'!K31</f>
        <v>-7926.4970917626615</v>
      </c>
    </row>
    <row r="739" spans="1:11">
      <c r="A739" s="357" t="s">
        <v>3361</v>
      </c>
      <c r="B739" s="2606">
        <f>'Part VI-Pro Forma'!B32</f>
        <v>-915</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25746.060000000027</v>
      </c>
      <c r="C740" s="2606">
        <f t="shared" si="378"/>
        <v>27201.515599999955</v>
      </c>
      <c r="D740" s="2606">
        <f t="shared" si="378"/>
        <v>27687.437612000009</v>
      </c>
      <c r="E740" s="2606">
        <f t="shared" si="378"/>
        <v>28116.055083239946</v>
      </c>
      <c r="F740" s="2606">
        <f t="shared" si="378"/>
        <v>28484.482833474758</v>
      </c>
      <c r="G740" s="2606">
        <f t="shared" si="378"/>
        <v>28787.717406171407</v>
      </c>
      <c r="H740" s="2606">
        <f t="shared" si="378"/>
        <v>29024.632885802755</v>
      </c>
      <c r="I740" s="2606">
        <f t="shared" si="378"/>
        <v>29189.976576971814</v>
      </c>
      <c r="J740" s="2606">
        <f t="shared" si="378"/>
        <v>29280.364540968119</v>
      </c>
      <c r="K740" s="2606">
        <f t="shared" si="378"/>
        <v>29292.276985217904</v>
      </c>
    </row>
    <row r="741" spans="1:11">
      <c r="A741" s="357" t="str">
        <f>IF('Part II-Sources of Funds'!$E$40 = "Neither", "", "DCR Mortgage A")</f>
        <v>DCR Mortgage A</v>
      </c>
      <c r="B741" s="2607">
        <f t="shared" ref="B741:K741" si="379">IF(B733=0,"",-B732/B733)</f>
        <v>1.2995607073265412</v>
      </c>
      <c r="C741" s="2607">
        <f t="shared" si="379"/>
        <v>1.3061740322265087</v>
      </c>
      <c r="D741" s="2607">
        <f t="shared" si="379"/>
        <v>1.3123383638136894</v>
      </c>
      <c r="E741" s="2607">
        <f t="shared" si="379"/>
        <v>1.3180298466478193</v>
      </c>
      <c r="F741" s="2607">
        <f t="shared" si="379"/>
        <v>1.3232236250460034</v>
      </c>
      <c r="G741" s="2607">
        <f t="shared" si="379"/>
        <v>1.3278755058101448</v>
      </c>
      <c r="H741" s="2607">
        <f t="shared" si="379"/>
        <v>1.3319768260643732</v>
      </c>
      <c r="I741" s="2607">
        <f t="shared" si="379"/>
        <v>1.3354812088539709</v>
      </c>
      <c r="J741" s="2607">
        <f t="shared" si="379"/>
        <v>1.3383594284985689</v>
      </c>
      <c r="K741" s="2607">
        <f t="shared" si="379"/>
        <v>1.3405810683486963</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1.2995607073265412</v>
      </c>
      <c r="C745" s="2607">
        <f t="shared" si="383"/>
        <v>1.3061740322265087</v>
      </c>
      <c r="D745" s="2607">
        <f t="shared" si="383"/>
        <v>1.3123383638136894</v>
      </c>
      <c r="E745" s="2607">
        <f t="shared" si="383"/>
        <v>1.3180298466478193</v>
      </c>
      <c r="F745" s="2607">
        <f t="shared" si="383"/>
        <v>1.3232236250460034</v>
      </c>
      <c r="G745" s="2607">
        <f t="shared" si="383"/>
        <v>1.3278755058101448</v>
      </c>
      <c r="H745" s="2607">
        <f t="shared" si="383"/>
        <v>1.3319768260643732</v>
      </c>
      <c r="I745" s="2607">
        <f t="shared" si="383"/>
        <v>1.3354812088539709</v>
      </c>
      <c r="J745" s="2607">
        <f t="shared" si="383"/>
        <v>1.3383594284985689</v>
      </c>
      <c r="K745" s="2607">
        <f t="shared" si="383"/>
        <v>1.3405810683486963</v>
      </c>
    </row>
    <row r="746" spans="1:11">
      <c r="A746" s="357" t="s">
        <v>718</v>
      </c>
      <c r="B746" s="2608">
        <f t="shared" ref="B746:K746" si="384">IF(OR(B729="Choose mgt fee",B729="Choose One!"),"",(B722+B723+B724+B725+B726) / -(B728+B729+B730))</f>
        <v>1.5756172178988328</v>
      </c>
      <c r="C746" s="2608">
        <f t="shared" si="384"/>
        <v>1.5624693597032484</v>
      </c>
      <c r="D746" s="2608">
        <f t="shared" si="384"/>
        <v>1.5494134542435272</v>
      </c>
      <c r="E746" s="2608">
        <f t="shared" si="384"/>
        <v>1.536450755441507</v>
      </c>
      <c r="F746" s="2608">
        <f t="shared" si="384"/>
        <v>1.5235823139076965</v>
      </c>
      <c r="G746" s="2608">
        <f t="shared" si="384"/>
        <v>1.5107983562204288</v>
      </c>
      <c r="H746" s="2608">
        <f t="shared" si="384"/>
        <v>1.4981109742162459</v>
      </c>
      <c r="I746" s="2608">
        <f t="shared" si="384"/>
        <v>1.4855107734555335</v>
      </c>
      <c r="J746" s="2608">
        <f t="shared" si="384"/>
        <v>1.4729991674994991</v>
      </c>
      <c r="K746" s="2608">
        <f t="shared" si="384"/>
        <v>1.4605773612239834</v>
      </c>
    </row>
    <row r="747" spans="1:11">
      <c r="A747" s="357" t="s">
        <v>2405</v>
      </c>
      <c r="B747" s="2606">
        <f>'Part VI-Pro Forma'!B40</f>
        <v>1046854.2321632132</v>
      </c>
      <c r="C747" s="2606">
        <f>'Part VI-Pro Forma'!C40</f>
        <v>1023052.8554660277</v>
      </c>
      <c r="D747" s="2606">
        <f>'Part VI-Pro Forma'!D40</f>
        <v>997211.88789756596</v>
      </c>
      <c r="E747" s="2606">
        <f>'Part VI-Pro Forma'!E40</f>
        <v>969156.55255415896</v>
      </c>
      <c r="F747" s="2606">
        <f>'Part VI-Pro Forma'!F40</f>
        <v>938697.09552548081</v>
      </c>
      <c r="G747" s="2606">
        <f>'Part VI-Pro Forma'!G40</f>
        <v>905627.50248281867</v>
      </c>
      <c r="H747" s="2606">
        <f>'Part VI-Pro Forma'!H40</f>
        <v>869724.10528904572</v>
      </c>
      <c r="I747" s="2606">
        <f>'Part VI-Pro Forma'!I40</f>
        <v>830744.06920602371</v>
      </c>
      <c r="J747" s="2606">
        <f>'Part VI-Pro Forma'!J40</f>
        <v>788423.75046757224</v>
      </c>
      <c r="K747" s="2606">
        <f>'Part VI-Pro Forma'!K40</f>
        <v>742476.91310935305</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499543.91331385146</v>
      </c>
      <c r="C754" s="2606">
        <f>'Part VI-Pro Forma'!C47</f>
        <v>509534.79158012843</v>
      </c>
      <c r="D754" s="2606">
        <f>'Part VI-Pro Forma'!D47</f>
        <v>519725.48741173104</v>
      </c>
      <c r="E754" s="2606">
        <f>'Part VI-Pro Forma'!E47</f>
        <v>530119.99715996569</v>
      </c>
      <c r="F754" s="2606">
        <f>'Part VI-Pro Forma'!F47</f>
        <v>540722.39710316504</v>
      </c>
      <c r="G754" s="2606">
        <f>'Part VI-Pro Forma'!G47</f>
        <v>551536.84504522814</v>
      </c>
      <c r="H754" s="2606">
        <f>'Part VI-Pro Forma'!H47</f>
        <v>562567.58194613282</v>
      </c>
      <c r="I754" s="2606">
        <f>'Part VI-Pro Forma'!I47</f>
        <v>573818.93358505552</v>
      </c>
      <c r="J754" s="2606">
        <f>'Part VI-Pro Forma'!J47</f>
        <v>585295.31225675659</v>
      </c>
      <c r="K754" s="2606">
        <f>'Part VI-Pro Forma'!K47</f>
        <v>597001.21850189171</v>
      </c>
    </row>
    <row r="755" spans="1:11">
      <c r="A755" s="357" t="s">
        <v>952</v>
      </c>
      <c r="B755" s="2606">
        <f>'Part VI-Pro Forma'!B48</f>
        <v>9990.87826627703</v>
      </c>
      <c r="C755" s="2606">
        <f>'Part VI-Pro Forma'!C48</f>
        <v>10190.695831602568</v>
      </c>
      <c r="D755" s="2606">
        <f>'Part VI-Pro Forma'!D48</f>
        <v>10394.509748234621</v>
      </c>
      <c r="E755" s="2606">
        <f>'Part VI-Pro Forma'!E48</f>
        <v>10602.399943199312</v>
      </c>
      <c r="F755" s="2606">
        <f>'Part VI-Pro Forma'!F48</f>
        <v>10814.4479420633</v>
      </c>
      <c r="G755" s="2606">
        <f>'Part VI-Pro Forma'!G48</f>
        <v>11030.736900904563</v>
      </c>
      <c r="H755" s="2606">
        <f>'Part VI-Pro Forma'!H48</f>
        <v>11251.351638922657</v>
      </c>
      <c r="I755" s="2606">
        <f>'Part VI-Pro Forma'!I48</f>
        <v>11476.37867170111</v>
      </c>
      <c r="J755" s="2606">
        <f>'Part VI-Pro Forma'!J48</f>
        <v>11705.906245135131</v>
      </c>
      <c r="K755" s="2606">
        <f>'Part VI-Pro Forma'!K48</f>
        <v>11940.024370037834</v>
      </c>
    </row>
    <row r="756" spans="1:11">
      <c r="A756" s="357" t="s">
        <v>2216</v>
      </c>
      <c r="B756" s="2606">
        <f>'Part VI-Pro Forma'!B49</f>
        <v>-35667.435410608996</v>
      </c>
      <c r="C756" s="2606">
        <f>'Part VI-Pro Forma'!C49</f>
        <v>-36380.784118821175</v>
      </c>
      <c r="D756" s="2606">
        <f>'Part VI-Pro Forma'!D49</f>
        <v>-37108.3998011976</v>
      </c>
      <c r="E756" s="2606">
        <f>'Part VI-Pro Forma'!E49</f>
        <v>-37850.567797221556</v>
      </c>
      <c r="F756" s="2606">
        <f>'Part VI-Pro Forma'!F49</f>
        <v>-38607.579153165992</v>
      </c>
      <c r="G756" s="2606">
        <f>'Part VI-Pro Forma'!G49</f>
        <v>-39379.730736229292</v>
      </c>
      <c r="H756" s="2606">
        <f>'Part VI-Pro Forma'!H49</f>
        <v>-40167.325350953892</v>
      </c>
      <c r="I756" s="2606">
        <f>'Part VI-Pro Forma'!I49</f>
        <v>-40970.671857972964</v>
      </c>
      <c r="J756" s="2606">
        <f>'Part VI-Pro Forma'!J49</f>
        <v>-41790.085295132427</v>
      </c>
      <c r="K756" s="2606">
        <f>'Part VI-Pro Forma'!K49</f>
        <v>-42625.887001035073</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473867.35616951948</v>
      </c>
      <c r="C759" s="2606">
        <f>'Part VI-Pro Forma'!C52</f>
        <v>483344.70329290978</v>
      </c>
      <c r="D759" s="2606">
        <f>'Part VI-Pro Forma'!D52</f>
        <v>493011.59735876811</v>
      </c>
      <c r="E759" s="2606">
        <f>'Part VI-Pro Forma'!E52</f>
        <v>502871.82930594351</v>
      </c>
      <c r="F759" s="2606">
        <f>'Part VI-Pro Forma'!F52</f>
        <v>512929.26589206239</v>
      </c>
      <c r="G759" s="2606">
        <f>'Part VI-Pro Forma'!G52</f>
        <v>523187.85120990343</v>
      </c>
      <c r="H759" s="2606">
        <f>'Part VI-Pro Forma'!H52</f>
        <v>533651.60823410167</v>
      </c>
      <c r="I759" s="2606">
        <f>'Part VI-Pro Forma'!I52</f>
        <v>544324.64039878361</v>
      </c>
      <c r="J759" s="2606">
        <f>'Part VI-Pro Forma'!J52</f>
        <v>555211.13320675923</v>
      </c>
      <c r="K759" s="2606">
        <f>'Part VI-Pro Forma'!K52</f>
        <v>566315.35587089451</v>
      </c>
    </row>
    <row r="760" spans="1:11">
      <c r="A760" s="357" t="s">
        <v>572</v>
      </c>
      <c r="B760" s="2606">
        <f>'Part VI-Pro Forma'!B53</f>
        <v>-266409.91954290261</v>
      </c>
      <c r="C760" s="2606">
        <f>'Part VI-Pro Forma'!C53</f>
        <v>-274402.21712918975</v>
      </c>
      <c r="D760" s="2606">
        <f>'Part VI-Pro Forma'!D53</f>
        <v>-282634.28364306537</v>
      </c>
      <c r="E760" s="2606">
        <f>'Part VI-Pro Forma'!E53</f>
        <v>-291113.31215235731</v>
      </c>
      <c r="F760" s="2606">
        <f>'Part VI-Pro Forma'!F53</f>
        <v>-299846.7115169281</v>
      </c>
      <c r="G760" s="2606">
        <f>'Part VI-Pro Forma'!G53</f>
        <v>-308842.11286243593</v>
      </c>
      <c r="H760" s="2606">
        <f>'Part VI-Pro Forma'!H53</f>
        <v>-318107.37624830898</v>
      </c>
      <c r="I760" s="2606">
        <f>'Part VI-Pro Forma'!I53</f>
        <v>-327650.59753575822</v>
      </c>
      <c r="J760" s="2606">
        <f>'Part VI-Pro Forma'!J53</f>
        <v>-337480.11546183098</v>
      </c>
      <c r="K760" s="2606">
        <f>'Part VI-Pro Forma'!K53</f>
        <v>-347604.5189256859</v>
      </c>
    </row>
    <row r="761" spans="1:11">
      <c r="A761" s="357" t="s">
        <v>1050</v>
      </c>
      <c r="B761" s="2606">
        <f>'Part VI-Pro Forma'!B54</f>
        <v>-42648</v>
      </c>
      <c r="C761" s="2606">
        <f>'Part VI-Pro Forma'!C54</f>
        <v>-43501</v>
      </c>
      <c r="D761" s="2606">
        <f>'Part VI-Pro Forma'!D54</f>
        <v>-44371</v>
      </c>
      <c r="E761" s="2606">
        <f>'Part VI-Pro Forma'!E54</f>
        <v>-45258</v>
      </c>
      <c r="F761" s="2606">
        <f>'Part VI-Pro Forma'!F54</f>
        <v>-46164</v>
      </c>
      <c r="G761" s="2606">
        <f>'Part VI-Pro Forma'!G54</f>
        <v>-47087</v>
      </c>
      <c r="H761" s="2606">
        <f>'Part VI-Pro Forma'!H54</f>
        <v>-48029</v>
      </c>
      <c r="I761" s="2606">
        <f>'Part VI-Pro Forma'!I54</f>
        <v>-48989</v>
      </c>
      <c r="J761" s="2606">
        <f>'Part VI-Pro Forma'!J54</f>
        <v>-49969</v>
      </c>
      <c r="K761" s="2606">
        <f>'Part VI-Pro Forma'!K54</f>
        <v>-50968</v>
      </c>
    </row>
    <row r="762" spans="1:11">
      <c r="A762" s="357" t="s">
        <v>1128</v>
      </c>
      <c r="B762" s="2606">
        <f>'Part VI-Pro Forma'!B55</f>
        <v>-18142.871121145643</v>
      </c>
      <c r="C762" s="2606">
        <f>'Part VI-Pro Forma'!C55</f>
        <v>-18687.157254780013</v>
      </c>
      <c r="D762" s="2606">
        <f>'Part VI-Pro Forma'!D55</f>
        <v>-19247.771972423412</v>
      </c>
      <c r="E762" s="2606">
        <f>'Part VI-Pro Forma'!E55</f>
        <v>-19825.205131596114</v>
      </c>
      <c r="F762" s="2606">
        <f>'Part VI-Pro Forma'!F55</f>
        <v>-20419.961285543999</v>
      </c>
      <c r="G762" s="2606">
        <f>'Part VI-Pro Forma'!G55</f>
        <v>-21032.560124110321</v>
      </c>
      <c r="H762" s="2606">
        <f>'Part VI-Pro Forma'!H55</f>
        <v>-21663.536927833626</v>
      </c>
      <c r="I762" s="2606">
        <f>'Part VI-Pro Forma'!I55</f>
        <v>-22313.443035668635</v>
      </c>
      <c r="J762" s="2606">
        <f>'Part VI-Pro Forma'!J55</f>
        <v>-22982.846326738694</v>
      </c>
      <c r="K762" s="2606">
        <f>'Part VI-Pro Forma'!K55</f>
        <v>-23672.331716540855</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146666.56550547123</v>
      </c>
      <c r="C764" s="2606">
        <f t="shared" si="386"/>
        <v>146754.32890894002</v>
      </c>
      <c r="D764" s="2606">
        <f t="shared" si="386"/>
        <v>146758.54174327932</v>
      </c>
      <c r="E764" s="2606">
        <f t="shared" si="386"/>
        <v>146675.31202199007</v>
      </c>
      <c r="F764" s="2606">
        <f t="shared" si="386"/>
        <v>146498.59308959029</v>
      </c>
      <c r="G764" s="2606">
        <f t="shared" si="386"/>
        <v>146226.17822335719</v>
      </c>
      <c r="H764" s="2606">
        <f t="shared" si="386"/>
        <v>145851.69505795906</v>
      </c>
      <c r="I764" s="2606">
        <f t="shared" si="386"/>
        <v>145371.59982735675</v>
      </c>
      <c r="J764" s="2606">
        <f t="shared" si="386"/>
        <v>144779.17141818957</v>
      </c>
      <c r="K764" s="2606">
        <f t="shared" si="386"/>
        <v>144070.50522866775</v>
      </c>
    </row>
    <row r="765" spans="1:11">
      <c r="A765" s="357" t="str">
        <f>$A733</f>
        <v>Mortgage A</v>
      </c>
      <c r="B765" s="2606">
        <f>'Part VI-Pro Forma'!B58</f>
        <v>-109280.22</v>
      </c>
      <c r="C765" s="2606">
        <f>'Part VI-Pro Forma'!C58</f>
        <v>-109280.22</v>
      </c>
      <c r="D765" s="2606">
        <f>'Part VI-Pro Forma'!D58</f>
        <v>-109280.22</v>
      </c>
      <c r="E765" s="2606">
        <f>'Part VI-Pro Forma'!E58</f>
        <v>-109280.22</v>
      </c>
      <c r="F765" s="2606">
        <f>'Part VI-Pro Forma'!F58</f>
        <v>-109280.22</v>
      </c>
      <c r="G765" s="2606">
        <f>'Part VI-Pro Forma'!G58</f>
        <v>-109280.22</v>
      </c>
      <c r="H765" s="2606">
        <f>'Part VI-Pro Forma'!H58</f>
        <v>-109280.22</v>
      </c>
      <c r="I765" s="2606">
        <f>'Part VI-Pro Forma'!I58</f>
        <v>-109280.22</v>
      </c>
      <c r="J765" s="2606">
        <f>'Part VI-Pro Forma'!J58</f>
        <v>-109280.22</v>
      </c>
      <c r="K765" s="2606">
        <f>'Part VI-Pro Forma'!K58</f>
        <v>-109280.22</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-8164.2920045155415</v>
      </c>
      <c r="C770" s="2606">
        <f>'Part VI-Pro Forma'!C63</f>
        <v>-8409.2207646510069</v>
      </c>
      <c r="D770" s="2606">
        <f>'Part VI-Pro Forma'!D63</f>
        <v>-8661.497387590538</v>
      </c>
      <c r="E770" s="2606">
        <f>'Part VI-Pro Forma'!E63</f>
        <v>-8921.3423092182547</v>
      </c>
      <c r="F770" s="2606">
        <f>'Part VI-Pro Forma'!F63</f>
        <v>-9188.9825784948025</v>
      </c>
      <c r="G770" s="2606">
        <f>'Part VI-Pro Forma'!G63</f>
        <v>-9464.6520558496468</v>
      </c>
      <c r="H770" s="2606">
        <f>'Part VI-Pro Forma'!H63</f>
        <v>-9748.5916175251368</v>
      </c>
      <c r="I770" s="2606">
        <f>'Part VI-Pro Forma'!I63</f>
        <v>-10041.049366050891</v>
      </c>
      <c r="J770" s="2606">
        <f>'Part VI-Pro Forma'!J63</f>
        <v>-10342.280847032418</v>
      </c>
      <c r="K770" s="2606">
        <f>'Part VI-Pro Forma'!K63</f>
        <v>-10652.54927244339</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29222.053500955684</v>
      </c>
      <c r="C772" s="2606">
        <f t="shared" si="387"/>
        <v>29064.888144289012</v>
      </c>
      <c r="D772" s="2606">
        <f t="shared" si="387"/>
        <v>28816.824355688779</v>
      </c>
      <c r="E772" s="2606">
        <f t="shared" si="387"/>
        <v>28473.749712771816</v>
      </c>
      <c r="F772" s="2606">
        <f t="shared" si="387"/>
        <v>28029.39051109548</v>
      </c>
      <c r="G772" s="2606">
        <f t="shared" si="387"/>
        <v>27481.306167507537</v>
      </c>
      <c r="H772" s="2606">
        <f t="shared" si="387"/>
        <v>26822.883440433925</v>
      </c>
      <c r="I772" s="2606">
        <f t="shared" si="387"/>
        <v>26050.330461305861</v>
      </c>
      <c r="J772" s="2606">
        <f t="shared" si="387"/>
        <v>25156.670571157149</v>
      </c>
      <c r="K772" s="2606">
        <f t="shared" si="387"/>
        <v>24137.735956224362</v>
      </c>
    </row>
    <row r="773" spans="1:11">
      <c r="A773" s="357" t="str">
        <f>$A741</f>
        <v>DCR Mortgage A</v>
      </c>
      <c r="B773" s="2607">
        <f t="shared" ref="B773:K773" si="388">IF(B765=0,"",-B764/B765)</f>
        <v>1.3421144787727479</v>
      </c>
      <c r="C773" s="2607">
        <f t="shared" si="388"/>
        <v>1.3429175829710081</v>
      </c>
      <c r="D773" s="2607">
        <f t="shared" si="388"/>
        <v>1.3429561337200759</v>
      </c>
      <c r="E773" s="2607">
        <f t="shared" si="388"/>
        <v>1.3421945162810807</v>
      </c>
      <c r="F773" s="2607">
        <f t="shared" si="388"/>
        <v>1.3405773989985588</v>
      </c>
      <c r="G773" s="2607">
        <f t="shared" si="388"/>
        <v>1.3380845886232402</v>
      </c>
      <c r="H773" s="2607">
        <f t="shared" si="388"/>
        <v>1.3346577729982523</v>
      </c>
      <c r="I773" s="2607">
        <f t="shared" si="388"/>
        <v>1.3302645238759288</v>
      </c>
      <c r="J773" s="2607">
        <f t="shared" si="388"/>
        <v>1.3248433377805202</v>
      </c>
      <c r="K773" s="2607">
        <f t="shared" si="388"/>
        <v>1.3183584845333194</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1.3421144787727479</v>
      </c>
      <c r="C777" s="2607">
        <f t="shared" si="392"/>
        <v>1.3429175829710081</v>
      </c>
      <c r="D777" s="2607">
        <f t="shared" si="392"/>
        <v>1.3429561337200759</v>
      </c>
      <c r="E777" s="2607">
        <f t="shared" si="392"/>
        <v>1.3421945162810807</v>
      </c>
      <c r="F777" s="2607">
        <f t="shared" si="392"/>
        <v>1.3405773989985588</v>
      </c>
      <c r="G777" s="2607">
        <f t="shared" si="392"/>
        <v>1.3380845886232402</v>
      </c>
      <c r="H777" s="2607">
        <f t="shared" si="392"/>
        <v>1.3346577729982523</v>
      </c>
      <c r="I777" s="2607">
        <f t="shared" si="392"/>
        <v>1.3302645238759288</v>
      </c>
      <c r="J777" s="2607">
        <f t="shared" si="392"/>
        <v>1.3248433377805202</v>
      </c>
      <c r="K777" s="2607">
        <f t="shared" si="392"/>
        <v>1.3183584845333194</v>
      </c>
    </row>
    <row r="778" spans="1:11">
      <c r="A778" s="357" t="s">
        <v>718</v>
      </c>
      <c r="B778" s="2608">
        <f t="shared" ref="B778:K778" si="393">IF(OR(B761="Choose mgt fee",B761="Choose One!"),"",(B754+B755+B756+B757+B758) / -(B760+B761+B762))</f>
        <v>1.4482463664217129</v>
      </c>
      <c r="C778" s="2608">
        <f t="shared" si="393"/>
        <v>1.4360027501604313</v>
      </c>
      <c r="D778" s="2608">
        <f t="shared" si="393"/>
        <v>1.4238476436905541</v>
      </c>
      <c r="E778" s="2608">
        <f t="shared" si="393"/>
        <v>1.4117819936601546</v>
      </c>
      <c r="F778" s="2608">
        <f t="shared" si="393"/>
        <v>1.3997989359601504</v>
      </c>
      <c r="G778" s="2608">
        <f t="shared" si="393"/>
        <v>1.38790728262864</v>
      </c>
      <c r="H778" s="2608">
        <f t="shared" si="393"/>
        <v>1.3761003808985171</v>
      </c>
      <c r="I778" s="2608">
        <f t="shared" si="393"/>
        <v>1.3643827344169095</v>
      </c>
      <c r="J778" s="2608">
        <f t="shared" si="393"/>
        <v>1.3527482869201382</v>
      </c>
      <c r="K778" s="2608">
        <f t="shared" si="393"/>
        <v>1.3412013314301858</v>
      </c>
    </row>
    <row r="779" spans="1:11">
      <c r="A779" s="357" t="s">
        <v>2405</v>
      </c>
      <c r="B779" s="2606">
        <f>'Part VI-Pro Forma'!B72</f>
        <v>692592.79299509386</v>
      </c>
      <c r="C779" s="2606">
        <f>'Part VI-Pro Forma'!C72</f>
        <v>638433.9959450789</v>
      </c>
      <c r="D779" s="2606">
        <f>'Part VI-Pro Forma'!D72</f>
        <v>579634.21575077472</v>
      </c>
      <c r="E779" s="2606">
        <f>'Part VI-Pro Forma'!E72</f>
        <v>515795.75664124894</v>
      </c>
      <c r="F779" s="2606">
        <f>'Part VI-Pro Forma'!F72</f>
        <v>446486.84344443784</v>
      </c>
      <c r="G779" s="2606">
        <f>'Part VI-Pro Forma'!G72</f>
        <v>371238.70125038084</v>
      </c>
      <c r="H779" s="2606">
        <f>'Part VI-Pro Forma'!H72</f>
        <v>289542.38482455141</v>
      </c>
      <c r="I779" s="2606">
        <f>'Part VI-Pro Forma'!I72</f>
        <v>200845.3363268362</v>
      </c>
      <c r="J779" s="2606">
        <f>'Part VI-Pro Forma'!J72</f>
        <v>104547.64805409136</v>
      </c>
      <c r="K779" s="2606">
        <f>'Part VI-Pro Forma'!K72</f>
        <v>0</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608941.24287192954</v>
      </c>
      <c r="C786" s="2606">
        <f>'Part VI-Pro Forma'!C79</f>
        <v>621120.06772936811</v>
      </c>
      <c r="D786" s="2606">
        <f>'Part VI-Pro Forma'!D79</f>
        <v>633542.46908395551</v>
      </c>
      <c r="E786" s="2606">
        <f>'Part VI-Pro Forma'!E79</f>
        <v>646213.31846563448</v>
      </c>
      <c r="F786" s="2606">
        <f>'Part VI-Pro Forma'!F79</f>
        <v>659137.58483494725</v>
      </c>
      <c r="G786" s="2606">
        <f>'Part VI-Pro Forma'!G79</f>
        <v>672320.3365316462</v>
      </c>
      <c r="H786" s="2606">
        <f>'Part VI-Pro Forma'!H79</f>
        <v>685766.7432622792</v>
      </c>
      <c r="I786" s="2606">
        <f>'Part VI-Pro Forma'!I79</f>
        <v>699482.07812752458</v>
      </c>
      <c r="J786" s="2606">
        <f>'Part VI-Pro Forma'!J79</f>
        <v>713471.71969007526</v>
      </c>
      <c r="K786" s="2606">
        <f>'Part VI-Pro Forma'!K79</f>
        <v>727741.15408387664</v>
      </c>
    </row>
    <row r="787" spans="1:11">
      <c r="A787" s="357" t="s">
        <v>952</v>
      </c>
      <c r="B787" s="2606">
        <f>'Part VI-Pro Forma'!B80</f>
        <v>12178.824857438591</v>
      </c>
      <c r="C787" s="2606">
        <f>'Part VI-Pro Forma'!C80</f>
        <v>12422.401354587362</v>
      </c>
      <c r="D787" s="2606">
        <f>'Part VI-Pro Forma'!D80</f>
        <v>12670.849381679111</v>
      </c>
      <c r="E787" s="2606">
        <f>'Part VI-Pro Forma'!E80</f>
        <v>12924.266369312691</v>
      </c>
      <c r="F787" s="2606">
        <f>'Part VI-Pro Forma'!F80</f>
        <v>13182.751696698944</v>
      </c>
      <c r="G787" s="2606">
        <f>'Part VI-Pro Forma'!G80</f>
        <v>13446.406730632923</v>
      </c>
      <c r="H787" s="2606">
        <f>'Part VI-Pro Forma'!H80</f>
        <v>13715.334865245582</v>
      </c>
      <c r="I787" s="2606">
        <f>'Part VI-Pro Forma'!I80</f>
        <v>13989.641562550492</v>
      </c>
      <c r="J787" s="2606">
        <f>'Part VI-Pro Forma'!J80</f>
        <v>14269.434393801504</v>
      </c>
      <c r="K787" s="2606">
        <f>'Part VI-Pro Forma'!K80</f>
        <v>14554.823081677534</v>
      </c>
    </row>
    <row r="788" spans="1:11">
      <c r="A788" s="357" t="s">
        <v>2216</v>
      </c>
      <c r="B788" s="2606">
        <f>'Part VI-Pro Forma'!B81</f>
        <v>-43478.404741055769</v>
      </c>
      <c r="C788" s="2606">
        <f>'Part VI-Pro Forma'!C81</f>
        <v>-44347.972835876892</v>
      </c>
      <c r="D788" s="2606">
        <f>'Part VI-Pro Forma'!D81</f>
        <v>-45234.932292594429</v>
      </c>
      <c r="E788" s="2606">
        <f>'Part VI-Pro Forma'!E81</f>
        <v>-46139.630938446302</v>
      </c>
      <c r="F788" s="2606">
        <f>'Part VI-Pro Forma'!F81</f>
        <v>-47062.423557215239</v>
      </c>
      <c r="G788" s="2606">
        <f>'Part VI-Pro Forma'!G81</f>
        <v>-48003.672028359542</v>
      </c>
      <c r="H788" s="2606">
        <f>'Part VI-Pro Forma'!H81</f>
        <v>-48963.74546892674</v>
      </c>
      <c r="I788" s="2606">
        <f>'Part VI-Pro Forma'!I81</f>
        <v>-49943.020378305257</v>
      </c>
      <c r="J788" s="2606">
        <f>'Part VI-Pro Forma'!J81</f>
        <v>-50941.880785871377</v>
      </c>
      <c r="K788" s="2606">
        <f>'Part VI-Pro Forma'!K81</f>
        <v>-51960.718401588798</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577641.66298831231</v>
      </c>
      <c r="C791" s="2606">
        <f>'Part VI-Pro Forma'!C84</f>
        <v>589194.49624807865</v>
      </c>
      <c r="D791" s="2606">
        <f>'Part VI-Pro Forma'!D84</f>
        <v>600978.38617304014</v>
      </c>
      <c r="E791" s="2606">
        <f>'Part VI-Pro Forma'!E84</f>
        <v>612997.95389650087</v>
      </c>
      <c r="F791" s="2606">
        <f>'Part VI-Pro Forma'!F84</f>
        <v>625257.91297443095</v>
      </c>
      <c r="G791" s="2606">
        <f>'Part VI-Pro Forma'!G84</f>
        <v>637763.07123391959</v>
      </c>
      <c r="H791" s="2606">
        <f>'Part VI-Pro Forma'!H84</f>
        <v>650518.33265859808</v>
      </c>
      <c r="I791" s="2606">
        <f>'Part VI-Pro Forma'!I84</f>
        <v>663528.6993117698</v>
      </c>
      <c r="J791" s="2606">
        <f>'Part VI-Pro Forma'!J84</f>
        <v>676799.27329800534</v>
      </c>
      <c r="K791" s="2606">
        <f>'Part VI-Pro Forma'!K84</f>
        <v>690335.25876396534</v>
      </c>
    </row>
    <row r="792" spans="1:11">
      <c r="A792" s="357" t="s">
        <v>572</v>
      </c>
      <c r="B792" s="2606">
        <f>'Part VI-Pro Forma'!B85</f>
        <v>-358032.65449345647</v>
      </c>
      <c r="C792" s="2606">
        <f>'Part VI-Pro Forma'!C85</f>
        <v>-368773.63412826014</v>
      </c>
      <c r="D792" s="2606">
        <f>'Part VI-Pro Forma'!D85</f>
        <v>-379836.84315210796</v>
      </c>
      <c r="E792" s="2606">
        <f>'Part VI-Pro Forma'!E85</f>
        <v>-391231.94844667119</v>
      </c>
      <c r="F792" s="2606">
        <f>'Part VI-Pro Forma'!F85</f>
        <v>-402968.90690007131</v>
      </c>
      <c r="G792" s="2606">
        <f>'Part VI-Pro Forma'!G85</f>
        <v>-415057.97410707345</v>
      </c>
      <c r="H792" s="2606">
        <f>'Part VI-Pro Forma'!H85</f>
        <v>-427509.71333028568</v>
      </c>
      <c r="I792" s="2606">
        <f>'Part VI-Pro Forma'!I85</f>
        <v>-440335.00473019422</v>
      </c>
      <c r="J792" s="2606">
        <f>'Part VI-Pro Forma'!J85</f>
        <v>-453545.05487210001</v>
      </c>
      <c r="K792" s="2606">
        <f>'Part VI-Pro Forma'!K85</f>
        <v>-467151.40651826299</v>
      </c>
    </row>
    <row r="793" spans="1:11">
      <c r="A793" s="357" t="s">
        <v>1050</v>
      </c>
      <c r="B793" s="2606">
        <f>'Part VI-Pro Forma'!B86</f>
        <v>-51988</v>
      </c>
      <c r="C793" s="2606">
        <f>'Part VI-Pro Forma'!C86</f>
        <v>-53028</v>
      </c>
      <c r="D793" s="2606">
        <f>'Part VI-Pro Forma'!D86</f>
        <v>-54088</v>
      </c>
      <c r="E793" s="2606">
        <f>'Part VI-Pro Forma'!E86</f>
        <v>-55170</v>
      </c>
      <c r="F793" s="2606">
        <f>'Part VI-Pro Forma'!F86</f>
        <v>-56273</v>
      </c>
      <c r="G793" s="2606">
        <f>'Part VI-Pro Forma'!G86</f>
        <v>-57399</v>
      </c>
      <c r="H793" s="2606">
        <f>'Part VI-Pro Forma'!H86</f>
        <v>-58547</v>
      </c>
      <c r="I793" s="2606">
        <f>'Part VI-Pro Forma'!I86</f>
        <v>-59718</v>
      </c>
      <c r="J793" s="2606">
        <f>'Part VI-Pro Forma'!J86</f>
        <v>-60912</v>
      </c>
      <c r="K793" s="2606">
        <f>'Part VI-Pro Forma'!K86</f>
        <v>-62130</v>
      </c>
    </row>
    <row r="794" spans="1:11">
      <c r="A794" s="357" t="s">
        <v>1128</v>
      </c>
      <c r="B794" s="2606">
        <f>'Part VI-Pro Forma'!B87</f>
        <v>-24382.501668037079</v>
      </c>
      <c r="C794" s="2606">
        <f>'Part VI-Pro Forma'!C87</f>
        <v>-25113.976718078189</v>
      </c>
      <c r="D794" s="2606">
        <f>'Part VI-Pro Forma'!D87</f>
        <v>-25867.396019620537</v>
      </c>
      <c r="E794" s="2606">
        <f>'Part VI-Pro Forma'!E87</f>
        <v>-26643.417900209155</v>
      </c>
      <c r="F794" s="2606">
        <f>'Part VI-Pro Forma'!F87</f>
        <v>-27442.720437215423</v>
      </c>
      <c r="G794" s="2606">
        <f>'Part VI-Pro Forma'!G87</f>
        <v>-28266.002050331888</v>
      </c>
      <c r="H794" s="2606">
        <f>'Part VI-Pro Forma'!H87</f>
        <v>-29113.982111841848</v>
      </c>
      <c r="I794" s="2606">
        <f>'Part VI-Pro Forma'!I87</f>
        <v>-29987.401575197098</v>
      </c>
      <c r="J794" s="2606">
        <f>'Part VI-Pro Forma'!J87</f>
        <v>-30887.023622453013</v>
      </c>
      <c r="K794" s="2606">
        <f>'Part VI-Pro Forma'!K87</f>
        <v>-31813.634331126599</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143238.50682681875</v>
      </c>
      <c r="C796" s="2606">
        <f t="shared" si="395"/>
        <v>142278.88540174032</v>
      </c>
      <c r="D796" s="2606">
        <f t="shared" si="395"/>
        <v>141186.14700131165</v>
      </c>
      <c r="E796" s="2606">
        <f t="shared" si="395"/>
        <v>139952.58754962054</v>
      </c>
      <c r="F796" s="2606">
        <f t="shared" si="395"/>
        <v>138573.28563714423</v>
      </c>
      <c r="G796" s="2606">
        <f t="shared" si="395"/>
        <v>137040.09507651426</v>
      </c>
      <c r="H796" s="2606">
        <f t="shared" si="395"/>
        <v>135347.63721647055</v>
      </c>
      <c r="I796" s="2606">
        <f t="shared" si="395"/>
        <v>133488.29300637849</v>
      </c>
      <c r="J796" s="2606">
        <f t="shared" si="395"/>
        <v>131455.19480345232</v>
      </c>
      <c r="K796" s="2606">
        <f t="shared" si="395"/>
        <v>129240.21791457575</v>
      </c>
    </row>
    <row r="797" spans="1:11">
      <c r="A797" s="357" t="str">
        <f>$A765</f>
        <v>Mortgage A</v>
      </c>
      <c r="B797" s="2606">
        <f>'Part VI-Pro Forma'!B90</f>
        <v>0</v>
      </c>
      <c r="C797" s="2606">
        <f>'Part VI-Pro Forma'!C90</f>
        <v>0</v>
      </c>
      <c r="D797" s="2606">
        <f>'Part VI-Pro Forma'!D90</f>
        <v>0</v>
      </c>
      <c r="E797" s="2606">
        <f>'Part VI-Pro Forma'!E90</f>
        <v>0</v>
      </c>
      <c r="F797" s="2606">
        <f>'Part VI-Pro Forma'!F90</f>
        <v>0</v>
      </c>
      <c r="G797" s="2606">
        <f>'Part VI-Pro Forma'!G90</f>
        <v>0</v>
      </c>
      <c r="H797" s="2606">
        <f>'Part VI-Pro Forma'!H90</f>
        <v>0</v>
      </c>
      <c r="I797" s="2606">
        <f>'Part VI-Pro Forma'!I90</f>
        <v>0</v>
      </c>
      <c r="J797" s="2606">
        <f>'Part VI-Pro Forma'!J90</f>
        <v>0</v>
      </c>
      <c r="K797" s="2606">
        <f>'Part VI-Pro Forma'!K90</f>
        <v>0</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1096</v>
      </c>
      <c r="B803" s="2606">
        <f t="shared" ref="B803:K803" si="396">SUM(B796:B802)</f>
        <v>143238.50682681875</v>
      </c>
      <c r="C803" s="2606">
        <f t="shared" si="396"/>
        <v>142278.88540174032</v>
      </c>
      <c r="D803" s="2606">
        <f t="shared" si="396"/>
        <v>141186.14700131165</v>
      </c>
      <c r="E803" s="2606">
        <f t="shared" si="396"/>
        <v>139952.58754962054</v>
      </c>
      <c r="F803" s="2606">
        <f t="shared" si="396"/>
        <v>138573.28563714423</v>
      </c>
      <c r="G803" s="2606">
        <f t="shared" si="396"/>
        <v>137040.09507651426</v>
      </c>
      <c r="H803" s="2606">
        <f t="shared" si="396"/>
        <v>135347.63721647055</v>
      </c>
      <c r="I803" s="2606">
        <f t="shared" si="396"/>
        <v>133488.29300637849</v>
      </c>
      <c r="J803" s="2606">
        <f t="shared" si="396"/>
        <v>131455.19480345232</v>
      </c>
      <c r="K803" s="2606">
        <f t="shared" si="396"/>
        <v>129240.21791457575</v>
      </c>
    </row>
    <row r="804" spans="1:11">
      <c r="A804" s="357" t="str">
        <f>$A773</f>
        <v>DCR Mortgage A</v>
      </c>
      <c r="B804" s="2607" t="str">
        <f t="shared" ref="B804:K804" si="397">IF(B797=0,"",-B796/B797)</f>
        <v/>
      </c>
      <c r="C804" s="2607" t="str">
        <f t="shared" si="397"/>
        <v/>
      </c>
      <c r="D804" s="2607" t="str">
        <f t="shared" si="397"/>
        <v/>
      </c>
      <c r="E804" s="2607" t="str">
        <f t="shared" si="397"/>
        <v/>
      </c>
      <c r="F804" s="2607" t="str">
        <f t="shared" si="397"/>
        <v/>
      </c>
      <c r="G804" s="2607" t="str">
        <f t="shared" si="397"/>
        <v/>
      </c>
      <c r="H804" s="2607" t="str">
        <f t="shared" si="397"/>
        <v/>
      </c>
      <c r="I804" s="2607" t="str">
        <f t="shared" si="397"/>
        <v/>
      </c>
      <c r="J804" s="2607" t="str">
        <f t="shared" si="397"/>
        <v/>
      </c>
      <c r="K804" s="2607" t="str">
        <f t="shared" si="397"/>
        <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t="str">
        <f t="shared" ref="B808:K808" si="401">IF(AND(B797=0,B798=0,B799=0,B800=0),"",-B796/(B797+B798+B799+B800))</f>
        <v/>
      </c>
      <c r="C808" s="2607" t="str">
        <f t="shared" si="401"/>
        <v/>
      </c>
      <c r="D808" s="2607" t="str">
        <f t="shared" si="401"/>
        <v/>
      </c>
      <c r="E808" s="2607" t="str">
        <f t="shared" si="401"/>
        <v/>
      </c>
      <c r="F808" s="2607" t="str">
        <f t="shared" si="401"/>
        <v/>
      </c>
      <c r="G808" s="2607" t="str">
        <f t="shared" si="401"/>
        <v/>
      </c>
      <c r="H808" s="2607" t="str">
        <f t="shared" si="401"/>
        <v/>
      </c>
      <c r="I808" s="2607" t="str">
        <f t="shared" si="401"/>
        <v/>
      </c>
      <c r="J808" s="2607" t="str">
        <f t="shared" si="401"/>
        <v/>
      </c>
      <c r="K808" s="2607" t="str">
        <f t="shared" si="401"/>
        <v/>
      </c>
    </row>
    <row r="809" spans="1:11">
      <c r="A809" s="357" t="s">
        <v>718</v>
      </c>
      <c r="B809" s="2608">
        <f>IF(OR(B793="Choose mgt fee",B793="Choose One!"),"",(B786+B787+B788+B789+B790) / -(B792+B793+B794))</f>
        <v>1.3297363400683222</v>
      </c>
      <c r="C809" s="2608">
        <f t="shared" ref="C809:K809" si="402">IF(OR(C793="Choose mgt fee",C793="Choose One!"),"",(C786+C787+C788+C789+C790) / -(C792+C793+C794))</f>
        <v>1.3183573854856003</v>
      </c>
      <c r="D809" s="2608">
        <f t="shared" si="402"/>
        <v>1.3070650936945889</v>
      </c>
      <c r="E809" s="2608">
        <f t="shared" si="402"/>
        <v>1.2958544729661181</v>
      </c>
      <c r="F809" s="2608">
        <f t="shared" si="402"/>
        <v>1.2847291199545303</v>
      </c>
      <c r="G809" s="2608">
        <f t="shared" si="402"/>
        <v>1.2736844554810978</v>
      </c>
      <c r="H809" s="2608">
        <f t="shared" si="402"/>
        <v>1.2627238668929199</v>
      </c>
      <c r="I809" s="2608">
        <f t="shared" si="402"/>
        <v>1.2518455035095324</v>
      </c>
      <c r="J809" s="2608">
        <f t="shared" si="402"/>
        <v>1.2410500085860294</v>
      </c>
      <c r="K809" s="2608">
        <f t="shared" si="402"/>
        <v>1.2303356980645044</v>
      </c>
    </row>
    <row r="810" spans="1:11">
      <c r="A810" s="357" t="s">
        <v>2405</v>
      </c>
      <c r="B810" s="2606">
        <f>'Part VI-Pro Forma'!B103</f>
        <v>0</v>
      </c>
      <c r="C810" s="2606">
        <f>'Part VI-Pro Forma'!C103</f>
        <v>0</v>
      </c>
      <c r="D810" s="2606">
        <f>'Part VI-Pro Forma'!D103</f>
        <v>0</v>
      </c>
      <c r="E810" s="2606">
        <f>'Part VI-Pro Forma'!E103</f>
        <v>0</v>
      </c>
      <c r="F810" s="2606">
        <f>'Part VI-Pro Forma'!F103</f>
        <v>0</v>
      </c>
      <c r="G810" s="2606">
        <f>'Part VI-Pro Forma'!G103</f>
        <v>0</v>
      </c>
      <c r="H810" s="2606">
        <f>'Part VI-Pro Forma'!H103</f>
        <v>0</v>
      </c>
      <c r="I810" s="2606">
        <f>'Part VI-Pro Forma'!I103</f>
        <v>0</v>
      </c>
      <c r="J810" s="2606">
        <f>'Part VI-Pro Forma'!J103</f>
        <v>0</v>
      </c>
      <c r="K810" s="2606">
        <f>'Part VI-Pro Forma'!K103</f>
        <v>0</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742295.9771655543</v>
      </c>
      <c r="C816" s="2606">
        <f>'Part VI-Pro Forma'!C109</f>
        <v>757141.89670886518</v>
      </c>
      <c r="D816" s="2606">
        <f>'Part VI-Pro Forma'!D109</f>
        <v>772284.73464304267</v>
      </c>
      <c r="E816" s="2606">
        <f>'Part VI-Pro Forma'!E109</f>
        <v>787730.42933590349</v>
      </c>
      <c r="F816" s="2606">
        <f>'Part VI-Pro Forma'!F109</f>
        <v>803485.03792262147</v>
      </c>
      <c r="G816" s="2606"/>
      <c r="H816" s="2606"/>
      <c r="I816" s="2606"/>
      <c r="J816" s="2606"/>
      <c r="K816" s="2606"/>
    </row>
    <row r="817" spans="1:11">
      <c r="A817" s="357" t="s">
        <v>952</v>
      </c>
      <c r="B817" s="2606">
        <f>'Part VI-Pro Forma'!B110</f>
        <v>14845.919543311085</v>
      </c>
      <c r="C817" s="2606">
        <f>'Part VI-Pro Forma'!C110</f>
        <v>15142.837934177303</v>
      </c>
      <c r="D817" s="2606">
        <f>'Part VI-Pro Forma'!D110</f>
        <v>15445.694692860852</v>
      </c>
      <c r="E817" s="2606">
        <f>'Part VI-Pro Forma'!E110</f>
        <v>15754.60858671807</v>
      </c>
      <c r="F817" s="2606">
        <f>'Part VI-Pro Forma'!F110</f>
        <v>16069.700758452431</v>
      </c>
      <c r="G817" s="2606"/>
      <c r="H817" s="2606"/>
      <c r="I817" s="2606"/>
      <c r="J817" s="2606"/>
      <c r="K817" s="2606"/>
    </row>
    <row r="818" spans="1:11">
      <c r="A818" s="357" t="s">
        <v>2216</v>
      </c>
      <c r="B818" s="2606">
        <f>'Part VI-Pro Forma'!B111</f>
        <v>-52999.932769620587</v>
      </c>
      <c r="C818" s="2606">
        <f>'Part VI-Pro Forma'!C111</f>
        <v>-54059.931425012976</v>
      </c>
      <c r="D818" s="2606">
        <f>'Part VI-Pro Forma'!D111</f>
        <v>-55141.130053513247</v>
      </c>
      <c r="E818" s="2606">
        <f>'Part VI-Pro Forma'!E111</f>
        <v>-56243.952654583518</v>
      </c>
      <c r="F818" s="2606">
        <f>'Part VI-Pro Forma'!F111</f>
        <v>-57368.831707675177</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704141.96393924486</v>
      </c>
      <c r="C821" s="2606">
        <f>'Part VI-Pro Forma'!C114</f>
        <v>718224.80321802944</v>
      </c>
      <c r="D821" s="2606">
        <f>'Part VI-Pro Forma'!D114</f>
        <v>732589.29928239028</v>
      </c>
      <c r="E821" s="2606">
        <f>'Part VI-Pro Forma'!E114</f>
        <v>747241.08526803809</v>
      </c>
      <c r="F821" s="2606">
        <f>'Part VI-Pro Forma'!F114</f>
        <v>762185.90697339876</v>
      </c>
      <c r="G821" s="2606"/>
      <c r="H821" s="2606"/>
      <c r="I821" s="2606"/>
      <c r="J821" s="2606"/>
      <c r="K821" s="2606"/>
    </row>
    <row r="822" spans="1:11">
      <c r="A822" s="357" t="s">
        <v>572</v>
      </c>
      <c r="B822" s="2606">
        <f>'Part VI-Pro Forma'!B115</f>
        <v>-481165.94871381088</v>
      </c>
      <c r="C822" s="2606">
        <f>'Part VI-Pro Forma'!C115</f>
        <v>-495600.92717522528</v>
      </c>
      <c r="D822" s="2606">
        <f>'Part VI-Pro Forma'!D115</f>
        <v>-510468.95499048196</v>
      </c>
      <c r="E822" s="2606">
        <f>'Part VI-Pro Forma'!E115</f>
        <v>-525783.02364019642</v>
      </c>
      <c r="F822" s="2606">
        <f>'Part VI-Pro Forma'!F115</f>
        <v>-541556.51434940228</v>
      </c>
      <c r="G822" s="2606"/>
      <c r="H822" s="2606"/>
      <c r="I822" s="2606"/>
      <c r="J822" s="2606"/>
      <c r="K822" s="2606"/>
    </row>
    <row r="823" spans="1:11">
      <c r="A823" s="357" t="s">
        <v>1050</v>
      </c>
      <c r="B823" s="2606">
        <f>'Part VI-Pro Forma'!B116</f>
        <v>-63373</v>
      </c>
      <c r="C823" s="2606">
        <f>'Part VI-Pro Forma'!C116</f>
        <v>-64640</v>
      </c>
      <c r="D823" s="2606">
        <f>'Part VI-Pro Forma'!D116</f>
        <v>-65933</v>
      </c>
      <c r="E823" s="2606">
        <f>'Part VI-Pro Forma'!E116</f>
        <v>-67252</v>
      </c>
      <c r="F823" s="2606">
        <f>'Part VI-Pro Forma'!F116</f>
        <v>-68597</v>
      </c>
      <c r="G823" s="2606"/>
      <c r="H823" s="2606"/>
      <c r="I823" s="2606"/>
      <c r="J823" s="2606"/>
      <c r="K823" s="2606"/>
    </row>
    <row r="824" spans="1:11">
      <c r="A824" s="357" t="s">
        <v>1128</v>
      </c>
      <c r="B824" s="2606">
        <f>'Part VI-Pro Forma'!B117</f>
        <v>-32768.043361060401</v>
      </c>
      <c r="C824" s="2606">
        <f>'Part VI-Pro Forma'!C117</f>
        <v>-33751.084661892215</v>
      </c>
      <c r="D824" s="2606">
        <f>'Part VI-Pro Forma'!D117</f>
        <v>-34763.617201748973</v>
      </c>
      <c r="E824" s="2606">
        <f>'Part VI-Pro Forma'!E117</f>
        <v>-35806.525717801444</v>
      </c>
      <c r="F824" s="2606">
        <f>'Part VI-Pro Forma'!F117</f>
        <v>-36880.721489335483</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126834.97186437357</v>
      </c>
      <c r="C826" s="2606">
        <f>SUM(C821:C825)</f>
        <v>124232.79138091195</v>
      </c>
      <c r="D826" s="2606">
        <f>SUM(D821:D825)</f>
        <v>121423.72709015934</v>
      </c>
      <c r="E826" s="2606">
        <f>SUM(E821:E825)</f>
        <v>118399.53591004023</v>
      </c>
      <c r="F826" s="2606">
        <f>SUM(F821:F825)</f>
        <v>115151.671134661</v>
      </c>
      <c r="G826" s="2606"/>
      <c r="H826" s="2606"/>
      <c r="I826" s="2606"/>
      <c r="J826" s="2606"/>
      <c r="K826" s="2606"/>
    </row>
    <row r="827" spans="1:11">
      <c r="A827" s="357" t="str">
        <f>$A797</f>
        <v>Mortgage A</v>
      </c>
      <c r="B827" s="2606">
        <f>'Part VI-Pro Forma'!B120</f>
        <v>0</v>
      </c>
      <c r="C827" s="2606">
        <f>'Part VI-Pro Forma'!C120</f>
        <v>0</v>
      </c>
      <c r="D827" s="2606">
        <f>'Part VI-Pro Forma'!D120</f>
        <v>0</v>
      </c>
      <c r="E827" s="2606">
        <f>'Part VI-Pro Forma'!E120</f>
        <v>0</v>
      </c>
      <c r="F827" s="2606">
        <f>'Part VI-Pro Forma'!F120</f>
        <v>0</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1096</v>
      </c>
      <c r="B833" s="2606">
        <f>SUM(B826:B832)</f>
        <v>126834.97186437357</v>
      </c>
      <c r="C833" s="2606">
        <f>SUM(C826:C832)</f>
        <v>124232.79138091195</v>
      </c>
      <c r="D833" s="2606">
        <f>SUM(D826:D832)</f>
        <v>121423.72709015934</v>
      </c>
      <c r="E833" s="2606">
        <f>SUM(E826:E832)</f>
        <v>118399.53591004023</v>
      </c>
      <c r="F833" s="2606">
        <f>SUM(F826:F832)</f>
        <v>115151.671134661</v>
      </c>
      <c r="G833" s="2606"/>
      <c r="H833" s="2606"/>
      <c r="I833" s="2606"/>
      <c r="J833" s="2606"/>
      <c r="K833" s="2606"/>
    </row>
    <row r="834" spans="1:11">
      <c r="A834" s="357" t="str">
        <f>$A804</f>
        <v>DCR Mortgage A</v>
      </c>
      <c r="B834" s="2607" t="str">
        <f>IF(B827=0,"",-B826/B827)</f>
        <v/>
      </c>
      <c r="C834" s="2607" t="str">
        <f>IF(C827=0,"",-C826/C827)</f>
        <v/>
      </c>
      <c r="D834" s="2607" t="str">
        <f>IF(D827=0,"",-D826/D827)</f>
        <v/>
      </c>
      <c r="E834" s="2607" t="str">
        <f>IF(E827=0,"",-E826/E827)</f>
        <v/>
      </c>
      <c r="F834" s="2607" t="str">
        <f>IF(F827=0,"",-F826/F827)</f>
        <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t="str">
        <f>IF(AND(B827=0,B828=0,B829=0,B830=0),"",-B826/(B827+B828+B829+B830))</f>
        <v/>
      </c>
      <c r="C838" s="2607" t="str">
        <f>IF(AND(C827=0,C828=0,C829=0,C830=0),"",-C826/(C827+C828+C829+C830))</f>
        <v/>
      </c>
      <c r="D838" s="2607" t="str">
        <f>IF(AND(D827=0,D828=0,D829=0,D830=0),"",-D826/(D827+D828+D829+D830))</f>
        <v/>
      </c>
      <c r="E838" s="2607" t="str">
        <f>IF(AND(E827=0,E828=0,E829=0,E830=0),"",-E826/(E827+E828+E829+E830))</f>
        <v/>
      </c>
      <c r="F838" s="2607" t="str">
        <f>IF(AND(F827=0,F828=0,F829=0,F830=0),"",-F826/(F827+F828+F829+F830))</f>
        <v/>
      </c>
      <c r="G838" s="2606"/>
      <c r="H838" s="2606"/>
      <c r="I838" s="2606"/>
      <c r="J838" s="2606"/>
      <c r="K838" s="2606"/>
    </row>
    <row r="839" spans="1:11">
      <c r="A839" s="357" t="s">
        <v>718</v>
      </c>
      <c r="B839" s="2608">
        <f>IF(OR(B823="Choose mgt fee",B823="Choose One!"),"",(B816+B817+B818+B819+B820) / -(B822+B823+B824))</f>
        <v>1.2197010838350009</v>
      </c>
      <c r="C839" s="2608">
        <f>IF(OR(C823="Choose mgt fee",C823="Choose One!"),"",(C816+C817+C818+C819+C820) / -(C822+C823+C824))</f>
        <v>1.2091489260885526</v>
      </c>
      <c r="D839" s="2608">
        <f>IF(OR(D823="Choose mgt fee",D823="Choose One!"),"",(D816+D817+D818+D819+D820) / -(D822+D823+D824))</f>
        <v>1.198675665997704</v>
      </c>
      <c r="E839" s="2608">
        <f>IF(OR(E823="Choose mgt fee",E823="Choose One!"),"",(E816+E817+E818+E819+E820) / -(E822+E823+E824))</f>
        <v>1.1882819861870095</v>
      </c>
      <c r="F839" s="2608">
        <f>IF(OR(F823="Choose mgt fee",F823="Choose One!"),"",(F816+F817+F818+F819+F820) / -(F822+F823+F824))</f>
        <v>1.1779684362225318</v>
      </c>
      <c r="G839" s="2606"/>
      <c r="H839" s="2606"/>
      <c r="I839" s="2606"/>
      <c r="J839" s="2606"/>
      <c r="K839" s="2606"/>
    </row>
    <row r="840" spans="1:11">
      <c r="A840" s="357" t="s">
        <v>2405</v>
      </c>
      <c r="B840" s="2606">
        <f>'Part VI-Pro Forma'!B133</f>
        <v>0</v>
      </c>
      <c r="C840" s="2606">
        <f>'Part VI-Pro Forma'!C133</f>
        <v>0</v>
      </c>
      <c r="D840" s="2606">
        <f>'Part VI-Pro Forma'!D133</f>
        <v>0</v>
      </c>
      <c r="E840" s="2606">
        <f>'Part VI-Pro Forma'!E133</f>
        <v>0</v>
      </c>
      <c r="F840" s="2606">
        <f>'Part VI-Pro Forma'!F133</f>
        <v>0</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 xml:space="preserve">Please note that the asset management fee for the federal investor is $4,050 and escalates at 3%, the state investor requires an asset management fee of 1/2 of the Federal investor.
Also, the deferred developer fee of $915.00 pays off in the first year. </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The Bridges at Lincom,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6995</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6996</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199.5">
      <c r="A892" s="2860" t="str">
        <f>'Part VII-Threshold Criteria'!A41</f>
        <v>The proposal is for 54 units in Hartwell, Hart County. The development will target families.</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6997</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The managing agent will provide on-site social/recreational programs and on-site enrichment classes on a monthly basis.  All activities to be overseen by the property manager. The applicant agrees to provide the minimum 2 services as required by the 2023 QAP.</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John Wall and Associates</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1</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0.28699999999999998</v>
      </c>
      <c r="J906" s="2860"/>
      <c r="K906" s="2860"/>
      <c r="L906" s="2874"/>
      <c r="M906" s="2875" t="s">
        <v>6779</v>
      </c>
      <c r="N906" s="2860" t="str">
        <f>'Part VII-Threshold Criteria'!N55</f>
        <v>N/A</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 xml:space="preserve">Per the market study, the location is well suited to the development. The site is between Walmart and Ingles; Dollar General is across the highway. The population and household growth in the market area is positive. The market area will grow by 136 households from 2022 to 2025. The capture rates for the development are reasonable. The overall LIHTC capture rate is 28.7%.The overall vacancy rate among apartments surveyed in the PMA is 0.0%. The market analyst determined that the development, as proposed, should be successful.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6780</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399">
      <c r="A919" s="2860" t="str">
        <f>'Part VII-Threshold Criteria'!A68</f>
        <v>An appraisal is not required as there is not an identity of interest between the buyer and seller of the property; therefore, an appraisal has not been commisioned at this time.</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United Consulting</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Yes</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6998</v>
      </c>
      <c r="C933" s="2860"/>
      <c r="D933" s="2860"/>
      <c r="E933" s="2860"/>
      <c r="F933" s="2860"/>
      <c r="G933" s="2860"/>
      <c r="H933" s="2860"/>
      <c r="I933" s="2860"/>
      <c r="J933" s="2860"/>
      <c r="K933" s="2860"/>
      <c r="L933" s="2860"/>
      <c r="M933" s="2860"/>
      <c r="N933" s="2860"/>
      <c r="O933" s="2860"/>
      <c r="P933" s="2860"/>
      <c r="Q933" s="2860"/>
    </row>
    <row r="934" spans="1:17" ht="14.25">
      <c r="A934" s="2106"/>
      <c r="B934" s="2860">
        <f>'Part VII-Threshold Criteria'!B83</f>
        <v>0</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Per the Environmental Phase I report included within the backup documentation folders, a wetland was observed northeast of the Project Site, this area did NOT encroach onto the Project Site. No streams were identified on the site. United Consulting performed a noise assessment for the Project Site based on the location of the proposed structures and outdoor amenity area, an "acceptable" noise level, as defined by HUD, was calculated. No structures are on the Project Site therefore, radon and asbestos testing was not warranted. Based on the entirety of the Phase I Environmental Site Assessment, no on-site or off-site RECs were identified. </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Ground lease/Option:</v>
      </c>
      <c r="G942" s="2106"/>
      <c r="H942" s="2886" t="str">
        <f>IF(L942="Ground lease/Option","Annual Pymt:","")</f>
        <v>Annual Pymt:</v>
      </c>
      <c r="I942" s="2887" t="str">
        <f>IF(M982="Ground lease/Option",'Part V-Revenues &amp; Expenses'!$K$251,"")</f>
        <v/>
      </c>
      <c r="J942" s="2888" t="str">
        <f>IF(L942="Ground lease/Option","Term (yrs):","")</f>
        <v>Term (yrs):</v>
      </c>
      <c r="K942" s="2889" t="str">
        <f>IF(M982="Ground lease/Option",'Part V-Revenues &amp; Expenses'!$N$251,"")</f>
        <v/>
      </c>
      <c r="L942" s="2890" t="str">
        <f>'Part VII-Threshold Criteria'!L91</f>
        <v>Ground lease/Option</v>
      </c>
      <c r="M942" s="2890"/>
      <c r="N942" s="2890"/>
      <c r="O942" s="2859" t="s">
        <v>1646</v>
      </c>
      <c r="P942" s="2859"/>
      <c r="Q942" s="2859"/>
    </row>
    <row r="943" spans="1:17" ht="71.25">
      <c r="A943" s="2871"/>
      <c r="B943" s="2106" t="s">
        <v>636</v>
      </c>
      <c r="C943" s="2106"/>
      <c r="D943" s="2106"/>
      <c r="E943" s="2106"/>
      <c r="F943" s="2106"/>
      <c r="G943" s="2860" t="str">
        <f>'Part VII-Threshold Criteria'!G92</f>
        <v>The Bridges at Lincom, LP</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 xml:space="preserve">No identity of interest exists between the Seller and Purchaser. The entity with site control, via an assignment of the purchase option, is the applicant. A copy of the Option agreement along with the assignment of the option has been included in the application.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270.75">
      <c r="A952" s="2860" t="str">
        <f>'Part VII-Threshold Criteria'!A101</f>
        <v xml:space="preserve">The site connects to the currently existing Oakview Trail. Pictures of Oakview Trail have been provided within our application folders. </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 xml:space="preserve">The site is currently zoned B-II which allows for townhome developments. Per the letter obtained from the City of Hartwell, the site could actually accommodate 113 townhomes but we are only proposing 54 in this initial phase. </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Georgia Power</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409.5">
      <c r="A968" s="2860" t="str">
        <f>'Part VII-Threshold Criteria'!A117</f>
        <v xml:space="preserve">A letter stating that Georgia Power has the ability and capacity to serve the development for electricity has been included in the application. Gas will not be used at the property thus an availbility letter was not obtained. </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City of Hartwell</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City of Hartwell</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327.75">
      <c r="A977" s="2860" t="str">
        <f>'Part VII-Threshold Criteria'!A126</f>
        <v>Per a letter obtained from the City of Hartwell, both water and sewer are available and in sufficient excess capacity to serve the proposed development.</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6999</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7000</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7001</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7002</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Equipped playground</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The applicant agrees to provide all of the required amenities and will also provide two additional amenities. As evidenced on the site plan, the development will feature a playground and computer center.</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6803</v>
      </c>
      <c r="C1002" s="2106"/>
      <c r="D1002" s="2106"/>
      <c r="E1002" s="2106"/>
      <c r="F1002" s="2106"/>
      <c r="G1002" s="2106"/>
      <c r="H1002" s="2106"/>
      <c r="I1002" s="2106"/>
      <c r="J1002" s="2106"/>
      <c r="K1002" s="2106"/>
      <c r="L1002" s="2106"/>
      <c r="M1002" s="2106"/>
      <c r="N1002" s="2108"/>
      <c r="O1002" s="2106"/>
      <c r="P1002" s="2859" t="str">
        <f>'Part VII-Threshold Criteria'!P151</f>
        <v>No</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199.5">
      <c r="A1006" s="2860" t="str">
        <f>'Part VII-Threshold Criteria'!A155</f>
        <v>This is a New Construction project; therefore, this section for Rehabilitation does not apply.</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 xml:space="preserve">The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7003</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213.75">
      <c r="A1025" s="2860" t="str">
        <f>'Part VII-Threshold Criteria'!A174</f>
        <v>A draft scoring sheet evidencing the expected score has been included within the application folders.</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7004</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5">
      <c r="A1035" s="2871"/>
      <c r="B1035" s="2106" t="s">
        <v>6809</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The project will meet or exceed all Fair Housing accessibility requirements as set forth.  In addition, E&amp;A Services or an alternate approved qualified consultant(s) will be used throughout the entire project from start through final inspection, per DCA requirements.</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7005</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171">
      <c r="A1054" s="2860" t="str">
        <f>'Part VII-Threshold Criteria'!A203</f>
        <v xml:space="preserve">The applicant agrees to adhere to the DCA design minimums as listed above.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During the pre-application determination the Certifying GP and Developer were deemed "Qualified". There have not been any changes to the project team since the pre-application submission. We have included a copy of the DCA letter stating that 2023PA-008 The Bridges at Lincom is deemed qualified.</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7006</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7007</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7008</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7009</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99.5">
      <c r="A1079" s="2860" t="str">
        <f>'Part VII-Threshold Criteria'!A228</f>
        <v>The proposed development is not applying for credit under the preservation set-aside.</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t="str">
        <f>'Part VII-Threshold Criteria'!G234</f>
        <v>National Affordable Housing Preservation Associates, Inc.</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t="str">
        <f>'Part VII-Threshold Criteria'!G235</f>
        <v>www.nahpa.org</v>
      </c>
      <c r="H1086" s="2859"/>
      <c r="I1086" s="2859"/>
      <c r="J1086" s="2859"/>
      <c r="K1086" s="2859"/>
      <c r="L1086" s="2859"/>
      <c r="M1086" s="2859"/>
      <c r="N1086" s="2859"/>
      <c r="O1086" s="2859"/>
      <c r="P1086" s="2859"/>
      <c r="Q1086" s="2859"/>
    </row>
    <row r="1087" spans="1:17" ht="15">
      <c r="A1087" s="2871"/>
      <c r="B1087" s="2106" t="s">
        <v>6825</v>
      </c>
      <c r="C1087" s="2106"/>
      <c r="D1087" s="2860"/>
      <c r="E1087" s="2860"/>
      <c r="F1087" s="2860"/>
      <c r="G1087" s="2859"/>
      <c r="H1087" s="2859"/>
      <c r="I1087" s="2859"/>
      <c r="J1087" s="2859"/>
      <c r="K1087" s="2859"/>
      <c r="L1087" s="2859"/>
      <c r="M1087" s="2859"/>
      <c r="N1087" s="2859"/>
      <c r="O1087" s="2859"/>
      <c r="P1087" s="2106" t="str">
        <f>'Part VII-Threshold Criteria'!P236</f>
        <v>Agree</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5">
      <c r="A1093" s="2106"/>
      <c r="B1093" s="2873" t="s">
        <v>6832</v>
      </c>
      <c r="C1093" s="2107" t="s">
        <v>7010</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409.5">
      <c r="A1095" s="2860" t="str">
        <f>'Part VII-Threshold Criteria'!A244</f>
        <v xml:space="preserve">The Entity listed above is a nonprofit corporation with no stock (shareholders) but is governed by a Board of Directors. NAHPA 2023 GA, Inc. is the sole General Partner of The Bridges at Lincom, LP.  NAHPA 2023 GA, Inc. is wholly owned by National Affordable Housing Preservation Associates, Inc. a 501(c)3 nonprofit. A nonprofit opinion letter and the development agreement and with all exhibits have been included. </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t="str">
        <f>'Part VII-Threshold Criteria'!P252</f>
        <v>Yes</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199.5">
      <c r="A1107" s="2860" t="str">
        <f>'Part VII-Threshold Criteria'!A256</f>
        <v>A non-profit legal opinion has been included within the application backup documentation.</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171">
      <c r="A1119" s="2860" t="str">
        <f>'Part VII-Threshold Criteria'!A268</f>
        <v>The proposed site is currently vacant; therefore, relocation will not be necessary.</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270.75">
      <c r="A1137" s="2860" t="str">
        <f>'Part VII-Threshold Criteria'!A286</f>
        <v xml:space="preserve">If selected the applicant agrees to adhere to the AFFH Marketing plan that meets all of the above criteria and strategies.  </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Funding of this development will not result in a waste of DCA resources. Additionally, it should be noted that none of the Project Team members have made conditional promises or financial commitments to the Local Government in order to obtain support.</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The Bridges at Lincom,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69</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7011</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3393</v>
      </c>
      <c r="C1164" s="2406"/>
      <c r="D1164" s="2406"/>
      <c r="E1164" s="2914">
        <f>'Part VIII Scoring Criteria'!E13</f>
        <v>20</v>
      </c>
      <c r="F1164" s="2913" t="str">
        <f>'Part VIII Scoring Criteria'!F13</f>
        <v xml:space="preserve">Per the desirable certification submitted within our backup folders, the site actually qualifies for 26 points but given DCA's QAP for 2023 we limited the score to 20 points. Please note that there are no undesirable activities near the proposed site. </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384.75">
      <c r="A1165" s="2913" t="s">
        <v>496</v>
      </c>
      <c r="B1165" s="2403" t="s">
        <v>4037</v>
      </c>
      <c r="C1165" s="2406"/>
      <c r="D1165" s="2406"/>
      <c r="E1165" s="2916">
        <f>'Part VIII Scoring Criteria'!E14</f>
        <v>2</v>
      </c>
      <c r="F1165" s="2913" t="str">
        <f>'Part VIII Scoring Criteria'!F14</f>
        <v xml:space="preserve">Hart County Public Transit information can be found at: http://hartcountyga.gov/publictransit.html. The call-and-ride service provides reliable and low-cost transportation to all citizens of Hart County. </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3338</v>
      </c>
      <c r="C1166" s="2406"/>
      <c r="D1166" s="2406"/>
      <c r="E1166" s="2916">
        <f>'Part VIII Scoring Criteria'!E15</f>
        <v>1</v>
      </c>
      <c r="F1166" s="2913" t="str">
        <f>'Part VIII Scoring Criteria'!F15</f>
        <v xml:space="preserve">Hart County Middle School qualifies for points under Section C and it serves grades 06, 07, 08 therefore the applicant qualifies for 1 point in this category. Please note that Hart County Board of Education does not have a district map therefore we obtained a letter to verify the schools applicable to our proposed development site. </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228">
      <c r="A1167" s="2913" t="s">
        <v>280</v>
      </c>
      <c r="B1167" s="2403" t="s">
        <v>3394</v>
      </c>
      <c r="C1167" s="2406"/>
      <c r="D1167" s="2406"/>
      <c r="E1167" s="2916">
        <f>'Part VIII Scoring Criteria'!E16</f>
        <v>0</v>
      </c>
      <c r="F1167" s="2913" t="str">
        <f>'Part VIII Scoring Criteria'!F16</f>
        <v xml:space="preserve">The applicant is not claiming points for revitalization and does not have a third party capital investment.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99.75">
      <c r="A1168" s="2913" t="s">
        <v>401</v>
      </c>
      <c r="B1168" s="2403" t="s">
        <v>3395</v>
      </c>
      <c r="C1168" s="2406"/>
      <c r="D1168" s="2406"/>
      <c r="E1168" s="2914" t="str">
        <f>'Part VIII Scoring Criteria'!E17</f>
        <v>n/a</v>
      </c>
      <c r="F1168" s="2913" t="str">
        <f>'Part VIII Scoring Criteria'!F17</f>
        <v>The applicant is not claiming point in this section.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7</v>
      </c>
      <c r="F1169" s="2913" t="str">
        <f>'Part VIII Scoring Criteria'!F18</f>
        <v xml:space="preserve">Using 2020 or 2021 Local Health and Economic indicators provides a points value of 2 points. The site census tract has a 1.7% below poverty line allowing the applicant to claim 5 points in category A. </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14">
      <c r="A1170" s="2913" t="s">
        <v>4040</v>
      </c>
      <c r="B1170" s="2403" t="s">
        <v>3261</v>
      </c>
      <c r="C1170" s="2406"/>
      <c r="D1170" s="2406"/>
      <c r="E1170" s="2914">
        <f>'Part VIII Scoring Criteria'!E19</f>
        <v>0</v>
      </c>
      <c r="F1170" s="2913" t="str">
        <f>'Part VIII Scoring Criteria'!F19</f>
        <v>The applicant is not claiming points in this category.</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09.5">
      <c r="A1171" s="2913" t="s">
        <v>4052</v>
      </c>
      <c r="B1171" s="2403" t="s">
        <v>4041</v>
      </c>
      <c r="C1171" s="2406"/>
      <c r="D1171" s="2406"/>
      <c r="E1171" s="2914">
        <f>'Part VIII Scoring Criteria'!E20</f>
        <v>0</v>
      </c>
      <c r="F1171" s="2913" t="str">
        <f>'Part VIII Scoring Criteria'!F20</f>
        <v xml:space="preserve">This development will be the first phase of a phase development therefore we are not claiming points in this category at this time. A second phase on adjoining property will be applied for in the future. </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327.75">
      <c r="A1172" s="2913" t="s">
        <v>6242</v>
      </c>
      <c r="B1172" s="2403" t="s">
        <v>4042</v>
      </c>
      <c r="C1172" s="2406"/>
      <c r="D1172" s="2406"/>
      <c r="E1172" s="2914">
        <f>'Part VIII Scoring Criteria'!E21</f>
        <v>3</v>
      </c>
      <c r="F1172" s="2913" t="str">
        <f>'Part VIII Scoring Criteria'!F21</f>
        <v xml:space="preserve">The most recently funded application in the 9% competitive round was funded in 2017 allowing the application to elect 3 points in this scoring category. </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99.5">
      <c r="A1173" s="2913" t="s">
        <v>6636</v>
      </c>
      <c r="B1173" s="2403" t="s">
        <v>6548</v>
      </c>
      <c r="C1173" s="2406"/>
      <c r="D1173" s="2406"/>
      <c r="E1173" s="2914">
        <f>'Part VIII Scoring Criteria'!E22</f>
        <v>0</v>
      </c>
      <c r="F1173" s="2913" t="str">
        <f>'Part VIII Scoring Criteria'!F22</f>
        <v>This application is for the RURAL pool thus we do not qualify for points in this category.</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370.5">
      <c r="A1174" s="2913" t="s">
        <v>6638</v>
      </c>
      <c r="B1174" s="2403" t="s">
        <v>6637</v>
      </c>
      <c r="C1174" s="2406"/>
      <c r="D1174" s="2406"/>
      <c r="E1174" s="2914">
        <f>'Part VIII Scoring Criteria'!E23</f>
        <v>2</v>
      </c>
      <c r="F1174" s="2913" t="str">
        <f>'Part VIII Scoring Criteria'!F23</f>
        <v xml:space="preserve">The applicants certifies to engage a QB in the development and/or operation of the property in amounts equal to or greater than 5% of the total construction hard cost. </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242.25">
      <c r="A1175" s="2913" t="s">
        <v>3368</v>
      </c>
      <c r="B1175" s="2403" t="s">
        <v>6554</v>
      </c>
      <c r="C1175" s="2406"/>
      <c r="D1175" s="2406"/>
      <c r="E1175" s="2914">
        <f>'Part VIII Scoring Criteria'!E24</f>
        <v>2</v>
      </c>
      <c r="F1175" s="2913" t="str">
        <f>'Part VIII Scoring Criteria'!F24</f>
        <v xml:space="preserve">The applicant certifies that we will partner with a CORES certified entity to accept resident services at the development. </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09.5">
      <c r="A1176" s="2913" t="s">
        <v>3372</v>
      </c>
      <c r="B1176" s="2403" t="s">
        <v>3396</v>
      </c>
      <c r="C1176" s="2406"/>
      <c r="D1176" s="2406"/>
      <c r="E1176" s="2914">
        <f>'Part VIII Scoring Criteria'!E25</f>
        <v>2</v>
      </c>
      <c r="F1176" s="2913" t="str">
        <f>'Part VIII Scoring Criteria'!F25</f>
        <v xml:space="preserve">The proposed development has received a letter of support from the Hartwell GICH team along with a letter from the local municipality acknowledging the issuance of the GICH support letter. </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228">
      <c r="A1177" s="2913" t="s">
        <v>3375</v>
      </c>
      <c r="B1177" s="2403" t="s">
        <v>3397</v>
      </c>
      <c r="C1177" s="2406"/>
      <c r="D1177" s="2406"/>
      <c r="E1177" s="2914">
        <f>'Part VIII Scoring Criteria'!E26</f>
        <v>0</v>
      </c>
      <c r="F1177" s="2913" t="str">
        <f>'Part VIII Scoring Criteria'!F26</f>
        <v>The applicant has not received a loan that will qualify as "favorable financing" nor is a ground lease in place.</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14">
      <c r="A1178" s="2913" t="s">
        <v>3376</v>
      </c>
      <c r="B1178" s="2403" t="s">
        <v>3398</v>
      </c>
      <c r="C1178" s="2406"/>
      <c r="D1178" s="2406"/>
      <c r="E1178" s="2914">
        <f>'Part VIII Scoring Criteria'!E27</f>
        <v>0</v>
      </c>
      <c r="F1178" s="2913" t="str">
        <f>'Part VIII Scoring Criteria'!F27</f>
        <v>The applicant is not claiming points in this category.</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3</v>
      </c>
      <c r="F1179" s="2913" t="str">
        <f>'Part VIII Scoring Criteria'!F28</f>
        <v>The applicant agrees to accept DCA-administered PBRA at the proposed development for not more than 20% of the overall units, if funding is available. Our project team has extensive experience with DCA 811 and have excellent prior performance with the program.</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0</v>
      </c>
      <c r="F1180" s="2913" t="str">
        <f>'Part VIII Scoring Criteria'!F29</f>
        <v xml:space="preserve">The applicant is not claiming points in this category. </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14">
      <c r="A1181" s="2913" t="s">
        <v>3802</v>
      </c>
      <c r="B1181" s="2403" t="s">
        <v>6552</v>
      </c>
      <c r="C1181" s="2406"/>
      <c r="D1181" s="2406"/>
      <c r="E1181" s="2914">
        <f>'Part VIII Scoring Criteria'!E30</f>
        <v>0</v>
      </c>
      <c r="F1181" s="2913" t="str">
        <f>'Part VIII Scoring Criteria'!F30</f>
        <v xml:space="preserve">The applicant is not claiming points in this category. </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 xml:space="preserve">The applicant is not claiming points in this category. </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6917</v>
      </c>
      <c r="B1183" s="2403" t="s">
        <v>6933</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8" t="s">
        <v>6945</v>
      </c>
      <c r="B1185" s="3918"/>
      <c r="C1185" s="3918"/>
      <c r="D1185" s="3918"/>
      <c r="E1185" s="2397"/>
      <c r="F1185" s="2463" t="s">
        <v>6881</v>
      </c>
      <c r="G1185" s="2463"/>
      <c r="H1185" s="2463"/>
      <c r="I1185" s="2463"/>
      <c r="J1185" s="2198" t="s">
        <v>6139</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7012</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7013</v>
      </c>
      <c r="B1201" s="2463"/>
      <c r="C1201" s="2463"/>
      <c r="D1201" s="2463"/>
      <c r="E1201" s="2463"/>
      <c r="F1201" s="2312" t="s">
        <v>3178</v>
      </c>
      <c r="G1201" s="2463" t="s">
        <v>7014</v>
      </c>
      <c r="H1201" s="2463"/>
      <c r="I1201" s="2463"/>
      <c r="J1201" s="2312" t="s">
        <v>3178</v>
      </c>
      <c r="K1201" s="2923" t="s">
        <v>7015</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6877</v>
      </c>
      <c r="C1219" s="2438"/>
      <c r="D1219" s="2438"/>
      <c r="E1219" s="2438"/>
      <c r="F1219" s="2438"/>
      <c r="G1219" s="2397" t="s">
        <v>6645</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57.777777777777779</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6880</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 xml:space="preserve">Per the desirable certification submitted within our backup folders, the site actually qualifies for 26 points but given DCA's QAP for 2023 we limited the score to 20 points. Please note that there are no undesirable activities near the proposed site. </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6847</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6848</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6886</v>
      </c>
      <c r="C1242" s="2397"/>
      <c r="D1242" s="2397"/>
      <c r="E1242" s="2397"/>
      <c r="F1242" s="2342" t="s">
        <v>6849</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7016</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7017</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7018</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7019</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7020</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384.75">
      <c r="A1253" s="2406" t="str">
        <f>'Part VIII Scoring Criteria'!A102</f>
        <v xml:space="preserve">Hart County Public Transit information can be found at: http://hartcountyga.gov/publictransit.html. The call-and-ride service provides reliable and low-cost transportation to all citizens of Hart County. </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1</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7021</v>
      </c>
      <c r="G1258" s="2962"/>
      <c r="H1258" s="2962" t="s">
        <v>7022</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7">
      <c r="A1261" s="2397"/>
      <c r="B1261" s="2438" t="str">
        <f>'Part VIII Scoring Criteria'!B110</f>
        <v>Hartwell Elementary School</v>
      </c>
      <c r="C1261" s="2438"/>
      <c r="D1261" s="2438"/>
      <c r="E1261" s="2438"/>
      <c r="F1261" s="2438" t="str">
        <f>'Part VIII Scoring Criteria'!F110</f>
        <v>No</v>
      </c>
      <c r="G1261" s="2438"/>
      <c r="H1261" s="2438" t="str">
        <f>'Part VIII Scoring Criteria'!H110</f>
        <v>No</v>
      </c>
      <c r="I1261" s="2438"/>
      <c r="J1261" s="2438" t="str">
        <f>'Part VIII Scoring Criteria'!J110</f>
        <v>No</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7">
      <c r="A1262" s="2397"/>
      <c r="B1262" s="2438" t="str">
        <f>'Part VIII Scoring Criteria'!B111</f>
        <v>Hart County Middle School</v>
      </c>
      <c r="C1262" s="2438"/>
      <c r="D1262" s="2438"/>
      <c r="E1262" s="2438"/>
      <c r="F1262" s="2438" t="str">
        <f>'Part VIII Scoring Criteria'!F111</f>
        <v>No</v>
      </c>
      <c r="G1262" s="2438"/>
      <c r="H1262" s="2438" t="str">
        <f>'Part VIII Scoring Criteria'!H111</f>
        <v>No</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57">
      <c r="A1263" s="2397"/>
      <c r="B1263" s="2438" t="str">
        <f>'Part VIII Scoring Criteria'!B112</f>
        <v>Hart County High School</v>
      </c>
      <c r="C1263" s="2438"/>
      <c r="D1263" s="2438"/>
      <c r="E1263" s="2438"/>
      <c r="F1263" s="2438" t="str">
        <f>'Part VIII Scoring Criteria'!F112</f>
        <v>No</v>
      </c>
      <c r="G1263" s="2438"/>
      <c r="H1263" s="2438" t="str">
        <f>'Part VIII Scoring Criteria'!H112</f>
        <v>No</v>
      </c>
      <c r="I1263" s="2438"/>
      <c r="J1263" s="2438" t="str">
        <f>'Part VIII Scoring Criteria'!J112</f>
        <v>No</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 xml:space="preserve">Hart County Middle School qualifies for points under Section C and it serves grades 06, 07, 08 therefore the applicant qualifies for 1 point in this category. Please note that Hart County Board of Education does not have a district map therefore we obtained a letter to verify the schools applicable to our proposed development site. </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7023</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7024</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7025</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7026</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228">
      <c r="A1288" s="2406" t="str">
        <f>'Part VIII Scoring Criteria'!A137</f>
        <v xml:space="preserve">The applicant is not claiming points for revitalization and does not have a third party capital investment.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99.75">
      <c r="A1298" s="2406" t="str">
        <f>'Part VIII Scoring Criteria'!A147</f>
        <v>The applicant is not claiming point in this section.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7</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5</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t="str">
        <f>'Part VIII Scoring Criteria'!J154</f>
        <v>Site Census Tract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2</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6894</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t="str">
        <f>'Part VIII Scoring Criteria'!E159</f>
        <v>Above 60th Percentile</v>
      </c>
      <c r="F1310" s="2978"/>
      <c r="G1310" s="2978"/>
      <c r="H1310" s="2978"/>
      <c r="I1310" s="2979">
        <f>'Part VIII Scoring Criteria'!I159</f>
        <v>2021</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t="str">
        <f>'Part VIII Scoring Criteria'!E160</f>
        <v>Above 60th Percentile</v>
      </c>
      <c r="F1311" s="2978"/>
      <c r="G1311" s="2978"/>
      <c r="H1311" s="2978"/>
      <c r="I1311" s="2979">
        <f>'Part VIII Scoring Criteria'!I160</f>
        <v>2021</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t="str">
        <f>'Part VIII Scoring Criteria'!E161</f>
        <v>At or Below 60th Percentile</v>
      </c>
      <c r="F1312" s="2978"/>
      <c r="G1312" s="2978"/>
      <c r="H1312" s="2978"/>
      <c r="I1312" s="2979">
        <f>'Part VIII Scoring Criteria'!I161</f>
        <v>2021</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09.5">
      <c r="A1316" s="2406" t="str">
        <f>'Part VIII Scoring Criteria'!A165</f>
        <v xml:space="preserve">Using 2020 or 2021 Local Health and Economic indicators provides a points value of 2 points. The site census tract has a 1.7% below poverty line allowing the applicant to claim 5 points in category A. </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14">
      <c r="A1335" s="2406" t="str">
        <f>'Part VIII Scoring Criteria'!A184</f>
        <v>The applicant is not claiming points in this category.</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6858</v>
      </c>
      <c r="H1341" s="2397" t="s">
        <v>574</v>
      </c>
      <c r="I1341" s="2397"/>
      <c r="J1341" s="2397"/>
      <c r="K1341" s="2466" t="s">
        <v>6930</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09.5">
      <c r="A1346" s="2406" t="str">
        <f>'Part VIII Scoring Criteria'!A195</f>
        <v xml:space="preserve">This development will be the first phase of a phase development therefore we are not claiming points in this category at this time. A second phase on adjoining property will be applied for in the future. </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7027</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3</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327.75">
      <c r="A1356" s="2406" t="str">
        <f>'Part VIII Scoring Criteria'!A205</f>
        <v xml:space="preserve">The most recently funded application in the 9% competitive round was funded in 2017 allowing the application to elect 3 points in this scoring category. </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7028</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6859</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99.5">
      <c r="A1379" s="2406" t="str">
        <f>'Part VIII Scoring Criteria'!A228</f>
        <v>This application is for the RURAL pool thus we do not qualify for points in this category.</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f>'Part VIII Scoring Criteria'!I235</f>
        <v>0</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f>'Part VIII Scoring Criteria'!I236</f>
        <v>0</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6862</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7029</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370.5">
      <c r="A1399" s="2406" t="str">
        <f>'Part VIII Scoring Criteria'!A248</f>
        <v xml:space="preserve">The applicants certifies to engage a QB in the development and/or operation of the property in amounts equal to or greater than 5% of the total construction hard cost. </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242.25">
      <c r="A1408" s="2406" t="str">
        <f>'Part VIII Scoring Criteria'!A257</f>
        <v xml:space="preserve">The applicant certifies that we will partner with a CORES certified entity to accept resident services at the development. </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6901</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6901</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Hartwell</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09.5">
      <c r="A1426" s="2406" t="str">
        <f>'Part VIII Scoring Criteria'!A275</f>
        <v xml:space="preserve">The proposed development has received a letter of support from the Hartwell GICH team along with a letter from the local municipality acknowledging the issuance of the GICH support letter. </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6866</v>
      </c>
      <c r="C1445" s="2199" t="s">
        <v>6903</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54</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0</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6867</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0</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6869</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6870</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228">
      <c r="A1458" s="2406" t="str">
        <f>'Part VIII Scoring Criteria'!A307</f>
        <v>The applicant has not received a loan that will qualify as "favorable financing" nor is a ground lease in place.</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14">
      <c r="A1469" s="2406" t="str">
        <f>'Part VIII Scoring Criteria'!A318</f>
        <v>The applicant is not claiming points in this category.</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applicant agrees to accept DCA-administered PBRA at the proposed development for not more than 20% of the overall units, if funding is available. Our project team has extensive experience with DCA 811 and have excellent prior performance with the program.</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14">
      <c r="A1498" s="2406" t="str">
        <f>'Part VIII Scoring Criteria'!A347</f>
        <v xml:space="preserve">The applicant is not claiming points in this category. </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6871</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14">
      <c r="A1511" s="2406" t="str">
        <f>'Part VIII Scoring Criteria'!A360</f>
        <v xml:space="preserve">The applicant is not claiming points in this category. </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14">
      <c r="A1520" s="2406" t="str">
        <f>'Part VIII Scoring Criteria'!A369</f>
        <v xml:space="preserve">The applicant is not claiming points in this category. </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6931</v>
      </c>
      <c r="E1527" s="2199"/>
      <c r="F1527" s="2199"/>
      <c r="G1527" s="2199" t="s">
        <v>6222</v>
      </c>
      <c r="H1527" s="2199"/>
      <c r="I1527" s="2199"/>
      <c r="J1527" s="2199" t="s">
        <v>575</v>
      </c>
      <c r="L1527" s="2342" t="s">
        <v>6932</v>
      </c>
      <c r="M1527" s="3918" t="s">
        <v>6942</v>
      </c>
      <c r="N1527" s="3918"/>
      <c r="O1527" s="3918"/>
      <c r="P1527" s="3918"/>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14">
      <c r="A1540" s="2406" t="str">
        <f>'Part VIII Scoring Criteria'!A389</f>
        <v xml:space="preserve">The applicant is not claiming points in this category. </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7030</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N/A - this is a 9% application.</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7031</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N/A </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285">
      <c r="A1551" s="2406" t="str">
        <f>'Part VIII Scoring Criteria'!A400</f>
        <v xml:space="preserve">This application is for 9% credits and not requesting funding under the preservation set-aside; therefore, no information was listed above. </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7032</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69</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7033</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 xml:space="preserve">The applicant has made all of the scoring comments we feel as necessary to explain our self-score. All backup documentation for scoring justifications has been included within the appropriate folders. </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6928</v>
      </c>
      <c r="BC1570" s="3006" t="s">
        <v>6545</v>
      </c>
      <c r="BD1570" s="3006" t="s">
        <v>6546</v>
      </c>
      <c r="BE1570" s="3006" t="s">
        <v>6547</v>
      </c>
      <c r="BF1570" s="3006">
        <v>0.09</v>
      </c>
      <c r="BG1570" s="3006">
        <v>0.04</v>
      </c>
      <c r="BH1570" s="3006">
        <v>0.04</v>
      </c>
      <c r="BI1570" s="3006" t="s">
        <v>6928</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1</v>
      </c>
      <c r="AZ1576" s="2959">
        <f>O1257</f>
        <v>1</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7</v>
      </c>
      <c r="AZ1579" s="3007">
        <f>O1303</f>
        <v>7</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6946</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6926</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6926</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69</v>
      </c>
      <c r="AZ1600" s="2542">
        <f>'Part VIII Scoring Criteria'!AZ449</f>
        <v>61</v>
      </c>
      <c r="BA1600" s="2542">
        <f>'Part VIII Scoring Criteria'!BA449</f>
        <v>29</v>
      </c>
      <c r="BB1600" s="2542">
        <f>'Part VIII Scoring Criteria'!BB449</f>
        <v>29</v>
      </c>
      <c r="BC1600" s="2542">
        <f>'Part VIII Scoring Criteria'!BC449</f>
        <v>33</v>
      </c>
      <c r="BD1600" s="2542">
        <f>'Part VIII Scoring Criteria'!BD449</f>
        <v>33</v>
      </c>
      <c r="BE1600" s="2542">
        <f>'Part VIII Scoring Criteria'!BE449</f>
        <v>33</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66" sqref="A66:L6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The Bridges at Lincom, Hartwell, Hart County</v>
      </c>
      <c r="B2" s="3103"/>
      <c r="C2" s="3103"/>
      <c r="D2" s="3103"/>
      <c r="E2" s="3103"/>
      <c r="F2" s="3103"/>
      <c r="G2" s="3103"/>
      <c r="H2" s="3103"/>
      <c r="I2" s="3103"/>
      <c r="J2" s="3103"/>
      <c r="K2" s="3103"/>
      <c r="L2" s="3103"/>
      <c r="M2" s="3103"/>
      <c r="N2" s="3103"/>
      <c r="O2" s="3103"/>
      <c r="P2" s="3103"/>
      <c r="Q2" s="3104"/>
      <c r="S2" s="3195" t="str">
        <f>$A$2</f>
        <v>PART TWO - SOURCES OF FUNDS (Proposed)  -  2023-0 The Bridges at Lincom, Hartwell, Hart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6079</v>
      </c>
      <c r="G6" s="144"/>
      <c r="I6" s="3206"/>
      <c r="J6" s="3207"/>
      <c r="L6" s="1232" t="s">
        <v>2652</v>
      </c>
      <c r="M6" s="224" t="s">
        <v>1437</v>
      </c>
      <c r="Q6" s="1620"/>
      <c r="S6" s="3197"/>
      <c r="T6" s="3198"/>
      <c r="Y6" s="1742"/>
      <c r="Z6" s="1706">
        <v>6</v>
      </c>
      <c r="AZ6" s="1676"/>
    </row>
    <row r="7" spans="1:52" s="223" customFormat="1" ht="16.5" customHeight="1">
      <c r="A7" s="375"/>
      <c r="B7" s="823" t="s">
        <v>2652</v>
      </c>
      <c r="C7" s="224" t="s">
        <v>3876</v>
      </c>
      <c r="D7" s="144"/>
      <c r="E7" s="818" t="s">
        <v>2652</v>
      </c>
      <c r="F7" s="224" t="s">
        <v>6080</v>
      </c>
      <c r="I7" s="3208"/>
      <c r="J7" s="3209"/>
      <c r="L7" s="823" t="s">
        <v>2652</v>
      </c>
      <c r="M7" s="224" t="s">
        <v>514</v>
      </c>
      <c r="P7" s="1620"/>
      <c r="Q7" s="1620"/>
      <c r="S7" s="3199"/>
      <c r="T7" s="3200"/>
      <c r="Y7" s="1742"/>
      <c r="Z7" s="1706">
        <v>7</v>
      </c>
      <c r="AZ7" s="1676"/>
    </row>
    <row r="8" spans="1:52" s="223" customFormat="1" ht="16.5" customHeight="1">
      <c r="A8" s="144"/>
      <c r="B8" s="823" t="s">
        <v>2652</v>
      </c>
      <c r="C8" s="224" t="s">
        <v>6660</v>
      </c>
      <c r="F8" s="223" t="s">
        <v>6663</v>
      </c>
      <c r="H8" s="3220" t="s">
        <v>3065</v>
      </c>
      <c r="I8" s="3221"/>
      <c r="J8" s="3222"/>
      <c r="L8" s="823" t="s">
        <v>2652</v>
      </c>
      <c r="M8" s="224" t="s">
        <v>6665</v>
      </c>
      <c r="P8" s="1620"/>
      <c r="Q8" s="1620"/>
      <c r="S8" s="3199"/>
      <c r="T8" s="3200"/>
      <c r="Y8" s="1742"/>
      <c r="Z8" s="1706">
        <v>8</v>
      </c>
      <c r="AZ8" s="1676"/>
    </row>
    <row r="9" spans="1:52" s="223" customFormat="1" ht="16.5" customHeight="1">
      <c r="A9" s="375"/>
      <c r="B9" s="823" t="s">
        <v>2652</v>
      </c>
      <c r="C9" s="223" t="s">
        <v>3300</v>
      </c>
      <c r="E9" s="1235" t="s">
        <v>2652</v>
      </c>
      <c r="F9" s="3212" t="s">
        <v>6659</v>
      </c>
      <c r="G9" s="3213"/>
      <c r="H9" s="3210"/>
      <c r="I9" s="3210"/>
      <c r="J9" s="3211"/>
      <c r="L9" s="823" t="s">
        <v>2652</v>
      </c>
      <c r="M9" s="224" t="s">
        <v>3877</v>
      </c>
      <c r="Q9" s="1620"/>
      <c r="S9" s="3201"/>
      <c r="T9" s="3202"/>
      <c r="Y9" s="1742"/>
      <c r="Z9" s="1706">
        <v>9</v>
      </c>
      <c r="AZ9" s="1676"/>
    </row>
    <row r="10" spans="1:52" s="223" customFormat="1" ht="16.5" customHeight="1">
      <c r="A10" s="375"/>
      <c r="B10" s="823" t="s">
        <v>2652</v>
      </c>
      <c r="C10" s="224" t="s">
        <v>2394</v>
      </c>
      <c r="F10" s="3214" t="s">
        <v>3769</v>
      </c>
      <c r="G10" s="3215"/>
      <c r="H10" s="3215"/>
      <c r="I10" s="3215"/>
      <c r="J10" s="3216"/>
      <c r="L10" s="823" t="s">
        <v>2652</v>
      </c>
      <c r="M10" s="224" t="s">
        <v>3192</v>
      </c>
      <c r="P10" s="1620"/>
      <c r="Q10" s="1620"/>
      <c r="S10" s="3197"/>
      <c r="T10" s="3198"/>
      <c r="Y10" s="1742"/>
      <c r="Z10" s="1706">
        <v>10</v>
      </c>
      <c r="AZ10" s="1676"/>
    </row>
    <row r="11" spans="1:52" s="223" customFormat="1" ht="16.5" customHeight="1">
      <c r="A11" s="375"/>
      <c r="B11" s="823" t="s">
        <v>2652</v>
      </c>
      <c r="C11" s="224" t="s">
        <v>2395</v>
      </c>
      <c r="E11" s="1235" t="s">
        <v>2652</v>
      </c>
      <c r="F11" s="3210" t="s">
        <v>6661</v>
      </c>
      <c r="G11" s="3210"/>
      <c r="H11" s="3210"/>
      <c r="I11" s="3210"/>
      <c r="J11" s="3211"/>
      <c r="L11" s="823" t="s">
        <v>2652</v>
      </c>
      <c r="M11" s="223" t="s">
        <v>2398</v>
      </c>
      <c r="S11" s="3199"/>
      <c r="T11" s="3200"/>
      <c r="Y11" s="1742"/>
      <c r="Z11" s="1706">
        <v>11</v>
      </c>
      <c r="AZ11" s="1676"/>
    </row>
    <row r="12" spans="1:52" s="223" customFormat="1" ht="16.5" customHeight="1">
      <c r="A12" s="375"/>
      <c r="B12" s="823" t="s">
        <v>2652</v>
      </c>
      <c r="C12" s="224" t="s">
        <v>3193</v>
      </c>
      <c r="F12" s="3203" t="s">
        <v>3770</v>
      </c>
      <c r="G12" s="3204"/>
      <c r="H12" s="3223"/>
      <c r="I12" s="3223"/>
      <c r="J12" s="3224"/>
      <c r="L12" s="823" t="s">
        <v>2652</v>
      </c>
      <c r="M12" s="223" t="s">
        <v>3219</v>
      </c>
      <c r="S12" s="3199"/>
      <c r="T12" s="3200"/>
      <c r="Y12" s="1742"/>
      <c r="Z12" s="1706">
        <v>12</v>
      </c>
      <c r="AZ12" s="1676"/>
    </row>
    <row r="13" spans="1:52" s="223" customFormat="1" ht="16.5" customHeight="1">
      <c r="A13" s="375"/>
      <c r="B13" s="823" t="s">
        <v>2652</v>
      </c>
      <c r="C13" s="224" t="s">
        <v>6662</v>
      </c>
      <c r="E13" s="1232" t="s">
        <v>2652</v>
      </c>
      <c r="F13" s="224" t="s">
        <v>6664</v>
      </c>
      <c r="H13" s="3203" t="s">
        <v>3291</v>
      </c>
      <c r="I13" s="3204"/>
      <c r="J13" s="3205"/>
      <c r="L13" s="823" t="s">
        <v>2652</v>
      </c>
      <c r="M13" s="223" t="s">
        <v>6078</v>
      </c>
      <c r="S13" s="3199"/>
      <c r="T13" s="3200"/>
      <c r="Y13" s="1742"/>
      <c r="Z13" s="1706">
        <v>13</v>
      </c>
      <c r="AZ13" s="1676"/>
    </row>
    <row r="14" spans="1:52" s="223" customFormat="1" ht="16.5" customHeight="1">
      <c r="A14" s="375"/>
      <c r="B14" s="823" t="s">
        <v>2652</v>
      </c>
      <c r="C14" s="223" t="s">
        <v>2397</v>
      </c>
      <c r="E14" s="823" t="s">
        <v>2652</v>
      </c>
      <c r="F14" s="224" t="s">
        <v>3299</v>
      </c>
      <c r="L14" s="823" t="s">
        <v>2652</v>
      </c>
      <c r="M14" s="223" t="s">
        <v>6710</v>
      </c>
      <c r="S14" s="3201"/>
      <c r="T14" s="3202"/>
      <c r="Y14" s="1742"/>
      <c r="Z14" s="1706">
        <v>14</v>
      </c>
      <c r="AZ14" s="1676"/>
    </row>
    <row r="15" spans="1:52" s="223" customFormat="1" ht="16.5" customHeight="1">
      <c r="A15" s="375"/>
      <c r="B15" s="823" t="s">
        <v>2652</v>
      </c>
      <c r="C15" s="223" t="s">
        <v>3218</v>
      </c>
      <c r="E15" s="823" t="s">
        <v>2652</v>
      </c>
      <c r="F15" s="224" t="s">
        <v>6081</v>
      </c>
      <c r="L15" s="823" t="s">
        <v>2652</v>
      </c>
      <c r="M15" s="1621" t="s">
        <v>6082</v>
      </c>
      <c r="Y15" s="1742"/>
      <c r="Z15" s="1706">
        <v>15</v>
      </c>
      <c r="AZ15" s="1676"/>
    </row>
    <row r="16" spans="1:52" s="223" customFormat="1" ht="16.5" customHeight="1">
      <c r="A16" s="375"/>
      <c r="B16" s="818" t="s">
        <v>2652</v>
      </c>
      <c r="C16" s="224" t="s">
        <v>1673</v>
      </c>
      <c r="E16" s="818" t="s">
        <v>2652</v>
      </c>
      <c r="F16" s="224" t="s">
        <v>6499</v>
      </c>
      <c r="I16" s="3181"/>
      <c r="J16" s="3182"/>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3844</v>
      </c>
      <c r="M21" s="3185"/>
      <c r="N21" s="3185" t="s">
        <v>1410</v>
      </c>
      <c r="O21" s="3185"/>
      <c r="P21" s="3185" t="s">
        <v>1523</v>
      </c>
      <c r="Q21" s="3185"/>
      <c r="S21" s="3196" t="s">
        <v>2448</v>
      </c>
      <c r="T21" s="3196"/>
      <c r="Y21" s="1742"/>
      <c r="Z21" s="1706">
        <v>21</v>
      </c>
      <c r="AZ21" s="1676" t="s">
        <v>6340</v>
      </c>
    </row>
    <row r="22" spans="1:52" s="223" customFormat="1" ht="15.75" customHeight="1">
      <c r="A22" s="144"/>
      <c r="B22" s="3225" t="s">
        <v>1486</v>
      </c>
      <c r="C22" s="3226"/>
      <c r="D22" s="3226"/>
      <c r="E22" s="821"/>
      <c r="F22" s="821"/>
      <c r="G22" s="821"/>
      <c r="H22" s="3227" t="s">
        <v>7039</v>
      </c>
      <c r="I22" s="3228"/>
      <c r="J22" s="3228"/>
      <c r="K22" s="3229"/>
      <c r="L22" s="3230">
        <v>11810278</v>
      </c>
      <c r="M22" s="3231"/>
      <c r="N22" s="3232">
        <v>8.2500000000000004E-2</v>
      </c>
      <c r="O22" s="3233"/>
      <c r="P22" s="3234">
        <v>24</v>
      </c>
      <c r="Q22" s="3235"/>
      <c r="S22" s="3197"/>
      <c r="T22" s="3198"/>
      <c r="Y22" s="1742" t="s">
        <v>6340</v>
      </c>
      <c r="Z22" s="1706">
        <v>22</v>
      </c>
      <c r="AZ22" s="1676" t="s">
        <v>6341</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6341</v>
      </c>
      <c r="Z23" s="1706">
        <v>23</v>
      </c>
      <c r="AZ23" s="1676" t="s">
        <v>6342</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6342</v>
      </c>
      <c r="Z24" s="1706">
        <v>24</v>
      </c>
      <c r="AZ24" s="1676" t="s">
        <v>6343</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6343</v>
      </c>
      <c r="Z25" s="1706">
        <v>25</v>
      </c>
      <c r="AZ25" s="1676" t="s">
        <v>6344</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6344</v>
      </c>
      <c r="Z26" s="1706">
        <v>26</v>
      </c>
      <c r="AZ26" s="1676" t="s">
        <v>6345</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6345</v>
      </c>
      <c r="Z27" s="1706">
        <v>27</v>
      </c>
      <c r="AZ27" s="1676" t="s">
        <v>6346</v>
      </c>
    </row>
    <row r="28" spans="1:52" s="223" customFormat="1" ht="15.75" customHeight="1">
      <c r="A28" s="144"/>
      <c r="B28" s="3236" t="s">
        <v>746</v>
      </c>
      <c r="C28" s="3237"/>
      <c r="D28" s="3237"/>
      <c r="E28" s="144"/>
      <c r="H28" s="3238" t="s">
        <v>7039</v>
      </c>
      <c r="I28" s="3239"/>
      <c r="J28" s="3239"/>
      <c r="K28" s="3240"/>
      <c r="L28" s="3241">
        <v>1828183</v>
      </c>
      <c r="M28" s="3242"/>
      <c r="N28" s="144"/>
      <c r="Q28" s="144"/>
      <c r="S28" s="3201"/>
      <c r="T28" s="3202"/>
      <c r="Y28" s="1742" t="s">
        <v>6346</v>
      </c>
      <c r="Z28" s="1706">
        <v>28</v>
      </c>
      <c r="AZ28" s="1676" t="s">
        <v>6347</v>
      </c>
    </row>
    <row r="29" spans="1:52" s="223" customFormat="1" ht="15.75" customHeight="1">
      <c r="A29" s="144"/>
      <c r="B29" s="3236" t="s">
        <v>747</v>
      </c>
      <c r="C29" s="3237"/>
      <c r="D29" s="3237"/>
      <c r="E29" s="144"/>
      <c r="H29" s="3238" t="s">
        <v>7040</v>
      </c>
      <c r="I29" s="3239"/>
      <c r="J29" s="3239"/>
      <c r="K29" s="3240"/>
      <c r="L29" s="3241">
        <v>1123341</v>
      </c>
      <c r="M29" s="3242"/>
      <c r="N29" s="144"/>
      <c r="Q29" s="144"/>
      <c r="S29" s="3197"/>
      <c r="T29" s="3198"/>
      <c r="Y29" s="1742" t="s">
        <v>6347</v>
      </c>
      <c r="Z29" s="1706">
        <v>29</v>
      </c>
      <c r="AZ29" s="1676" t="s">
        <v>6348</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6348</v>
      </c>
      <c r="Z30" s="1706">
        <v>30</v>
      </c>
      <c r="AZ30" s="1676" t="s">
        <v>6349</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6349</v>
      </c>
      <c r="Z31" s="1706">
        <v>31</v>
      </c>
      <c r="AZ31" s="1676" t="s">
        <v>6350</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6350</v>
      </c>
      <c r="Z32" s="1706">
        <v>32</v>
      </c>
      <c r="AZ32" s="1676"/>
    </row>
    <row r="33" spans="1:52" s="223" customFormat="1" ht="16.5" customHeight="1">
      <c r="A33" s="144"/>
      <c r="B33" s="222" t="s">
        <v>1221</v>
      </c>
      <c r="C33" s="144"/>
      <c r="D33" s="144"/>
      <c r="E33" s="144"/>
      <c r="F33" s="144"/>
      <c r="G33" s="144"/>
      <c r="H33" s="144"/>
      <c r="I33" s="144"/>
      <c r="L33" s="3259">
        <f>SUM(L22:L32)</f>
        <v>14761802</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14009780</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752022</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3843</v>
      </c>
      <c r="J39" s="3185"/>
      <c r="K39" s="446" t="s">
        <v>1675</v>
      </c>
      <c r="L39" s="446" t="s">
        <v>2046</v>
      </c>
      <c r="M39" s="446" t="s">
        <v>2046</v>
      </c>
      <c r="N39" s="3185" t="s">
        <v>69</v>
      </c>
      <c r="O39" s="3185"/>
      <c r="P39" s="3266"/>
      <c r="Q39" s="3266"/>
      <c r="S39" s="3196" t="s">
        <v>2448</v>
      </c>
      <c r="T39" s="3196"/>
      <c r="Y39" s="1742"/>
      <c r="Z39" s="1706">
        <v>39</v>
      </c>
      <c r="AZ39" s="1676" t="s">
        <v>6351</v>
      </c>
    </row>
    <row r="40" spans="1:52" s="223" customFormat="1" ht="15" customHeight="1">
      <c r="A40" s="144"/>
      <c r="B40" s="3225" t="s">
        <v>2402</v>
      </c>
      <c r="C40" s="3226"/>
      <c r="D40" s="3226"/>
      <c r="E40" s="3227" t="s">
        <v>7108</v>
      </c>
      <c r="F40" s="3228"/>
      <c r="G40" s="3228"/>
      <c r="H40" s="3229"/>
      <c r="I40" s="3287">
        <v>1068777</v>
      </c>
      <c r="J40" s="3288"/>
      <c r="K40" s="654">
        <v>8.2500000000000004E-2</v>
      </c>
      <c r="L40" s="822">
        <v>20</v>
      </c>
      <c r="M40" s="822">
        <v>20</v>
      </c>
      <c r="N40" s="3272" t="s">
        <v>7109</v>
      </c>
      <c r="O40" s="3272"/>
      <c r="P40" s="3286">
        <f>IF(OR(I40&lt;=0,I40=""),"",IF(N40="Cash Flow",0,IF(N40="Amortizing",-PMT(K40/12,M40*12,I40,0,0)*12,"")))*0+109280.22</f>
        <v>109280.22</v>
      </c>
      <c r="Q40" s="3286"/>
      <c r="S40" s="3197"/>
      <c r="T40" s="3198"/>
      <c r="Y40" s="1742" t="s">
        <v>6351</v>
      </c>
      <c r="Z40" s="1706">
        <v>40</v>
      </c>
      <c r="AZ40" s="1676" t="s">
        <v>6352</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6352</v>
      </c>
      <c r="Z41" s="1706">
        <v>41</v>
      </c>
      <c r="AZ41" s="1676" t="s">
        <v>6353</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6353</v>
      </c>
      <c r="Z42" s="1706">
        <v>42</v>
      </c>
      <c r="AZ42" s="1676" t="s">
        <v>6354</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6354</v>
      </c>
      <c r="Z43" s="1706">
        <v>43</v>
      </c>
      <c r="AZ43" s="1676" t="s">
        <v>6355</v>
      </c>
    </row>
    <row r="44" spans="1:52" s="223" customFormat="1" ht="15" customHeight="1">
      <c r="A44" s="144"/>
      <c r="B44" s="820" t="s">
        <v>3943</v>
      </c>
      <c r="C44" s="144"/>
      <c r="D44" s="824"/>
      <c r="E44" s="3238"/>
      <c r="F44" s="3239"/>
      <c r="G44" s="3239"/>
      <c r="H44" s="3240"/>
      <c r="I44" s="3269"/>
      <c r="J44" s="3270"/>
      <c r="K44" s="364"/>
      <c r="L44" s="819"/>
      <c r="M44" s="819"/>
      <c r="N44" s="3301"/>
      <c r="O44" s="3301"/>
      <c r="P44" s="3300"/>
      <c r="Q44" s="3300"/>
      <c r="S44" s="3199"/>
      <c r="T44" s="3200"/>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6.2542720437457284E-4</v>
      </c>
      <c r="E45" s="3186" t="s">
        <v>7124</v>
      </c>
      <c r="F45" s="3187"/>
      <c r="G45" s="3187"/>
      <c r="H45" s="3188"/>
      <c r="I45" s="3273">
        <v>915</v>
      </c>
      <c r="J45" s="3274"/>
      <c r="K45" s="653">
        <v>0</v>
      </c>
      <c r="L45" s="652">
        <v>10</v>
      </c>
      <c r="M45" s="652" t="s">
        <v>906</v>
      </c>
      <c r="N45" s="3043" t="s">
        <v>1096</v>
      </c>
      <c r="O45" s="3044"/>
      <c r="P45" s="3275">
        <f>IF(OR(I45&lt;=0,I45=""),"",IF(N45="Cash Flow",0,IF(N45="Amortizing",-PMT(K45/12,M45*12,I45,0,0)*12,"")))</f>
        <v>0</v>
      </c>
      <c r="Q45" s="3276"/>
      <c r="S45" s="3199"/>
      <c r="T45" s="3200"/>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3405</v>
      </c>
      <c r="C47" s="144"/>
      <c r="E47" s="223" t="s">
        <v>3363</v>
      </c>
      <c r="F47" s="3284">
        <f>IF(OR($I$45="",$I$45=0,'Part VI-Pro Forma'!$S$35=0,'Part VI-Pro Forma'!$S$35=""),"",VLOOKUP($L$45,'Part VI-Pro Forma'!$Q$21:$S$40,3))</f>
        <v>283725.51952384668</v>
      </c>
      <c r="G47" s="3285"/>
      <c r="H47" s="485" t="s">
        <v>3404</v>
      </c>
      <c r="I47" s="3284">
        <f>IF(OR($I$45="",$I$45=0,'Part VI-Pro Forma'!$R$35=0,'Part VI-Pro Forma'!$R$35=""),"",VLOOKUP($L$45,'Part VI-Pro Forma'!$Q$21:$S$35,2))</f>
        <v>915</v>
      </c>
      <c r="J47" s="3285"/>
      <c r="K47" s="485" t="s">
        <v>3406</v>
      </c>
      <c r="L47" s="3282">
        <f>IF(OR($F$47 = 0,$F$47 =""),"",$I$47/$F$47)</f>
        <v>3.2249478352725184E-3</v>
      </c>
      <c r="M47" s="3283"/>
      <c r="N47" s="3307" t="s">
        <v>3847</v>
      </c>
      <c r="O47" s="3308"/>
      <c r="P47" s="3305">
        <f>IF(OR($I$62=0,$I$60&gt;$I$61),0,ABS($I$60-$I$61))</f>
        <v>9.1450002044439316E-2</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6357</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6357</v>
      </c>
      <c r="Z49" s="1706">
        <v>49</v>
      </c>
      <c r="AZ49" s="1676" t="s">
        <v>6358</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6358</v>
      </c>
      <c r="Z50" s="1706">
        <v>50</v>
      </c>
      <c r="AZ50" s="1676" t="s">
        <v>6359</v>
      </c>
    </row>
    <row r="51" spans="1:52" s="223" customFormat="1" ht="15" customHeight="1">
      <c r="A51" s="144"/>
      <c r="B51" s="3236" t="s">
        <v>746</v>
      </c>
      <c r="C51" s="3237"/>
      <c r="D51" s="3277"/>
      <c r="E51" s="3238" t="s">
        <v>7039</v>
      </c>
      <c r="F51" s="3239"/>
      <c r="G51" s="3239"/>
      <c r="H51" s="3240"/>
      <c r="I51" s="3269">
        <f>1101315*0.9899*10*0.83</f>
        <v>9048591.2635499984</v>
      </c>
      <c r="J51" s="3269"/>
      <c r="L51" s="3280">
        <f>'Part III-A-Uses of Funds'!$J$191*10*'Part III-A-Uses of Funds'!$N$182</f>
        <v>9140914.5</v>
      </c>
      <c r="M51" s="3280"/>
      <c r="N51" s="3281">
        <f>I51-L51</f>
        <v>-92323.236450001597</v>
      </c>
      <c r="O51" s="3281"/>
      <c r="P51" s="324">
        <f>I51/I61</f>
        <v>0.57174037274998557</v>
      </c>
      <c r="Q51" s="144"/>
      <c r="S51" s="3199"/>
      <c r="T51" s="3200"/>
      <c r="Y51" s="1742" t="s">
        <v>6359</v>
      </c>
      <c r="Z51" s="1706">
        <v>51</v>
      </c>
      <c r="AZ51" s="1676" t="s">
        <v>6360</v>
      </c>
    </row>
    <row r="52" spans="1:52" s="223" customFormat="1" ht="15" customHeight="1">
      <c r="A52" s="144"/>
      <c r="B52" s="3236" t="s">
        <v>747</v>
      </c>
      <c r="C52" s="3237"/>
      <c r="D52" s="3277"/>
      <c r="E52" s="3238" t="s">
        <v>7040</v>
      </c>
      <c r="F52" s="3239"/>
      <c r="G52" s="3239"/>
      <c r="H52" s="3240"/>
      <c r="I52" s="3269">
        <f>1101315*10*0.51+1101315*10*0.01*0.83</f>
        <v>5708115.6449999996</v>
      </c>
      <c r="J52" s="3269"/>
      <c r="L52" s="3280">
        <f>'Part III-A-Uses of Funds'!$J$191*10*'Part III-A-Uses of Funds'!$Q$182</f>
        <v>5616706.5</v>
      </c>
      <c r="M52" s="3280"/>
      <c r="N52" s="3281">
        <f>I52-L52</f>
        <v>91409.144999999553</v>
      </c>
      <c r="O52" s="3281"/>
      <c r="P52" s="324">
        <f>I52/I61</f>
        <v>0.36067052555669799</v>
      </c>
      <c r="Q52" s="144"/>
      <c r="S52" s="3199"/>
      <c r="T52" s="3200"/>
      <c r="Y52" s="1742" t="s">
        <v>6360</v>
      </c>
      <c r="Z52" s="1706">
        <v>52</v>
      </c>
      <c r="AZ52" s="1676" t="s">
        <v>6361</v>
      </c>
    </row>
    <row r="53" spans="1:52" s="223" customFormat="1" ht="15" customHeight="1">
      <c r="A53" s="144"/>
      <c r="B53" s="3236" t="s">
        <v>1331</v>
      </c>
      <c r="C53" s="3237"/>
      <c r="D53" s="3277"/>
      <c r="E53" s="3238"/>
      <c r="F53" s="3239"/>
      <c r="G53" s="3239"/>
      <c r="H53" s="3240"/>
      <c r="I53" s="3269"/>
      <c r="J53" s="3269"/>
      <c r="P53" s="325">
        <f>SUM(P51:P52)</f>
        <v>0.93241089830668356</v>
      </c>
      <c r="Q53" s="144"/>
      <c r="S53" s="3201"/>
      <c r="T53" s="3202"/>
      <c r="Y53" s="1742" t="s">
        <v>6361</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6362</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6362</v>
      </c>
      <c r="Z57" s="1706">
        <v>57</v>
      </c>
      <c r="AZ57" s="1676" t="s">
        <v>6363</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6363</v>
      </c>
      <c r="Z58" s="1706">
        <v>58</v>
      </c>
      <c r="AZ58" s="1676" t="s">
        <v>6364</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6364</v>
      </c>
      <c r="Z59" s="1706">
        <v>59</v>
      </c>
      <c r="AZ59" s="1676"/>
    </row>
    <row r="60" spans="1:52" s="223" customFormat="1" ht="14.25" customHeight="1">
      <c r="A60" s="144"/>
      <c r="B60" s="246" t="s">
        <v>2048</v>
      </c>
      <c r="C60" s="144"/>
      <c r="D60" s="144"/>
      <c r="E60" s="144"/>
      <c r="F60" s="144"/>
      <c r="G60" s="144"/>
      <c r="I60" s="3310">
        <f>SUM(I40:J45)+SUM(I49:J59)</f>
        <v>15826398.908549998</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15826399</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-9.1450002044439316E-2</v>
      </c>
      <c r="J62" s="3315"/>
      <c r="K62" s="144"/>
      <c r="L62" s="248"/>
      <c r="M62" s="301"/>
      <c r="N62" s="301"/>
      <c r="O62" s="301"/>
      <c r="P62" s="301"/>
      <c r="Q62" s="144"/>
      <c r="S62" s="3201"/>
      <c r="T62" s="3202"/>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7127</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1" priority="6" stopIfTrue="1" operator="equal">
      <formula>"Make a selection FIRST --&gt;"</formula>
    </cfRule>
  </conditionalFormatting>
  <conditionalFormatting sqref="D45">
    <cfRule type="cellIs" dxfId="190" priority="3" operator="greaterThan">
      <formula>50.000001%</formula>
    </cfRule>
  </conditionalFormatting>
  <conditionalFormatting sqref="J46">
    <cfRule type="cellIs" dxfId="189" priority="4" operator="equal">
      <formula>"No"</formula>
    </cfRule>
  </conditionalFormatting>
  <conditionalFormatting sqref="J48">
    <cfRule type="cellIs" dxfId="188" priority="5" operator="equal">
      <formula>"No"</formula>
    </cfRule>
  </conditionalFormatting>
  <conditionalFormatting sqref="P47:Q47">
    <cfRule type="cellIs" dxfId="187"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1: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I102" sqref="I10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The Bridges at Lincom, Hartwell, Hart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The Bridges at Lincom, Hartwell, Hart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8500</v>
      </c>
      <c r="H9" s="3231"/>
      <c r="J9" s="3230">
        <v>8500</v>
      </c>
      <c r="K9" s="3231"/>
      <c r="L9" s="828"/>
      <c r="M9" s="3230"/>
      <c r="N9" s="3231"/>
      <c r="P9" s="3230"/>
      <c r="Q9" s="3231"/>
      <c r="S9" s="3230"/>
      <c r="T9" s="3231"/>
      <c r="V9" s="849"/>
      <c r="W9" s="3342"/>
      <c r="X9" s="3343"/>
      <c r="AZ9" s="1968"/>
      <c r="BA9" s="1706">
        <v>9</v>
      </c>
    </row>
    <row r="10" spans="1:53" s="144" customFormat="1" ht="11.25" customHeight="1">
      <c r="B10" s="144" t="s">
        <v>431</v>
      </c>
      <c r="G10" s="3241">
        <v>10500</v>
      </c>
      <c r="H10" s="3242"/>
      <c r="J10" s="3241">
        <v>10500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21975</v>
      </c>
      <c r="H11" s="3242"/>
      <c r="J11" s="3241">
        <v>21975</v>
      </c>
      <c r="K11" s="3242"/>
      <c r="L11" s="828"/>
      <c r="M11" s="3241"/>
      <c r="N11" s="3242"/>
      <c r="P11" s="3241"/>
      <c r="Q11" s="3242"/>
      <c r="S11" s="3241"/>
      <c r="T11" s="3242"/>
      <c r="V11" s="849"/>
      <c r="W11" s="3342"/>
      <c r="X11" s="3343"/>
      <c r="AZ11" s="1968"/>
      <c r="BA11" s="1706">
        <v>11</v>
      </c>
    </row>
    <row r="12" spans="1:53" s="144" customFormat="1" ht="11.25" customHeight="1">
      <c r="B12" s="144" t="s">
        <v>459</v>
      </c>
      <c r="G12" s="3241">
        <v>15000</v>
      </c>
      <c r="H12" s="3242"/>
      <c r="J12" s="3241">
        <v>15000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14000</v>
      </c>
      <c r="H13" s="3242"/>
      <c r="J13" s="3241">
        <v>14000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f>1000+2500-40</f>
        <v>3460</v>
      </c>
      <c r="H14" s="3242"/>
      <c r="J14" s="3241">
        <f>1000+2500-40</f>
        <v>3460</v>
      </c>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6271</v>
      </c>
      <c r="C15" s="3377" t="s">
        <v>6721</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6365</v>
      </c>
      <c r="BA15" s="1706">
        <v>15</v>
      </c>
    </row>
    <row r="16" spans="1:53" s="144" customFormat="1" ht="11.25" customHeight="1">
      <c r="A16" s="303" t="str">
        <f>IF(AND(G16&gt;0,OR(C16="",C16="&lt;Enter detailed description here; use Comments section if needed&gt;")),"X","")</f>
        <v/>
      </c>
      <c r="B16" s="147" t="s">
        <v>6272</v>
      </c>
      <c r="C16" s="3377" t="s">
        <v>6721</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6366</v>
      </c>
      <c r="BA16" s="1706">
        <v>16</v>
      </c>
    </row>
    <row r="17" spans="1:53" s="144" customFormat="1" ht="11.25" customHeight="1" thickBot="1">
      <c r="A17" s="303" t="str">
        <f>IF(AND(G17&gt;0,OR(C17="",C17="&lt;Enter detailed description here; use Comments section if needed&gt;")),"X","")</f>
        <v/>
      </c>
      <c r="B17" s="147" t="s">
        <v>6273</v>
      </c>
      <c r="C17" s="3377" t="s">
        <v>6721</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6367</v>
      </c>
      <c r="BA17" s="1706">
        <v>17</v>
      </c>
    </row>
    <row r="18" spans="1:53" s="144" customFormat="1" ht="12.6" customHeight="1" thickTop="1">
      <c r="F18" s="281" t="s">
        <v>184</v>
      </c>
      <c r="G18" s="3338">
        <f>SUM(G9:G17)</f>
        <v>73435</v>
      </c>
      <c r="H18" s="3339"/>
      <c r="J18" s="3338">
        <f>SUM(J9:J17)</f>
        <v>73435</v>
      </c>
      <c r="K18" s="3339"/>
      <c r="L18" s="828"/>
      <c r="M18" s="3338">
        <f>SUM(M9:M17)</f>
        <v>0</v>
      </c>
      <c r="N18" s="3339"/>
      <c r="P18" s="3338">
        <f>SUM(P9:P17)</f>
        <v>0</v>
      </c>
      <c r="Q18" s="3339"/>
      <c r="S18" s="3338">
        <f>SUM(S9:S17)</f>
        <v>0</v>
      </c>
      <c r="T18" s="3339"/>
      <c r="V18" s="851">
        <f>SUM(V9:V17)</f>
        <v>0</v>
      </c>
      <c r="W18" s="3351"/>
      <c r="X18" s="3352"/>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179182.67551519384</v>
      </c>
      <c r="G20" s="3230">
        <v>1026000</v>
      </c>
      <c r="H20" s="3231"/>
      <c r="J20" s="283"/>
      <c r="K20" s="280"/>
      <c r="L20" s="283"/>
      <c r="M20" s="283"/>
      <c r="N20" s="280"/>
      <c r="P20" s="283"/>
      <c r="Q20" s="280"/>
      <c r="S20" s="3230">
        <f>G20</f>
        <v>1026000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1026000</v>
      </c>
      <c r="H24" s="3339"/>
      <c r="J24" s="283"/>
      <c r="K24" s="280"/>
      <c r="L24" s="283"/>
      <c r="M24" s="3338">
        <f>SUM(M22:M23)</f>
        <v>0</v>
      </c>
      <c r="N24" s="3339"/>
      <c r="P24" s="283"/>
      <c r="Q24" s="280"/>
      <c r="S24" s="3338">
        <f>SUM(S20:S23)</f>
        <v>1026000</v>
      </c>
      <c r="T24" s="3339"/>
      <c r="V24" s="851">
        <f>SUM(V20:V23)</f>
        <v>0</v>
      </c>
      <c r="W24" s="3351"/>
      <c r="X24" s="3352"/>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369972.05728257075</v>
      </c>
      <c r="G26" s="3230">
        <v>2118460</v>
      </c>
      <c r="H26" s="3231"/>
      <c r="J26" s="3230">
        <v>2118460</v>
      </c>
      <c r="K26" s="3231"/>
      <c r="L26" s="828"/>
      <c r="M26" s="3379"/>
      <c r="N26" s="3380"/>
      <c r="P26" s="3379"/>
      <c r="Q26" s="3380"/>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2118460</v>
      </c>
      <c r="H28" s="3339"/>
      <c r="J28" s="3338">
        <f>SUM(J26:J27)</f>
        <v>2118460</v>
      </c>
      <c r="K28" s="3339"/>
      <c r="L28" s="283"/>
      <c r="M28" s="3338">
        <f>M26</f>
        <v>0</v>
      </c>
      <c r="N28" s="3339"/>
      <c r="P28" s="3338">
        <f>P26</f>
        <v>0</v>
      </c>
      <c r="Q28" s="3339"/>
      <c r="S28" s="3338">
        <f>SUM(S26:S27)</f>
        <v>0</v>
      </c>
      <c r="T28" s="3339"/>
      <c r="V28" s="851">
        <f>SUM(V26:V27)</f>
        <v>0</v>
      </c>
      <c r="W28" s="3351"/>
      <c r="X28" s="3352"/>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f>7419200-175000</f>
        <v>7244200</v>
      </c>
      <c r="H30" s="3231"/>
      <c r="J30" s="3230">
        <f>G30</f>
        <v>7244200</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6088</v>
      </c>
      <c r="G32" s="3241">
        <v>175000</v>
      </c>
      <c r="H32" s="3242"/>
      <c r="J32" s="3241">
        <v>175000</v>
      </c>
      <c r="K32" s="3242"/>
      <c r="L32" s="828"/>
      <c r="M32" s="3241"/>
      <c r="N32" s="3242"/>
      <c r="P32" s="3241"/>
      <c r="Q32" s="3242"/>
      <c r="S32" s="3241"/>
      <c r="T32" s="3242"/>
      <c r="V32" s="849"/>
      <c r="W32" s="3342"/>
      <c r="X32" s="3343"/>
      <c r="AZ32" s="1968"/>
      <c r="BA32" s="1706">
        <v>32</v>
      </c>
    </row>
    <row r="33" spans="1:53" s="144" customFormat="1" ht="11.25" customHeight="1">
      <c r="B33" s="144" t="s">
        <v>6086</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6087</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7419200</v>
      </c>
      <c r="H36" s="3339"/>
      <c r="J36" s="3338">
        <f>SUM(J30:J35)</f>
        <v>7419200</v>
      </c>
      <c r="K36" s="3339"/>
      <c r="L36" s="828"/>
      <c r="M36" s="3338">
        <f>SUM(M30:M35)</f>
        <v>0</v>
      </c>
      <c r="N36" s="3339"/>
      <c r="P36" s="3338">
        <f>SUM(P30:P35)</f>
        <v>0</v>
      </c>
      <c r="Q36" s="3339"/>
      <c r="S36" s="3338">
        <f>SUM(S30:S35)</f>
        <v>0</v>
      </c>
      <c r="T36" s="3339"/>
      <c r="V36" s="851">
        <f>SUM(V30:V35)</f>
        <v>0</v>
      </c>
      <c r="W36" s="3351"/>
      <c r="X36" s="3352"/>
      <c r="AZ36" s="1968" t="s">
        <v>6371</v>
      </c>
      <c r="BA36" s="1706">
        <v>36</v>
      </c>
    </row>
    <row r="37" spans="1:53" s="144" customFormat="1" ht="12" customHeight="1">
      <c r="B37" s="243" t="s">
        <v>2163</v>
      </c>
      <c r="D37" s="3384" t="s">
        <v>3224</v>
      </c>
      <c r="E37" s="3384"/>
      <c r="F37" s="760">
        <f>SUM(F38:F40)</f>
        <v>0.13999765141554638</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572259</v>
      </c>
      <c r="F38" s="1949">
        <f>IF(($G$28+$G$36)=0,0,G38/($G$28+$G$36))</f>
        <v>5.9998993463805585E-2</v>
      </c>
      <c r="G38" s="3230">
        <v>572250</v>
      </c>
      <c r="H38" s="3231"/>
      <c r="I38" s="145"/>
      <c r="J38" s="3230">
        <f>G38</f>
        <v>572250</v>
      </c>
      <c r="K38" s="3231"/>
      <c r="L38" s="828"/>
      <c r="M38" s="3230"/>
      <c r="N38" s="3231"/>
      <c r="P38" s="3230"/>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190753</v>
      </c>
      <c r="F39" s="1949">
        <f>IF(($G$28+$G$36)=0,0,G39/($G$28+$G$36))</f>
        <v>1.9999664487935196E-2</v>
      </c>
      <c r="G39" s="3241">
        <v>190750</v>
      </c>
      <c r="H39" s="3242"/>
      <c r="I39" s="145"/>
      <c r="J39" s="3241">
        <f>G39</f>
        <v>190750</v>
      </c>
      <c r="K39" s="3242"/>
      <c r="L39" s="828"/>
      <c r="M39" s="3241"/>
      <c r="N39" s="3242"/>
      <c r="P39" s="3241"/>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572259</v>
      </c>
      <c r="F40" s="1952">
        <f>IF(($G$28+$G$36)=0,0,G40/($G$28+$G$36))</f>
        <v>5.9998993463805585E-2</v>
      </c>
      <c r="G40" s="3340">
        <v>572250</v>
      </c>
      <c r="H40" s="3341"/>
      <c r="I40" s="145"/>
      <c r="J40" s="3340">
        <f>G40</f>
        <v>572250</v>
      </c>
      <c r="K40" s="3341"/>
      <c r="L40" s="828"/>
      <c r="M40" s="3340"/>
      <c r="N40" s="3341"/>
      <c r="P40" s="3340"/>
      <c r="Q40" s="3341"/>
      <c r="S40" s="3340"/>
      <c r="T40" s="3341"/>
      <c r="V40" s="849"/>
      <c r="W40" s="3349"/>
      <c r="X40" s="3350"/>
      <c r="AZ40" s="1968"/>
      <c r="BA40" s="1706">
        <v>40</v>
      </c>
    </row>
    <row r="41" spans="1:53" s="144" customFormat="1" ht="12.6" customHeight="1" thickTop="1">
      <c r="B41" s="147" t="s">
        <v>3225</v>
      </c>
      <c r="D41" s="761">
        <f>SUM(D38:D40)</f>
        <v>0.14000000000000001</v>
      </c>
      <c r="E41" s="762">
        <f>SUM(E38:E40)</f>
        <v>1335271</v>
      </c>
      <c r="F41" s="1946" t="s">
        <v>184</v>
      </c>
      <c r="G41" s="3338">
        <f>SUM(G38:G40)</f>
        <v>1335250</v>
      </c>
      <c r="H41" s="3339"/>
      <c r="J41" s="3338">
        <f>SUM(J38:J40)</f>
        <v>1335250</v>
      </c>
      <c r="K41" s="3339"/>
      <c r="L41" s="283"/>
      <c r="M41" s="3338">
        <f>SUM(M38:M40)</f>
        <v>0</v>
      </c>
      <c r="N41" s="3339"/>
      <c r="P41" s="3338">
        <f>SUM(P38:P40)</f>
        <v>0</v>
      </c>
      <c r="Q41" s="3339"/>
      <c r="S41" s="3338">
        <f>SUM(S38:S40)</f>
        <v>0</v>
      </c>
      <c r="T41" s="3339"/>
      <c r="V41" s="851">
        <f>SUM(V38:V40)</f>
        <v>0</v>
      </c>
      <c r="W41" s="3351"/>
      <c r="X41" s="3352"/>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4">
        <f>G28+G36+G41</f>
        <v>10872910</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7" t="s">
        <v>6721</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6374</v>
      </c>
      <c r="BA47" s="1706">
        <v>47</v>
      </c>
    </row>
    <row r="48" spans="1:53" s="144" customFormat="1" ht="12.6" customHeight="1">
      <c r="B48" s="1665" t="s">
        <v>2479</v>
      </c>
      <c r="C48" s="1666"/>
      <c r="E48" s="3396" t="s">
        <v>2478</v>
      </c>
      <c r="F48" s="1667">
        <f>C49/'Part V-Revenues &amp; Expenses'!$P$65</f>
        <v>201350.1851851852</v>
      </c>
      <c r="G48" s="1668" t="s">
        <v>2492</v>
      </c>
      <c r="H48" s="1669"/>
      <c r="I48" s="1669"/>
      <c r="J48" s="3398">
        <f>C49/'Part V-Revenues &amp; Expenses'!$P$67</f>
        <v>201350.1851851852</v>
      </c>
      <c r="K48" s="3398"/>
      <c r="L48" s="1669"/>
      <c r="M48" s="3399" t="s">
        <v>6475</v>
      </c>
      <c r="N48" s="3399"/>
      <c r="O48" s="1669"/>
      <c r="P48" s="3398">
        <f>C49/'Part V-Revenues &amp; Expenses'!$K$175</f>
        <v>163.99067901420773</v>
      </c>
      <c r="Q48" s="3398"/>
      <c r="R48" s="1669"/>
      <c r="S48" s="3400" t="s">
        <v>6477</v>
      </c>
      <c r="T48" s="3401"/>
      <c r="V48" s="852"/>
      <c r="W48" s="3392"/>
      <c r="X48" s="3393"/>
      <c r="AZ48" s="1968"/>
      <c r="BA48" s="1706">
        <v>48</v>
      </c>
    </row>
    <row r="49" spans="1:53" s="144" customFormat="1" ht="12.6" customHeight="1">
      <c r="B49" s="1714" t="s">
        <v>6488</v>
      </c>
      <c r="C49" s="1713">
        <f>G28+G36+G41+G46</f>
        <v>10872910</v>
      </c>
      <c r="E49" s="3397"/>
      <c r="F49" s="1670">
        <f>C49/'Part V-Revenues &amp; Expenses'!$P$166</f>
        <v>167.96808379163321</v>
      </c>
      <c r="G49" s="1671" t="s">
        <v>2493</v>
      </c>
      <c r="H49" s="1672"/>
      <c r="I49" s="1672"/>
      <c r="J49" s="3386">
        <f>C49/'Part V-Revenues &amp; Expenses'!$P$168</f>
        <v>167.96808379163321</v>
      </c>
      <c r="K49" s="3386"/>
      <c r="L49" s="1672"/>
      <c r="M49" s="3387" t="s">
        <v>6476</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543645.5</v>
      </c>
      <c r="F55" s="1756">
        <f>G55/C49</f>
        <v>4.9999954014150763E-2</v>
      </c>
      <c r="G55" s="3388">
        <v>543645</v>
      </c>
      <c r="H55" s="3389"/>
      <c r="I55" s="144"/>
      <c r="J55" s="3388">
        <f>G55</f>
        <v>543645</v>
      </c>
      <c r="K55" s="3389"/>
      <c r="L55" s="828"/>
      <c r="M55" s="3388"/>
      <c r="N55" s="3389"/>
      <c r="O55" s="144"/>
      <c r="P55" s="3388"/>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6297</v>
      </c>
      <c r="C57" s="1666"/>
      <c r="E57" s="3481" t="s">
        <v>6298</v>
      </c>
      <c r="F57" s="1667">
        <f>B58/'Part V-Revenues &amp; Expenses'!$P$65</f>
        <v>211417.6851851852</v>
      </c>
      <c r="G57" s="1668" t="s">
        <v>2492</v>
      </c>
      <c r="H57" s="1669"/>
      <c r="I57" s="1669"/>
      <c r="J57" s="3398">
        <f>B58/'Part V-Revenues &amp; Expenses'!$P$67</f>
        <v>211417.6851851852</v>
      </c>
      <c r="K57" s="3398"/>
      <c r="L57" s="1669"/>
      <c r="M57" s="3399" t="s">
        <v>6475</v>
      </c>
      <c r="N57" s="3399"/>
      <c r="O57" s="1669"/>
      <c r="P57" s="3398">
        <f>B58/'Part V-Revenues &amp; Expenses'!$K$175</f>
        <v>172.19020542366746</v>
      </c>
      <c r="Q57" s="3398"/>
      <c r="R57" s="1669"/>
      <c r="S57" s="3400" t="s">
        <v>6477</v>
      </c>
      <c r="T57" s="3401"/>
      <c r="V57" s="852"/>
      <c r="W57" s="3392"/>
      <c r="X57" s="3393"/>
      <c r="AZ57" s="1968"/>
      <c r="BA57" s="1706">
        <v>54</v>
      </c>
    </row>
    <row r="58" spans="1:53" s="144" customFormat="1" ht="12.6" customHeight="1">
      <c r="B58" s="3479">
        <f>C49+G55</f>
        <v>11416555</v>
      </c>
      <c r="C58" s="3480"/>
      <c r="E58" s="3482"/>
      <c r="F58" s="1670">
        <f>B58/'Part V-Revenues &amp; Expenses'!$P$166</f>
        <v>176.36648025705989</v>
      </c>
      <c r="G58" s="1671" t="s">
        <v>2493</v>
      </c>
      <c r="H58" s="1672"/>
      <c r="I58" s="1672"/>
      <c r="J58" s="3386">
        <f>B58/'Part V-Revenues &amp; Expenses'!$P$168</f>
        <v>176.36648025705989</v>
      </c>
      <c r="K58" s="3386"/>
      <c r="L58" s="1672"/>
      <c r="M58" s="3387" t="s">
        <v>6476</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3227</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118102</v>
      </c>
      <c r="H63" s="3242"/>
      <c r="J63" s="3241">
        <f>G63</f>
        <v>118102</v>
      </c>
      <c r="K63" s="3242"/>
      <c r="L63" s="828"/>
      <c r="M63" s="3241"/>
      <c r="N63" s="3242"/>
      <c r="P63" s="3241"/>
      <c r="Q63" s="3242"/>
      <c r="S63" s="3241"/>
      <c r="T63" s="3242"/>
      <c r="V63" s="853"/>
      <c r="W63" s="3342"/>
      <c r="X63" s="3343"/>
      <c r="AZ63" s="1968"/>
      <c r="BA63" s="1706">
        <v>63</v>
      </c>
    </row>
    <row r="64" spans="1:53" s="144" customFormat="1" ht="12" customHeight="1">
      <c r="B64" s="144" t="s">
        <v>2167</v>
      </c>
      <c r="G64" s="3241">
        <v>489183</v>
      </c>
      <c r="H64" s="3242"/>
      <c r="J64" s="3241">
        <f>G64</f>
        <v>489183</v>
      </c>
      <c r="K64" s="3242"/>
      <c r="L64" s="828"/>
      <c r="M64" s="3241"/>
      <c r="N64" s="3242"/>
      <c r="P64" s="3241"/>
      <c r="Q64" s="3242"/>
      <c r="S64" s="3241"/>
      <c r="T64" s="3242"/>
      <c r="V64" s="853"/>
      <c r="W64" s="3342"/>
      <c r="X64" s="3343"/>
      <c r="AZ64" s="1968"/>
      <c r="BA64" s="1706">
        <v>64</v>
      </c>
    </row>
    <row r="65" spans="1:53" s="144" customFormat="1" ht="12" customHeight="1">
      <c r="B65" s="144" t="s">
        <v>2168</v>
      </c>
      <c r="G65" s="3241">
        <v>30000</v>
      </c>
      <c r="H65" s="3242"/>
      <c r="J65" s="3241">
        <v>30000</v>
      </c>
      <c r="K65" s="3242"/>
      <c r="L65" s="828"/>
      <c r="M65" s="3241"/>
      <c r="N65" s="3242"/>
      <c r="P65" s="3241"/>
      <c r="Q65" s="3242"/>
      <c r="S65" s="3241"/>
      <c r="T65" s="3242"/>
      <c r="V65" s="853"/>
      <c r="W65" s="3342"/>
      <c r="X65" s="3343"/>
      <c r="AZ65" s="1968" t="s">
        <v>6375</v>
      </c>
      <c r="BA65" s="1706">
        <v>65</v>
      </c>
    </row>
    <row r="66" spans="1:53" s="144" customFormat="1" ht="12" customHeight="1">
      <c r="B66" s="144" t="s">
        <v>2450</v>
      </c>
      <c r="G66" s="3241">
        <v>14500</v>
      </c>
      <c r="H66" s="3242"/>
      <c r="J66" s="3241">
        <v>14500</v>
      </c>
      <c r="K66" s="3242"/>
      <c r="L66" s="828"/>
      <c r="M66" s="3241"/>
      <c r="N66" s="3242"/>
      <c r="P66" s="3241"/>
      <c r="Q66" s="3242"/>
      <c r="S66" s="3241"/>
      <c r="T66" s="3242"/>
      <c r="V66" s="853"/>
      <c r="W66" s="3342"/>
      <c r="X66" s="3343"/>
      <c r="AZ66" s="1968" t="s">
        <v>6376</v>
      </c>
      <c r="BA66" s="1706">
        <v>66</v>
      </c>
    </row>
    <row r="67" spans="1:53" s="144" customFormat="1" ht="12" customHeight="1">
      <c r="B67" s="144" t="s">
        <v>676</v>
      </c>
      <c r="G67" s="3241">
        <v>5000</v>
      </c>
      <c r="H67" s="3242"/>
      <c r="J67" s="3241">
        <v>0</v>
      </c>
      <c r="K67" s="3242"/>
      <c r="L67" s="828"/>
      <c r="M67" s="3241"/>
      <c r="N67" s="3242"/>
      <c r="P67" s="3241"/>
      <c r="Q67" s="3242"/>
      <c r="S67" s="3241">
        <f>G67</f>
        <v>5000</v>
      </c>
      <c r="T67" s="3242"/>
      <c r="V67" s="853"/>
      <c r="W67" s="3342"/>
      <c r="X67" s="3343"/>
      <c r="AZ67" s="1968" t="s">
        <v>6377</v>
      </c>
      <c r="BA67" s="1706">
        <v>67</v>
      </c>
    </row>
    <row r="68" spans="1:53" s="144" customFormat="1" ht="12" customHeight="1">
      <c r="B68" s="144" t="s">
        <v>2169</v>
      </c>
      <c r="G68" s="3241">
        <v>60000</v>
      </c>
      <c r="H68" s="3242"/>
      <c r="J68" s="3241">
        <v>60000</v>
      </c>
      <c r="K68" s="3242"/>
      <c r="L68" s="828"/>
      <c r="M68" s="3241"/>
      <c r="N68" s="3242"/>
      <c r="P68" s="3241"/>
      <c r="Q68" s="3242"/>
      <c r="S68" s="3241"/>
      <c r="T68" s="3242"/>
      <c r="V68" s="853"/>
      <c r="W68" s="3342"/>
      <c r="X68" s="3343"/>
      <c r="AZ68" s="1968"/>
      <c r="BA68" s="1706">
        <v>68</v>
      </c>
    </row>
    <row r="69" spans="1:53" s="144" customFormat="1" ht="12" customHeight="1">
      <c r="B69" s="144" t="s">
        <v>1200</v>
      </c>
      <c r="G69" s="3241">
        <v>50000</v>
      </c>
      <c r="H69" s="3242"/>
      <c r="J69" s="3241">
        <v>50000</v>
      </c>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c r="H70" s="3242"/>
      <c r="I70" s="145"/>
      <c r="J70" s="3241"/>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6276</v>
      </c>
      <c r="C71" s="3408" t="s">
        <v>6721</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6277</v>
      </c>
      <c r="C72" s="3406" t="s">
        <v>6721</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766785</v>
      </c>
      <c r="H73" s="3339"/>
      <c r="J73" s="3338">
        <f>SUM(J61:J72)</f>
        <v>761785</v>
      </c>
      <c r="K73" s="3339"/>
      <c r="L73" s="283"/>
      <c r="M73" s="3338">
        <f>SUM(M61:M72)</f>
        <v>0</v>
      </c>
      <c r="N73" s="3339"/>
      <c r="P73" s="3338">
        <f>SUM(P61:P72)</f>
        <v>0</v>
      </c>
      <c r="Q73" s="3339"/>
      <c r="S73" s="3338">
        <f>SUM(S61:S72)</f>
        <v>5000</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113400</v>
      </c>
      <c r="H75" s="3231"/>
      <c r="J75" s="3230">
        <v>113400</v>
      </c>
      <c r="K75" s="3231"/>
      <c r="L75" s="828"/>
      <c r="M75" s="3230"/>
      <c r="N75" s="3231"/>
      <c r="P75" s="3230"/>
      <c r="Q75" s="3231"/>
      <c r="S75" s="3230"/>
      <c r="T75" s="3231"/>
      <c r="V75" s="849"/>
      <c r="W75" s="3342"/>
      <c r="X75" s="3343"/>
      <c r="AZ75" s="1968"/>
      <c r="BA75" s="1706">
        <v>75</v>
      </c>
    </row>
    <row r="76" spans="1:53" s="144" customFormat="1" ht="12" customHeight="1">
      <c r="B76" s="144" t="s">
        <v>451</v>
      </c>
      <c r="G76" s="3241">
        <v>12000</v>
      </c>
      <c r="H76" s="3242"/>
      <c r="J76" s="3241">
        <v>12000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c r="H77" s="3242"/>
      <c r="J77" s="3241"/>
      <c r="K77" s="3242"/>
      <c r="L77" s="828"/>
      <c r="M77" s="3241"/>
      <c r="N77" s="3242"/>
      <c r="P77" s="3241"/>
      <c r="Q77" s="3242"/>
      <c r="S77" s="3241"/>
      <c r="T77" s="3242"/>
      <c r="V77" s="849"/>
      <c r="W77" s="3342"/>
      <c r="X77" s="3343"/>
      <c r="AZ77" s="1968"/>
      <c r="BA77" s="1706">
        <v>77</v>
      </c>
    </row>
    <row r="78" spans="1:53" s="144" customFormat="1" ht="12" customHeight="1">
      <c r="B78" s="144" t="s">
        <v>1062</v>
      </c>
      <c r="G78" s="3241">
        <v>20000</v>
      </c>
      <c r="H78" s="3242"/>
      <c r="J78" s="3241">
        <v>20000</v>
      </c>
      <c r="K78" s="3242"/>
      <c r="L78" s="828"/>
      <c r="M78" s="3241"/>
      <c r="N78" s="3242"/>
      <c r="P78" s="3241"/>
      <c r="Q78" s="3242"/>
      <c r="S78" s="3241"/>
      <c r="T78" s="3242"/>
      <c r="V78" s="849"/>
      <c r="W78" s="3342"/>
      <c r="X78" s="3343"/>
      <c r="AZ78" s="1968"/>
      <c r="BA78" s="1706">
        <v>78</v>
      </c>
    </row>
    <row r="79" spans="1:53" s="144" customFormat="1" ht="12" customHeight="1">
      <c r="B79" s="144" t="s">
        <v>1063</v>
      </c>
      <c r="G79" s="3241">
        <v>20000</v>
      </c>
      <c r="H79" s="3242"/>
      <c r="J79" s="3241">
        <v>20000</v>
      </c>
      <c r="K79" s="3242"/>
      <c r="L79" s="828"/>
      <c r="M79" s="3241"/>
      <c r="N79" s="3242"/>
      <c r="P79" s="3241"/>
      <c r="Q79" s="3242"/>
      <c r="S79" s="3241"/>
      <c r="T79" s="3242"/>
      <c r="V79" s="849"/>
      <c r="W79" s="3342"/>
      <c r="X79" s="3343"/>
      <c r="AZ79" s="1968" t="s">
        <v>6378</v>
      </c>
      <c r="BA79" s="1706">
        <v>79</v>
      </c>
    </row>
    <row r="80" spans="1:53" s="144" customFormat="1" ht="12" customHeight="1">
      <c r="B80" s="144" t="s">
        <v>1064</v>
      </c>
      <c r="G80" s="3241"/>
      <c r="H80" s="3242"/>
      <c r="J80" s="3241"/>
      <c r="K80" s="3242"/>
      <c r="L80" s="828"/>
      <c r="M80" s="3241"/>
      <c r="N80" s="3242"/>
      <c r="P80" s="3241"/>
      <c r="Q80" s="3242"/>
      <c r="S80" s="3241"/>
      <c r="T80" s="3242"/>
      <c r="V80" s="849"/>
      <c r="W80" s="3342"/>
      <c r="X80" s="3343"/>
      <c r="AZ80" s="1968" t="s">
        <v>6379</v>
      </c>
      <c r="BA80" s="1706">
        <v>80</v>
      </c>
    </row>
    <row r="81" spans="1:53" s="144" customFormat="1" ht="12" customHeight="1">
      <c r="B81" s="144" t="s">
        <v>452</v>
      </c>
      <c r="G81" s="3241">
        <v>45000</v>
      </c>
      <c r="H81" s="3242"/>
      <c r="J81" s="3241">
        <v>45000</v>
      </c>
      <c r="K81" s="3242"/>
      <c r="L81" s="828"/>
      <c r="M81" s="3241"/>
      <c r="N81" s="3242"/>
      <c r="P81" s="3241"/>
      <c r="Q81" s="3242"/>
      <c r="S81" s="3241"/>
      <c r="T81" s="3242"/>
      <c r="V81" s="849"/>
      <c r="W81" s="3342"/>
      <c r="X81" s="3343"/>
      <c r="AZ81" s="744"/>
      <c r="BA81" s="1706">
        <v>81</v>
      </c>
    </row>
    <row r="82" spans="1:53" s="144" customFormat="1" ht="12" customHeight="1">
      <c r="B82" s="144" t="s">
        <v>453</v>
      </c>
      <c r="G82" s="3241">
        <v>70000</v>
      </c>
      <c r="H82" s="3242"/>
      <c r="J82" s="3241">
        <f>70000-7000</f>
        <v>63000</v>
      </c>
      <c r="K82" s="3242"/>
      <c r="L82" s="828"/>
      <c r="M82" s="3241"/>
      <c r="N82" s="3242"/>
      <c r="P82" s="3241"/>
      <c r="Q82" s="3242"/>
      <c r="S82" s="3241">
        <f>G82-J82</f>
        <v>7000</v>
      </c>
      <c r="T82" s="3242"/>
      <c r="V82" s="849"/>
      <c r="W82" s="3342"/>
      <c r="X82" s="3343"/>
      <c r="AZ82" s="1968"/>
      <c r="BA82" s="1706">
        <v>82</v>
      </c>
    </row>
    <row r="83" spans="1:53" s="144" customFormat="1" ht="12" customHeight="1">
      <c r="B83" s="144" t="s">
        <v>1899</v>
      </c>
      <c r="G83" s="3241">
        <v>25000</v>
      </c>
      <c r="H83" s="3242"/>
      <c r="J83" s="3241">
        <f>25000-2500</f>
        <v>22500</v>
      </c>
      <c r="K83" s="3242"/>
      <c r="L83" s="828"/>
      <c r="M83" s="3241"/>
      <c r="N83" s="3242"/>
      <c r="P83" s="3241"/>
      <c r="Q83" s="3242"/>
      <c r="S83" s="3241">
        <f>G83-J83</f>
        <v>2500</v>
      </c>
      <c r="T83" s="3242"/>
      <c r="V83" s="849"/>
      <c r="W83" s="3342"/>
      <c r="X83" s="3343"/>
      <c r="AZ83" s="1968"/>
      <c r="BA83" s="1706">
        <v>83</v>
      </c>
    </row>
    <row r="84" spans="1:53" s="144" customFormat="1" ht="12" customHeight="1">
      <c r="B84" s="144" t="s">
        <v>1201</v>
      </c>
      <c r="G84" s="3241">
        <v>12000</v>
      </c>
      <c r="H84" s="3242"/>
      <c r="J84" s="3241">
        <v>12000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6278</v>
      </c>
      <c r="C85" s="3377" t="s">
        <v>6721</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317400</v>
      </c>
      <c r="H86" s="3339"/>
      <c r="J86" s="3338">
        <f>SUM(J75:J85)</f>
        <v>307900</v>
      </c>
      <c r="K86" s="3339"/>
      <c r="L86" s="283"/>
      <c r="M86" s="3338">
        <f>SUM(M75:M85)</f>
        <v>0</v>
      </c>
      <c r="N86" s="3339"/>
      <c r="P86" s="3338">
        <f>SUM(P75:P85)</f>
        <v>0</v>
      </c>
      <c r="Q86" s="3339"/>
      <c r="S86" s="3338">
        <f>SUM(S75:S85)</f>
        <v>9500</v>
      </c>
      <c r="T86" s="3339"/>
      <c r="V86" s="851">
        <f>SUM(V75:V85)</f>
        <v>0</v>
      </c>
      <c r="W86" s="3351"/>
      <c r="X86" s="3352"/>
      <c r="AZ86" s="1968" t="s">
        <v>6380</v>
      </c>
      <c r="BA86" s="1706">
        <v>86</v>
      </c>
    </row>
    <row r="87" spans="1:53" ht="12" customHeight="1">
      <c r="A87" s="144"/>
      <c r="B87" s="243" t="s">
        <v>1193</v>
      </c>
      <c r="C87" s="144"/>
      <c r="D87" s="690" t="s">
        <v>3228</v>
      </c>
      <c r="E87" s="763">
        <f>G92/'Part V-Revenues &amp; Expenses'!$P$67</f>
        <v>4361.0925925925922</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15499</v>
      </c>
      <c r="H88" s="3231"/>
      <c r="J88" s="3230">
        <f>G88</f>
        <v>15499</v>
      </c>
      <c r="K88" s="3231"/>
      <c r="L88" s="828"/>
      <c r="M88" s="3230"/>
      <c r="N88" s="3231"/>
      <c r="P88" s="3230"/>
      <c r="Q88" s="3231"/>
      <c r="S88" s="3230"/>
      <c r="T88" s="3231"/>
      <c r="V88" s="849"/>
      <c r="W88" s="3342"/>
      <c r="X88" s="3343"/>
      <c r="AZ88" s="1968"/>
      <c r="BA88" s="1706">
        <v>88</v>
      </c>
    </row>
    <row r="89" spans="1:53" s="144" customFormat="1" ht="12" customHeight="1">
      <c r="B89" s="144" t="s">
        <v>1195</v>
      </c>
      <c r="G89" s="3241">
        <v>0</v>
      </c>
      <c r="H89" s="3242"/>
      <c r="J89" s="3241">
        <v>0</v>
      </c>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2652</v>
      </c>
      <c r="G90" s="3241">
        <v>110000</v>
      </c>
      <c r="H90" s="3242"/>
      <c r="I90" s="145"/>
      <c r="J90" s="3241">
        <v>110000</v>
      </c>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2652</v>
      </c>
      <c r="G91" s="3189">
        <v>110000</v>
      </c>
      <c r="H91" s="3190"/>
      <c r="I91" s="145"/>
      <c r="J91" s="3189">
        <v>110000</v>
      </c>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235499</v>
      </c>
      <c r="H92" s="3339"/>
      <c r="J92" s="3338">
        <f>SUM(J88:J91)</f>
        <v>235499</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0">
        <f>32064-15064</f>
        <v>17000</v>
      </c>
      <c r="H97" s="3231"/>
      <c r="J97" s="3410"/>
      <c r="K97" s="3410"/>
      <c r="L97" s="828"/>
      <c r="M97" s="3410"/>
      <c r="N97" s="3410"/>
      <c r="P97" s="3410"/>
      <c r="Q97" s="3410"/>
      <c r="S97" s="3230">
        <f>G97</f>
        <v>17000</v>
      </c>
      <c r="T97" s="3231"/>
      <c r="V97" s="849"/>
      <c r="W97" s="3342"/>
      <c r="X97" s="3343"/>
      <c r="AZ97" s="1968" t="s">
        <v>6382</v>
      </c>
      <c r="BA97" s="1706">
        <v>97</v>
      </c>
    </row>
    <row r="98" spans="1:53" s="144" customFormat="1" ht="12" customHeight="1">
      <c r="B98" s="144" t="s">
        <v>1199</v>
      </c>
      <c r="G98" s="3241">
        <f>25000+10000</f>
        <v>35000</v>
      </c>
      <c r="H98" s="3242"/>
      <c r="J98" s="3410"/>
      <c r="K98" s="3410"/>
      <c r="L98" s="828"/>
      <c r="M98" s="3410"/>
      <c r="N98" s="3410"/>
      <c r="P98" s="3410"/>
      <c r="Q98" s="3410"/>
      <c r="S98" s="3241">
        <f>G98</f>
        <v>35000</v>
      </c>
      <c r="T98" s="3242"/>
      <c r="V98" s="849"/>
      <c r="W98" s="3342"/>
      <c r="X98" s="3343"/>
      <c r="AZ98" s="1968"/>
      <c r="BA98" s="1706">
        <v>98</v>
      </c>
    </row>
    <row r="99" spans="1:53" s="144" customFormat="1" ht="12" customHeight="1">
      <c r="B99" s="144" t="s">
        <v>1200</v>
      </c>
      <c r="G99" s="3241">
        <f>13000+5064</f>
        <v>18064</v>
      </c>
      <c r="H99" s="3242"/>
      <c r="J99" s="3410"/>
      <c r="K99" s="3410"/>
      <c r="L99" s="828"/>
      <c r="M99" s="3410"/>
      <c r="N99" s="3410"/>
      <c r="P99" s="3410"/>
      <c r="Q99" s="3410"/>
      <c r="S99" s="3241">
        <f>G99</f>
        <v>18064</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6279</v>
      </c>
      <c r="C102" s="3377" t="s">
        <v>6721</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70064</v>
      </c>
      <c r="H103" s="3339"/>
      <c r="J103" s="3410"/>
      <c r="K103" s="3410"/>
      <c r="L103" s="283"/>
      <c r="M103" s="3410"/>
      <c r="N103" s="3410"/>
      <c r="P103" s="3410"/>
      <c r="Q103" s="3410"/>
      <c r="S103" s="3338">
        <f>SUM(S97:S102)</f>
        <v>70064</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6703</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8000</v>
      </c>
      <c r="H106" s="3242"/>
      <c r="J106" s="283"/>
      <c r="K106" s="283"/>
      <c r="L106" s="290"/>
      <c r="M106" s="283"/>
      <c r="N106" s="283"/>
      <c r="P106" s="283"/>
      <c r="Q106" s="283"/>
      <c r="S106" s="3241">
        <v>8000</v>
      </c>
      <c r="T106" s="3242"/>
      <c r="V106" s="849"/>
      <c r="W106" s="3342"/>
      <c r="X106" s="3343"/>
      <c r="Y106" s="3331"/>
      <c r="AA106" s="1931" t="s">
        <v>3151</v>
      </c>
      <c r="AB106" s="1931"/>
      <c r="AC106" s="1931"/>
      <c r="AD106" s="1932">
        <f>'Part V-Revenues &amp; Expenses'!$P$67</f>
        <v>54</v>
      </c>
      <c r="AZ106" s="1968" t="s">
        <v>6383</v>
      </c>
      <c r="BA106" s="1706">
        <v>106</v>
      </c>
    </row>
    <row r="107" spans="1:53" s="144" customFormat="1" ht="12.6" customHeight="1">
      <c r="B107" s="144" t="s">
        <v>3318</v>
      </c>
      <c r="G107" s="3241">
        <v>2000</v>
      </c>
      <c r="H107" s="3242"/>
      <c r="J107" s="283"/>
      <c r="K107" s="283"/>
      <c r="L107" s="290"/>
      <c r="M107" s="283"/>
      <c r="N107" s="283"/>
      <c r="P107" s="283"/>
      <c r="Q107" s="283"/>
      <c r="S107" s="3241">
        <v>2000</v>
      </c>
      <c r="T107" s="3242"/>
      <c r="V107" s="849"/>
      <c r="W107" s="3342"/>
      <c r="X107" s="3343"/>
      <c r="Y107" s="3331"/>
      <c r="Z107" s="301"/>
      <c r="AA107" s="225" t="s">
        <v>6708</v>
      </c>
      <c r="AB107" s="147"/>
      <c r="AC107" s="147"/>
      <c r="AD107" s="147"/>
      <c r="AF107" s="1936" t="s">
        <v>6709</v>
      </c>
      <c r="AZ107" s="1968" t="s">
        <v>6384</v>
      </c>
      <c r="BA107" s="1706">
        <v>107</v>
      </c>
    </row>
    <row r="108" spans="1:53" s="144" customFormat="1" ht="12.6" customHeight="1">
      <c r="B108" s="144" t="s">
        <v>486</v>
      </c>
      <c r="E108" s="3411">
        <f>ROUNDUP('DCA Underwriting Assumptions'!$Q$56*J191,0)</f>
        <v>88106</v>
      </c>
      <c r="F108" s="3412"/>
      <c r="G108" s="3241">
        <v>88106</v>
      </c>
      <c r="H108" s="3242"/>
      <c r="J108" s="764" t="str">
        <f>IF(E108&gt;G108,"WARNING!  LIHTC Allocation Fee proposed is below minimum required.","")</f>
        <v/>
      </c>
      <c r="K108" s="283"/>
      <c r="L108" s="828"/>
      <c r="M108" s="283"/>
      <c r="N108" s="283"/>
      <c r="P108" s="283"/>
      <c r="Q108" s="283"/>
      <c r="S108" s="3241">
        <v>88106</v>
      </c>
      <c r="T108" s="3242"/>
      <c r="V108" s="849"/>
      <c r="W108" s="3342"/>
      <c r="X108" s="3343"/>
      <c r="Y108" s="3331"/>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11">
        <f>AF111+AF115</f>
        <v>54000</v>
      </c>
      <c r="F109" s="3412"/>
      <c r="G109" s="3241">
        <v>54000</v>
      </c>
      <c r="H109" s="3242"/>
      <c r="I109" s="3346" t="str">
        <f>IF(E109&gt;G109,"WARNING!  LIHTC Compliance Fee proposed is below minimum required.","")</f>
        <v/>
      </c>
      <c r="J109" s="3347"/>
      <c r="K109" s="3347"/>
      <c r="L109" s="3347"/>
      <c r="M109" s="3347"/>
      <c r="N109" s="3347"/>
      <c r="O109" s="3347"/>
      <c r="P109" s="3347"/>
      <c r="Q109" s="3347"/>
      <c r="R109" s="3348"/>
      <c r="S109" s="3241">
        <v>54000</v>
      </c>
      <c r="T109" s="3242"/>
      <c r="V109" s="849"/>
      <c r="W109" s="3342"/>
      <c r="X109" s="3343"/>
      <c r="Y109" s="333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41"/>
      <c r="H110" s="3242"/>
      <c r="I110" s="3346"/>
      <c r="J110" s="3347"/>
      <c r="K110" s="3347"/>
      <c r="L110" s="3347"/>
      <c r="M110" s="3347"/>
      <c r="N110" s="3347"/>
      <c r="O110" s="3347"/>
      <c r="P110" s="3347"/>
      <c r="Q110" s="3347"/>
      <c r="R110" s="3348"/>
      <c r="S110" s="3241"/>
      <c r="T110" s="3242"/>
      <c r="V110" s="849"/>
      <c r="W110" s="3342"/>
      <c r="X110" s="3343"/>
      <c r="Y110" s="3331"/>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08" t="s">
        <v>6721</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06" t="s">
        <v>6721</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0</v>
      </c>
      <c r="AF113" s="1934">
        <f>IF($AD$105="Income Averaging",AD113*'DCA Underwriting Assumptions'!$Q$61,AD113*'DCA Underwriting Assumptions'!$Q$60)</f>
        <v>0</v>
      </c>
      <c r="AZ113" s="1968" t="s">
        <v>6386</v>
      </c>
      <c r="BA113" s="1706">
        <v>113</v>
      </c>
    </row>
    <row r="114" spans="1:53" s="144" customFormat="1" ht="12.6" customHeight="1" thickTop="1">
      <c r="F114" s="281" t="s">
        <v>184</v>
      </c>
      <c r="G114" s="3338">
        <f>SUM(G105:G113)</f>
        <v>160106</v>
      </c>
      <c r="H114" s="3339"/>
      <c r="J114" s="283"/>
      <c r="K114" s="283"/>
      <c r="L114" s="828"/>
      <c r="M114" s="283"/>
      <c r="N114" s="283"/>
      <c r="P114" s="283"/>
      <c r="Q114" s="283"/>
      <c r="S114" s="3338">
        <f>SUM(S105:S113)</f>
        <v>160106</v>
      </c>
      <c r="T114" s="3339"/>
      <c r="V114" s="851">
        <f>SUM(V105:V113)</f>
        <v>0</v>
      </c>
      <c r="W114" s="3465"/>
      <c r="X114" s="3466"/>
      <c r="AA114" s="147" t="s">
        <v>6481</v>
      </c>
      <c r="AB114" s="147"/>
      <c r="AC114" s="241"/>
      <c r="AD114" s="234">
        <f>'Part V-Revenues &amp; Expenses'!$P$138+'Part V-Revenues &amp; Expenses'!$P$139</f>
        <v>54</v>
      </c>
      <c r="AF114" s="1934">
        <f>IF($AD$105="Income Averaging",AD114*'DCA Underwriting Assumptions'!$Q$61,AD114*'DCA Underwriting Assumptions'!$Q$60)</f>
        <v>54000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54</v>
      </c>
      <c r="AF115" s="1935">
        <f>SUM(AF113:AF114)</f>
        <v>54000</v>
      </c>
      <c r="AZ115" s="1959"/>
      <c r="BA115" s="1706">
        <v>115</v>
      </c>
    </row>
    <row r="116" spans="1:53" s="144" customFormat="1" ht="12.6" customHeight="1">
      <c r="B116" s="144" t="s">
        <v>267</v>
      </c>
      <c r="G116" s="3230">
        <v>5000</v>
      </c>
      <c r="H116" s="3231"/>
      <c r="J116" s="3410"/>
      <c r="K116" s="3410"/>
      <c r="L116" s="828"/>
      <c r="M116" s="3410"/>
      <c r="N116" s="3410"/>
      <c r="P116" s="3410"/>
      <c r="Q116" s="3410"/>
      <c r="S116" s="3230">
        <v>5000</v>
      </c>
      <c r="T116" s="3231"/>
      <c r="V116" s="849"/>
      <c r="W116" s="3342"/>
      <c r="X116" s="3343"/>
      <c r="AZ116" s="1959"/>
      <c r="BA116" s="1706">
        <v>116</v>
      </c>
    </row>
    <row r="117" spans="1:53" s="144" customFormat="1" ht="12.6" customHeight="1">
      <c r="B117" s="144" t="s">
        <v>268</v>
      </c>
      <c r="G117" s="3241">
        <v>2500</v>
      </c>
      <c r="H117" s="3242"/>
      <c r="J117" s="3410"/>
      <c r="K117" s="3410"/>
      <c r="L117" s="828"/>
      <c r="M117" s="3410"/>
      <c r="N117" s="3410"/>
      <c r="P117" s="3410"/>
      <c r="Q117" s="3410"/>
      <c r="S117" s="3241">
        <v>2500</v>
      </c>
      <c r="T117" s="3242"/>
      <c r="V117" s="849"/>
      <c r="W117" s="3342"/>
      <c r="X117" s="3343"/>
      <c r="AZ117" s="1959"/>
      <c r="BA117" s="1706">
        <v>117</v>
      </c>
    </row>
    <row r="118" spans="1:53" s="144" customFormat="1" ht="12.6" customHeight="1">
      <c r="B118" s="144" t="s">
        <v>2200</v>
      </c>
      <c r="G118" s="3241"/>
      <c r="H118" s="3242"/>
      <c r="J118" s="3410"/>
      <c r="K118" s="3410"/>
      <c r="L118" s="828"/>
      <c r="M118" s="3410"/>
      <c r="N118" s="3410"/>
      <c r="P118" s="3410"/>
      <c r="Q118" s="3410"/>
      <c r="S118" s="3241"/>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6275</v>
      </c>
      <c r="C119" s="3377" t="s">
        <v>6721</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7500</v>
      </c>
      <c r="H120" s="3339"/>
      <c r="J120" s="3410"/>
      <c r="K120" s="3410"/>
      <c r="L120" s="828"/>
      <c r="M120" s="3410"/>
      <c r="N120" s="3410"/>
      <c r="P120" s="3410"/>
      <c r="Q120" s="3410"/>
      <c r="S120" s="3338">
        <f>SUM(S116:S119)</f>
        <v>7500</v>
      </c>
      <c r="T120" s="3339"/>
      <c r="V120" s="851">
        <f>SUM(V116:V119)</f>
        <v>0</v>
      </c>
      <c r="W120" s="3351"/>
      <c r="X120" s="3352"/>
      <c r="AC120" s="3362" t="s">
        <v>3922</v>
      </c>
      <c r="AD120" s="3362" t="s">
        <v>3923</v>
      </c>
      <c r="AE120" s="3376" t="s">
        <v>3926</v>
      </c>
      <c r="AF120" s="3368" t="s">
        <v>3924</v>
      </c>
      <c r="AG120" s="3376" t="s">
        <v>3915</v>
      </c>
      <c r="AH120" s="3488" t="s">
        <v>6742</v>
      </c>
      <c r="AI120" s="3488"/>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3"/>
      <c r="AD121" s="3363"/>
      <c r="AE121" s="3170"/>
      <c r="AF121" s="3369"/>
      <c r="AG121" s="3376"/>
      <c r="AH121" s="3488"/>
      <c r="AI121" s="3488"/>
      <c r="AK121" s="44"/>
      <c r="AZ121" s="1959" t="s">
        <v>6388</v>
      </c>
      <c r="BA121" s="1706">
        <v>121</v>
      </c>
    </row>
    <row r="122" spans="1:53" s="144" customFormat="1" ht="12.6" customHeight="1">
      <c r="B122" s="144" t="s">
        <v>1724</v>
      </c>
      <c r="F122" s="323">
        <f>IF($G$127=0,0,G122/$G$127)</f>
        <v>0</v>
      </c>
      <c r="G122" s="3413"/>
      <c r="H122" s="3413"/>
      <c r="J122" s="3414"/>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1463000</v>
      </c>
      <c r="AG122" s="3497">
        <f>'DCA Underwriting Assumptions'!$Q$74</f>
        <v>2000000</v>
      </c>
      <c r="AH122" s="3489">
        <f>MIN(AF122,AG122)</f>
        <v>1463000</v>
      </c>
      <c r="AI122" s="3490"/>
      <c r="AZ122" s="1959"/>
      <c r="BA122" s="1706">
        <v>122</v>
      </c>
    </row>
    <row r="123" spans="1:53" s="144" customFormat="1" ht="12.6" customHeight="1">
      <c r="B123" s="144" t="s">
        <v>3411</v>
      </c>
      <c r="F123" s="949"/>
      <c r="G123" s="241" t="s">
        <v>6722</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88000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3163</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1463000</v>
      </c>
      <c r="AG125" s="3370">
        <f>'DCA Underwriting Assumptions'!$Q$75</f>
        <v>3500000</v>
      </c>
      <c r="AH125" s="3489">
        <f>MIN(AF125,AG125)</f>
        <v>1463000</v>
      </c>
      <c r="AI125" s="3490"/>
      <c r="AZ125" s="1959"/>
      <c r="BA125" s="1706">
        <v>125</v>
      </c>
    </row>
    <row r="126" spans="1:53" s="144" customFormat="1" ht="12.6" customHeight="1" thickBot="1">
      <c r="B126" s="144" t="s">
        <v>1717</v>
      </c>
      <c r="F126" s="323">
        <f>IF($G$127=0,0,G126/$G$127)</f>
        <v>1</v>
      </c>
      <c r="G126" s="3189">
        <v>1463000</v>
      </c>
      <c r="H126" s="3190"/>
      <c r="J126" s="3189">
        <v>1463000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88000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1463000</v>
      </c>
      <c r="F127" s="281" t="s">
        <v>184</v>
      </c>
      <c r="G127" s="3338">
        <f>SUM(G122:G126)</f>
        <v>1463000</v>
      </c>
      <c r="H127" s="3416"/>
      <c r="J127" s="3338">
        <f>SUM(J122:J126)</f>
        <v>1463000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30">
        <v>40500</v>
      </c>
      <c r="H129" s="3231"/>
      <c r="J129" s="291"/>
      <c r="K129" s="291"/>
      <c r="L129" s="291"/>
      <c r="M129" s="291"/>
      <c r="N129" s="291"/>
      <c r="P129" s="291"/>
      <c r="Q129" s="291"/>
      <c r="S129" s="3230">
        <v>40500</v>
      </c>
      <c r="T129" s="3231"/>
      <c r="V129" s="849"/>
      <c r="W129" s="3342"/>
      <c r="X129" s="3343"/>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58305</v>
      </c>
      <c r="G130" s="3241">
        <v>58305</v>
      </c>
      <c r="H130" s="3242"/>
      <c r="J130" s="765" t="str">
        <f>IF(E130&gt;G130,"WARNING! Rent-Up Reserves proposed is below minimum - add comment.","")</f>
        <v/>
      </c>
      <c r="K130" s="765"/>
      <c r="L130" s="828"/>
      <c r="M130" s="750"/>
      <c r="N130" s="750"/>
      <c r="P130" s="750"/>
      <c r="Q130" s="750"/>
      <c r="S130" s="3241">
        <v>58305</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171250.11000000002</v>
      </c>
      <c r="G131" s="3241">
        <v>171250</v>
      </c>
      <c r="H131" s="3242"/>
      <c r="J131" s="765" t="str">
        <f>IF(E131&gt;G131,"WARNING! ODR proposed is below minimum - add comment.","")</f>
        <v/>
      </c>
      <c r="K131" s="290"/>
      <c r="L131" s="290"/>
      <c r="M131" s="290"/>
      <c r="N131" s="290"/>
      <c r="P131" s="290"/>
      <c r="Q131" s="290"/>
      <c r="S131" s="3241">
        <v>171250</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6391</v>
      </c>
      <c r="BA132" s="1706">
        <v>132</v>
      </c>
    </row>
    <row r="133" spans="1:53" s="144" customFormat="1" ht="12.6" customHeight="1">
      <c r="B133" s="144" t="s">
        <v>1171</v>
      </c>
      <c r="E133" s="658" t="s">
        <v>3137</v>
      </c>
      <c r="F133" s="365">
        <f>IF('Part V-Revenues &amp; Expenses'!$P$67=0,0,G133/'Part V-Revenues &amp; Expenses'!$P$67)</f>
        <v>370.37037037037038</v>
      </c>
      <c r="G133" s="3241">
        <v>20000</v>
      </c>
      <c r="H133" s="3242"/>
      <c r="J133" s="3230">
        <v>20000</v>
      </c>
      <c r="K133" s="3231"/>
      <c r="L133" s="828"/>
      <c r="M133" s="3230"/>
      <c r="N133" s="3231"/>
      <c r="P133" s="3230"/>
      <c r="Q133" s="3231"/>
      <c r="S133" s="3241"/>
      <c r="T133" s="3242"/>
      <c r="V133" s="849"/>
      <c r="W133" s="3342"/>
      <c r="X133" s="3343"/>
      <c r="AZ133" s="1968" t="s">
        <v>6392</v>
      </c>
      <c r="BA133" s="1706">
        <v>133</v>
      </c>
    </row>
    <row r="134" spans="1:53" s="144" customFormat="1" ht="12.6" customHeight="1" thickBot="1">
      <c r="A134" s="303" t="str">
        <f>IF(AND(G134&gt;0,OR(C134="",C134="&lt;Enter detailed description here; use Comments section if needed&gt;")),"X","")</f>
        <v/>
      </c>
      <c r="B134" s="147" t="s">
        <v>6275</v>
      </c>
      <c r="C134" s="3377" t="s">
        <v>6721</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290055</v>
      </c>
      <c r="H135" s="3339"/>
      <c r="J135" s="3338">
        <f>SUM(J133:J134)</f>
        <v>20000</v>
      </c>
      <c r="K135" s="3339"/>
      <c r="L135" s="828"/>
      <c r="M135" s="3338">
        <f>SUM(M133:M134)</f>
        <v>0</v>
      </c>
      <c r="N135" s="3339"/>
      <c r="P135" s="3338">
        <f>SUM(P133:P134)</f>
        <v>0</v>
      </c>
      <c r="Q135" s="3339"/>
      <c r="S135" s="3338">
        <f>SUM(S129:S134)</f>
        <v>270055</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6275</v>
      </c>
      <c r="C143" s="3377" t="s">
        <v>6721</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6">
        <f>G18+G24+G28+G36+G41+G46+G55+G73+G86+G92+G103+G114+G120+G127+G135+G144</f>
        <v>15826399</v>
      </c>
      <c r="H146" s="3487"/>
      <c r="J146" s="3486">
        <f>J18+J24+J28+J36+J41+J46+J55+J73+J86+J92+J103+J114+J120+J127+J135+J144</f>
        <v>14278174</v>
      </c>
      <c r="K146" s="3487"/>
      <c r="M146" s="3486">
        <f>M18+M24+M28+M36+M41+M46+M55+M73+M86+M92+M103+M114+M120+M127+M135+M144</f>
        <v>0</v>
      </c>
      <c r="N146" s="3487"/>
      <c r="P146" s="3486">
        <f>P18+P24+P28+P36+P41+P46+P55+P73+P86+P92+P103+P114+P120+P127+P135+P144</f>
        <v>0</v>
      </c>
      <c r="Q146" s="3487"/>
      <c r="S146" s="3486">
        <f>S18+S24+S28+S36+S41+S46+S55+S73+S86+S92+S103+S114+S120+S127+S135+S144</f>
        <v>1548225</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293081.46296296298</v>
      </c>
      <c r="E148" s="3483"/>
      <c r="F148" s="390" t="s">
        <v>2487</v>
      </c>
      <c r="G148" s="3484">
        <f>IF('Part V-Revenues &amp; Expenses'!$K$175=0,0,G146/'Part V-Revenues &amp; Expenses'!$K$175)</f>
        <v>238.70168320714308</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v>0</v>
      </c>
      <c r="K153" s="3501"/>
      <c r="P153" s="3500"/>
      <c r="Q153" s="3501"/>
      <c r="V153" s="849"/>
      <c r="W153" s="3342"/>
      <c r="X153" s="3343"/>
      <c r="AZ153" s="1968"/>
      <c r="BA153" s="1706">
        <v>153</v>
      </c>
    </row>
    <row r="154" spans="1:53" s="144" customFormat="1" ht="14.1" customHeight="1">
      <c r="B154" s="144" t="s">
        <v>1998</v>
      </c>
      <c r="I154" s="295"/>
      <c r="J154" s="3502">
        <v>0</v>
      </c>
      <c r="K154" s="3503"/>
      <c r="P154" s="3502"/>
      <c r="Q154" s="3503"/>
      <c r="V154" s="849"/>
      <c r="W154" s="3342"/>
      <c r="X154" s="3343"/>
      <c r="AZ154" s="1968"/>
      <c r="BA154" s="1706">
        <v>154</v>
      </c>
    </row>
    <row r="155" spans="1:53" s="144" customFormat="1" ht="14.1" customHeight="1">
      <c r="B155" s="144" t="s">
        <v>1727</v>
      </c>
      <c r="I155" s="295"/>
      <c r="J155" s="3502">
        <v>0</v>
      </c>
      <c r="K155" s="3503"/>
      <c r="P155" s="3502"/>
      <c r="Q155" s="3503"/>
      <c r="V155" s="849"/>
      <c r="W155" s="3342"/>
      <c r="X155" s="3343"/>
      <c r="AZ155" s="1968"/>
      <c r="BA155" s="1706">
        <v>155</v>
      </c>
    </row>
    <row r="156" spans="1:53" s="144" customFormat="1" ht="14.1" customHeight="1">
      <c r="B156" s="144" t="s">
        <v>1728</v>
      </c>
      <c r="I156" s="295"/>
      <c r="J156" s="3502">
        <v>0</v>
      </c>
      <c r="K156" s="3503"/>
      <c r="P156" s="3502"/>
      <c r="Q156" s="3503"/>
      <c r="V156" s="849"/>
      <c r="W156" s="3342"/>
      <c r="X156" s="3343"/>
      <c r="AZ156" s="1968"/>
      <c r="BA156" s="1706">
        <v>156</v>
      </c>
    </row>
    <row r="157" spans="1:53" s="144" customFormat="1" ht="14.1" customHeight="1">
      <c r="B157" s="144" t="s">
        <v>243</v>
      </c>
      <c r="I157" s="295"/>
      <c r="J157" s="3502">
        <v>0</v>
      </c>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v>0</v>
      </c>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14278174</v>
      </c>
      <c r="K162" s="3335"/>
      <c r="M162" s="3336">
        <f>M146</f>
        <v>0</v>
      </c>
      <c r="N162" s="3337"/>
      <c r="P162" s="3334">
        <f>P146</f>
        <v>0</v>
      </c>
      <c r="Q162" s="3335"/>
      <c r="R162" s="3469" t="s">
        <v>3773</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14278174</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7110</v>
      </c>
      <c r="I165" s="3420"/>
      <c r="J165" s="3421">
        <v>1.3</v>
      </c>
      <c r="K165" s="3422"/>
      <c r="M165" s="3423"/>
      <c r="N165" s="3423"/>
      <c r="P165" s="3421"/>
      <c r="Q165" s="3422"/>
      <c r="R165" s="3470" t="s">
        <v>3204</v>
      </c>
      <c r="S165" s="3471"/>
      <c r="T165" s="3472"/>
      <c r="U165" s="1170"/>
      <c r="V165" s="849"/>
      <c r="W165" s="3342"/>
      <c r="X165" s="3343"/>
      <c r="AZ165" s="1968"/>
      <c r="BA165" s="1706">
        <v>165</v>
      </c>
    </row>
    <row r="166" spans="1:53" s="144" customFormat="1" ht="14.1" customHeight="1">
      <c r="B166" s="144" t="s">
        <v>1903</v>
      </c>
      <c r="J166" s="3355">
        <f>J164*J165</f>
        <v>18561626.199999999</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18561626.199999999</v>
      </c>
      <c r="K168" s="3356"/>
      <c r="M168" s="3355">
        <f>M166*M167</f>
        <v>0</v>
      </c>
      <c r="N168" s="3356"/>
      <c r="P168" s="3355">
        <f>P166*P167</f>
        <v>0</v>
      </c>
      <c r="Q168" s="3356"/>
      <c r="V168" s="849"/>
      <c r="W168" s="3342"/>
      <c r="X168" s="3343"/>
      <c r="AZ168" s="1968"/>
      <c r="BA168" s="1706">
        <v>168</v>
      </c>
    </row>
    <row r="169" spans="1:53" s="144" customFormat="1" ht="14.1" customHeight="1">
      <c r="B169" s="144" t="s">
        <v>1896</v>
      </c>
      <c r="J169" s="3421">
        <v>0.09</v>
      </c>
      <c r="K169" s="3422"/>
      <c r="M169" s="3421"/>
      <c r="N169" s="3422"/>
      <c r="P169" s="3421"/>
      <c r="Q169" s="3422"/>
      <c r="V169" s="849"/>
      <c r="W169" s="3342"/>
      <c r="X169" s="3343"/>
      <c r="AZ169" s="1968"/>
      <c r="BA169" s="1706">
        <v>169</v>
      </c>
    </row>
    <row r="170" spans="1:53" s="144" customFormat="1" ht="14.1" customHeight="1" thickBot="1">
      <c r="B170" s="144" t="s">
        <v>2340</v>
      </c>
      <c r="J170" s="3426">
        <f>J168*J169</f>
        <v>1670546.3579999998</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1670546</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4">
        <f>G146</f>
        <v>15826399</v>
      </c>
      <c r="K176" s="3452"/>
      <c r="L176" s="3335"/>
      <c r="N176" s="3431" t="s">
        <v>6716</v>
      </c>
      <c r="O176" s="3432"/>
      <c r="P176" s="3432"/>
      <c r="Q176" s="3433"/>
      <c r="S176" s="3448" t="s">
        <v>3187</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1068777</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14757622</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t="s">
        <v>2652</v>
      </c>
      <c r="V179" s="849"/>
      <c r="W179" s="3342"/>
      <c r="X179" s="3343"/>
      <c r="AZ179" s="1968"/>
      <c r="BA179" s="1706">
        <v>179</v>
      </c>
    </row>
    <row r="180" spans="1:53" s="144" customFormat="1" ht="14.1" customHeight="1">
      <c r="B180" s="144" t="s">
        <v>1210</v>
      </c>
      <c r="J180" s="3353">
        <f>J178/10</f>
        <v>1475762.2</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1.3399999999999999</v>
      </c>
      <c r="K182" s="3441"/>
      <c r="L182" s="3442"/>
      <c r="M182" s="248" t="s">
        <v>1212</v>
      </c>
      <c r="N182" s="3443">
        <v>0.83</v>
      </c>
      <c r="O182" s="3444"/>
      <c r="P182" s="248" t="s">
        <v>570</v>
      </c>
      <c r="Q182" s="3443">
        <v>0.51</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1101315</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45">
        <v>1101315</v>
      </c>
      <c r="K187" s="3446"/>
      <c r="L187" s="3447"/>
      <c r="Q187" s="147" t="s">
        <v>6247</v>
      </c>
      <c r="R187" s="147"/>
      <c r="S187" s="3332" t="str">
        <f>'Part VIII Scoring Criteria'!$J$36</f>
        <v>Rural</v>
      </c>
      <c r="T187" s="3333"/>
      <c r="U187" s="1622" t="str">
        <f>IF(OR(S187="Atlanta Metro", "Other Metro"), "Metro", IF(S187="Rural","Rural",""))</f>
        <v>Rural</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45">
        <v>1101315</v>
      </c>
      <c r="K189" s="3446"/>
      <c r="L189" s="3447"/>
      <c r="M189" s="3430" t="str">
        <f>IF(J187=0,"",IF(J189&gt;J187,"Request can't exceed Maximum - REVISE (Try Round Down)!",""))</f>
        <v/>
      </c>
      <c r="N189" s="3430"/>
      <c r="O189" s="3430"/>
      <c r="P189" s="3430"/>
      <c r="Q189" s="241" t="s">
        <v>6543</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60">
        <f>IF(J189="",0,+MIN(J187,J189))</f>
        <v>1101315</v>
      </c>
      <c r="K191" s="3461"/>
      <c r="L191" s="3462"/>
      <c r="M191" s="3430"/>
      <c r="N191" s="3430"/>
      <c r="O191" s="3430"/>
      <c r="P191" s="3430"/>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7090</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6" priority="17" stopIfTrue="1" operator="greaterThan">
      <formula>$E38</formula>
    </cfRule>
  </conditionalFormatting>
  <conditionalFormatting sqref="G39">
    <cfRule type="cellIs" dxfId="185" priority="18" stopIfTrue="1" operator="greaterThan">
      <formula>$E$39</formula>
    </cfRule>
  </conditionalFormatting>
  <conditionalFormatting sqref="G40">
    <cfRule type="cellIs" dxfId="184" priority="19" stopIfTrue="1" operator="greaterThan">
      <formula>$E$40</formula>
    </cfRule>
  </conditionalFormatting>
  <conditionalFormatting sqref="G55:H55">
    <cfRule type="cellIs" dxfId="183" priority="7" operator="greaterThan">
      <formula>$E$55</formula>
    </cfRule>
  </conditionalFormatting>
  <conditionalFormatting sqref="J38:K38 M38:N38 P38:Q38">
    <cfRule type="cellIs" dxfId="182" priority="14" operator="greaterThan">
      <formula>$G$38</formula>
    </cfRule>
  </conditionalFormatting>
  <conditionalFormatting sqref="J39:K40 M39:N40 P39:Q40">
    <cfRule type="cellIs" dxfId="181" priority="13" operator="greaterThan">
      <formula>$G$40</formula>
    </cfRule>
  </conditionalFormatting>
  <conditionalFormatting sqref="J191:L191">
    <cfRule type="cellIs" dxfId="180" priority="15" stopIfTrue="1" operator="greaterThan">
      <formula>$J$187</formula>
    </cfRule>
  </conditionalFormatting>
  <conditionalFormatting sqref="O174:V174">
    <cfRule type="cellIs" dxfId="179"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The Bridges at Lincom  -  Hartwell  -  Hart,  County</v>
      </c>
      <c r="B1" s="3505"/>
      <c r="C1" s="3505"/>
      <c r="D1" s="3505"/>
      <c r="E1" s="3505"/>
      <c r="F1" s="3505"/>
      <c r="G1" s="3505"/>
      <c r="H1" s="3505"/>
      <c r="I1" s="722"/>
      <c r="J1" s="722"/>
      <c r="K1" s="722"/>
      <c r="L1" s="722"/>
      <c r="M1" s="722"/>
      <c r="N1" s="722"/>
    </row>
    <row r="2" spans="1:14" ht="9" customHeight="1"/>
    <row r="3" spans="1:14" ht="57" customHeight="1">
      <c r="A3" s="3506" t="s">
        <v>3214</v>
      </c>
      <c r="B3" s="3507"/>
      <c r="C3" s="3507"/>
      <c r="D3" s="3507"/>
      <c r="E3" s="3507"/>
      <c r="F3" s="3507"/>
      <c r="G3" s="3507"/>
      <c r="H3" s="3508"/>
    </row>
    <row r="4" spans="1:14" ht="6" customHeight="1"/>
    <row r="5" spans="1:14" ht="38.25" customHeight="1">
      <c r="A5" s="3509" t="s">
        <v>3276</v>
      </c>
      <c r="B5" s="3509"/>
      <c r="C5" s="3509"/>
      <c r="D5" s="3509"/>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&lt;&lt; Enter description here; provide detail &amp; justification in tab Part III-b &gt;&gt;</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3209</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3209</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3209</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3208</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3209</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3209</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3209</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3209</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3209</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3210</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3209</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3209</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3211</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3209</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3209</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3212</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3209</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O13" sqref="O13:Q2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The Bridges at Lincom, Hartwell, Hart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6737</v>
      </c>
      <c r="I3" s="3538" t="str">
        <f>VLOOKUP('Part I-Project Identification'!$J$26,'DCA Underwriting Assumptions'!$G$141:$H$300,2)</f>
        <v>North</v>
      </c>
      <c r="J3" s="3539"/>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7042</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7091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7041</v>
      </c>
      <c r="E12" s="3528"/>
      <c r="F12" s="207" t="s">
        <v>416</v>
      </c>
      <c r="G12" s="207"/>
      <c r="H12" s="804"/>
      <c r="I12" s="1266"/>
      <c r="J12" s="1266">
        <v>9</v>
      </c>
      <c r="K12" s="1266">
        <v>12</v>
      </c>
      <c r="L12" s="1266">
        <v>17</v>
      </c>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8</v>
      </c>
      <c r="K13" s="1267">
        <v>10</v>
      </c>
      <c r="L13" s="1268">
        <v>12</v>
      </c>
      <c r="M13" s="1268"/>
      <c r="O13" s="3540" t="s">
        <v>3275</v>
      </c>
      <c r="P13" s="3540"/>
      <c r="Q13" s="3540"/>
    </row>
    <row r="14" spans="1:25" s="6" customFormat="1" ht="12" customHeight="1">
      <c r="B14" s="1275" t="s">
        <v>1493</v>
      </c>
      <c r="C14" s="1276"/>
      <c r="D14" s="3547" t="s">
        <v>1491</v>
      </c>
      <c r="E14" s="3548"/>
      <c r="F14" s="208" t="s">
        <v>416</v>
      </c>
      <c r="G14" s="208"/>
      <c r="H14" s="203"/>
      <c r="I14" s="1267"/>
      <c r="J14" s="1267">
        <v>14</v>
      </c>
      <c r="K14" s="1267">
        <v>20</v>
      </c>
      <c r="L14" s="1268">
        <v>25</v>
      </c>
      <c r="M14" s="1268"/>
      <c r="O14" s="3540"/>
      <c r="P14" s="3540"/>
      <c r="Q14" s="3540"/>
    </row>
    <row r="15" spans="1:25" s="6" customFormat="1" ht="12" customHeight="1">
      <c r="B15" s="1277" t="s">
        <v>440</v>
      </c>
      <c r="C15" s="1278"/>
      <c r="D15" s="1277" t="s">
        <v>1491</v>
      </c>
      <c r="E15" s="204"/>
      <c r="F15" s="208" t="s">
        <v>416</v>
      </c>
      <c r="G15" s="208"/>
      <c r="H15" s="802"/>
      <c r="I15" s="1267"/>
      <c r="J15" s="1267">
        <v>8</v>
      </c>
      <c r="K15" s="1267">
        <v>11</v>
      </c>
      <c r="L15" s="1268">
        <v>13</v>
      </c>
      <c r="M15" s="1268"/>
      <c r="O15" s="3540"/>
      <c r="P15" s="3540"/>
      <c r="Q15" s="3540"/>
    </row>
    <row r="16" spans="1:25" s="6" customFormat="1" ht="12" customHeight="1">
      <c r="B16" s="1279" t="s">
        <v>3269</v>
      </c>
      <c r="C16" s="1274"/>
      <c r="D16" s="1273" t="s">
        <v>1491</v>
      </c>
      <c r="E16" s="801"/>
      <c r="F16" s="208"/>
      <c r="G16" s="208" t="s">
        <v>416</v>
      </c>
      <c r="H16" s="803"/>
      <c r="I16" s="1267"/>
      <c r="J16" s="1267"/>
      <c r="K16" s="1267"/>
      <c r="L16" s="1268"/>
      <c r="M16" s="1268"/>
      <c r="O16" s="3540"/>
      <c r="P16" s="3540"/>
      <c r="Q16" s="3540"/>
    </row>
    <row r="17" spans="1:25" s="6" customFormat="1" ht="12" customHeight="1">
      <c r="B17" s="1279" t="s">
        <v>3270</v>
      </c>
      <c r="C17" s="1274"/>
      <c r="D17" s="1273" t="s">
        <v>1491</v>
      </c>
      <c r="E17" s="801"/>
      <c r="F17" s="208"/>
      <c r="G17" s="208" t="s">
        <v>416</v>
      </c>
      <c r="H17" s="803"/>
      <c r="I17" s="1267"/>
      <c r="J17" s="1267"/>
      <c r="K17" s="1267"/>
      <c r="L17" s="1268"/>
      <c r="M17" s="1268"/>
      <c r="O17" s="3540"/>
      <c r="P17" s="3540"/>
      <c r="Q17" s="3540"/>
    </row>
    <row r="18" spans="1:25" s="6" customFormat="1" ht="12" customHeight="1">
      <c r="B18" s="1280" t="s">
        <v>3271</v>
      </c>
      <c r="C18" s="1276"/>
      <c r="D18" s="1275" t="s">
        <v>1491</v>
      </c>
      <c r="E18" s="801"/>
      <c r="F18" s="208" t="s">
        <v>416</v>
      </c>
      <c r="G18" s="208"/>
      <c r="H18" s="203"/>
      <c r="I18" s="1267"/>
      <c r="J18" s="1267">
        <v>22</v>
      </c>
      <c r="K18" s="1267">
        <v>29</v>
      </c>
      <c r="L18" s="1268">
        <v>35</v>
      </c>
      <c r="M18" s="1268"/>
      <c r="O18" s="3540"/>
      <c r="P18" s="3540"/>
      <c r="Q18" s="3540"/>
    </row>
    <row r="19" spans="1:25" s="6" customFormat="1" ht="12" customHeight="1">
      <c r="B19" s="1277" t="s">
        <v>1292</v>
      </c>
      <c r="C19" s="1278"/>
      <c r="D19" s="1283" t="s">
        <v>3076</v>
      </c>
      <c r="E19" s="1265" t="s">
        <v>2649</v>
      </c>
      <c r="F19" s="208" t="s">
        <v>416</v>
      </c>
      <c r="G19" s="208"/>
      <c r="H19" s="802"/>
      <c r="I19" s="1267"/>
      <c r="J19" s="1267">
        <f>25+24</f>
        <v>49</v>
      </c>
      <c r="K19" s="1267">
        <f>29+29</f>
        <v>58</v>
      </c>
      <c r="L19" s="1268">
        <f>35+36</f>
        <v>71</v>
      </c>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110</v>
      </c>
      <c r="K22" s="119">
        <f>IF(SUM(K12:K21)=0,0,IF(OR($D12="&lt;&lt;Select Fuel &gt;&gt;",$D13="&lt;&lt;Select Fuel &gt;&gt;",$D14="&lt;&lt;Select Fuel &gt;&gt;"),"Select Fuel",IF($E19="&lt;Select&gt;","Submeter?",SUM(K12:K21))))</f>
        <v>140</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3275</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3269</v>
      </c>
      <c r="C33" s="1274"/>
      <c r="D33" s="1273" t="s">
        <v>1491</v>
      </c>
      <c r="E33" s="801"/>
      <c r="F33" s="208"/>
      <c r="G33" s="208"/>
      <c r="H33" s="803"/>
      <c r="I33" s="1267"/>
      <c r="J33" s="1267"/>
      <c r="K33" s="1267"/>
      <c r="L33" s="1268"/>
      <c r="M33" s="1268"/>
      <c r="O33" s="3540"/>
      <c r="P33" s="3540"/>
      <c r="Q33" s="3540"/>
    </row>
    <row r="34" spans="1:19" s="6" customFormat="1" ht="12" customHeight="1">
      <c r="B34" s="1279" t="s">
        <v>3270</v>
      </c>
      <c r="C34" s="1274"/>
      <c r="D34" s="1273" t="s">
        <v>1491</v>
      </c>
      <c r="E34" s="801"/>
      <c r="F34" s="208"/>
      <c r="G34" s="208"/>
      <c r="H34" s="803"/>
      <c r="I34" s="1267"/>
      <c r="J34" s="1267"/>
      <c r="K34" s="1267"/>
      <c r="L34" s="1268"/>
      <c r="M34" s="1268"/>
      <c r="O34" s="3540"/>
      <c r="P34" s="3540"/>
      <c r="Q34" s="3540"/>
    </row>
    <row r="35" spans="1:19" s="6" customFormat="1" ht="12" customHeight="1">
      <c r="B35" s="1280" t="s">
        <v>3271</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7043</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8" priority="5" operator="equal">
      <formula>"Select Fuel"</formula>
    </cfRule>
    <cfRule type="cellIs" dxfId="177" priority="7" operator="equal">
      <formula>"&lt;&lt;Select Fuel &gt;&gt;"</formula>
    </cfRule>
    <cfRule type="cellIs" dxfId="176" priority="8" operator="equal">
      <formula>"""&lt;&lt;Select Fuel &gt;&gt;"""</formula>
    </cfRule>
  </conditionalFormatting>
  <conditionalFormatting sqref="I39:M39">
    <cfRule type="cellIs" dxfId="175" priority="1" operator="equal">
      <formula>"Select Fuel"</formula>
    </cfRule>
    <cfRule type="cellIs" dxfId="174" priority="3" operator="equal">
      <formula>"&lt;&lt;Select Fuel &gt;&gt;"</formula>
    </cfRule>
    <cfRule type="cellIs" dxfId="173"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Jordan Wilson</cp:lastModifiedBy>
  <cp:lastPrinted>2023-04-28T17:11:20Z</cp:lastPrinted>
  <dcterms:created xsi:type="dcterms:W3CDTF">2005-09-15T20:51:37Z</dcterms:created>
  <dcterms:modified xsi:type="dcterms:W3CDTF">2023-05-18T14:59:10Z</dcterms:modified>
</cp:coreProperties>
</file>