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Columbus-Cusseta Crossing\Application Files\CORE App\"/>
    </mc:Choice>
  </mc:AlternateContent>
  <xr:revisionPtr revIDLastSave="0" documentId="13_ncr:1_{1AA545CB-4698-459D-A8DC-7A61EECF5241}"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AH449" i="102" s="1"/>
  <c r="AH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P123" i="102"/>
  <c r="P122" i="102"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73" i="103" l="1"/>
  <c r="P179" i="102"/>
  <c r="BJ439" i="102"/>
  <c r="P1431" i="103"/>
  <c r="L123" i="102"/>
  <c r="O122" i="102"/>
  <c r="M302" i="103"/>
  <c r="P1245" i="103"/>
  <c r="P86" i="102"/>
  <c r="P1237" i="103" s="1"/>
  <c r="O1245" i="103"/>
  <c r="O86" i="102"/>
  <c r="O1237" i="103" s="1"/>
  <c r="AY1575" i="103" s="1"/>
  <c r="P1228" i="103"/>
  <c r="BG1574" i="103" s="1"/>
  <c r="O1219" i="103"/>
  <c r="O66" i="102"/>
  <c r="O1217" i="103" s="1"/>
  <c r="AZ1573" i="103" s="1"/>
  <c r="P66" i="102"/>
  <c r="P1217" i="103" s="1"/>
  <c r="BG1573" i="103" s="1"/>
  <c r="BJ437" i="102"/>
  <c r="BF440" i="102"/>
  <c r="AJ449" i="102"/>
  <c r="AJ1600" i="103" s="1"/>
  <c r="R312" i="102"/>
  <c r="O1463" i="103"/>
  <c r="AI449" i="102"/>
  <c r="AI1600" i="103" s="1"/>
  <c r="E34" i="102"/>
  <c r="C1187" i="103"/>
  <c r="BB447" i="102"/>
  <c r="BF432" i="102"/>
  <c r="P1351" i="103"/>
  <c r="BF1583"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D154" i="103"/>
  <c r="V259" i="103"/>
  <c r="F150" i="103"/>
  <c r="BH1590" i="103"/>
  <c r="BG1577" i="103"/>
  <c r="BF1577" i="103"/>
  <c r="P1193" i="103"/>
  <c r="BJ1588" i="103"/>
  <c r="BI1597" i="103"/>
  <c r="BF1574" i="103"/>
  <c r="BL1588" i="103"/>
  <c r="BF1590" i="103"/>
  <c r="BJ1590" i="103"/>
  <c r="BJ1597" i="103"/>
  <c r="BI1598" i="103"/>
  <c r="AY1573" i="103"/>
  <c r="BH1597" i="103"/>
  <c r="BL1597"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P1191" i="103"/>
  <c r="BF1573" i="103"/>
  <c r="O1273" i="103"/>
  <c r="AZ1577" i="103" s="1"/>
  <c r="O179" i="102"/>
  <c r="O404" i="102" s="1"/>
  <c r="O1555" i="103" s="1"/>
  <c r="BG422" i="102"/>
  <c r="BB433" i="102"/>
  <c r="O1361" i="103"/>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BG449" i="102"/>
  <c r="BG1600" i="103" s="1"/>
  <c r="B171" i="103"/>
  <c r="K600"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5" i="103"/>
  <c r="Q607" i="103"/>
  <c r="M526" i="103"/>
  <c r="M529" i="103"/>
  <c r="M523" i="103"/>
  <c r="M517" i="103"/>
  <c r="M535" i="103"/>
  <c r="M618"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5" i="95" l="1"/>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C44" i="95"/>
  <c r="C43" i="95"/>
  <c r="C42" i="95"/>
  <c r="C41" i="95"/>
  <c r="C40" i="95"/>
  <c r="C39"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H26" i="74"/>
  <c r="H733" i="103" s="1"/>
  <c r="K91" i="74"/>
  <c r="K798" i="103" s="1"/>
  <c r="K805"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K29" i="74"/>
  <c r="K736" i="103" s="1"/>
  <c r="K744" i="103" s="1"/>
  <c r="B120" i="74"/>
  <c r="B827" i="103" s="1"/>
  <c r="J29" i="74"/>
  <c r="J736" i="103" s="1"/>
  <c r="J744" i="103" s="1"/>
  <c r="B123" i="74"/>
  <c r="B830" i="103" s="1"/>
  <c r="B837" i="103" s="1"/>
  <c r="B26" i="74"/>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129" i="74" l="1"/>
  <c r="D829" i="103"/>
  <c r="D836" i="103" s="1"/>
  <c r="B733" i="103"/>
  <c r="B834" i="103"/>
  <c r="J58" i="74"/>
  <c r="J765" i="103" s="1"/>
  <c r="I26" i="74"/>
  <c r="I733" i="103" s="1"/>
  <c r="D120" i="74"/>
  <c r="D827" i="103" s="1"/>
  <c r="AG35" i="72"/>
  <c r="AF35" i="72"/>
  <c r="AE35" i="72"/>
  <c r="AD35" i="72"/>
  <c r="AI35" i="72"/>
  <c r="AH35" i="72"/>
  <c r="H741" i="103"/>
  <c r="H745" i="103"/>
  <c r="J19" i="75"/>
  <c r="J466" i="103" s="1"/>
  <c r="L466" i="103" s="1"/>
  <c r="M466" i="103" s="1"/>
  <c r="J18" i="75"/>
  <c r="J465" i="103" s="1"/>
  <c r="L465" i="103" s="1"/>
  <c r="M465" i="103" s="1"/>
  <c r="J22" i="75"/>
  <c r="J469" i="103" s="1"/>
  <c r="L469" i="103" s="1"/>
  <c r="M469"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G97" i="74"/>
  <c r="H32" i="87"/>
  <c r="H23" i="87"/>
  <c r="H20" i="87"/>
  <c r="H34" i="87"/>
  <c r="H16" i="87"/>
  <c r="H10" i="87"/>
  <c r="H25" i="87"/>
  <c r="H39" i="87"/>
  <c r="C11" i="86"/>
  <c r="H15" i="87"/>
  <c r="D34" i="74"/>
  <c r="C69" i="74"/>
  <c r="H36" i="87"/>
  <c r="H24" i="87"/>
  <c r="H38" i="87"/>
  <c r="H27" i="87"/>
  <c r="H14" i="87"/>
  <c r="H29" i="87"/>
  <c r="H97" i="74"/>
  <c r="C34"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C40" i="74"/>
  <c r="C747" i="10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1" i="87"/>
  <c r="I97" i="74"/>
  <c r="B37" i="87"/>
  <c r="I69" i="74"/>
  <c r="J99" i="74"/>
  <c r="H34" i="74"/>
  <c r="B16" i="87"/>
  <c r="F99" i="74"/>
  <c r="B11" i="87"/>
  <c r="C128" i="74"/>
  <c r="E41" i="87"/>
  <c r="E21" i="87"/>
  <c r="F84" i="92"/>
  <c r="G36" i="74"/>
  <c r="K66" i="74"/>
  <c r="B29" i="87"/>
  <c r="H68" i="74"/>
  <c r="I36" i="74"/>
  <c r="D36" i="74"/>
  <c r="C68" i="74"/>
  <c r="E130" i="74"/>
  <c r="B23" i="87"/>
  <c r="B25" i="87"/>
  <c r="B34" i="74"/>
  <c r="B10" i="87"/>
  <c r="B17" i="87"/>
  <c r="D99" i="74"/>
  <c r="B68" i="74"/>
  <c r="H36" i="74"/>
  <c r="G68" i="74"/>
  <c r="D127" i="74"/>
  <c r="B42" i="87"/>
  <c r="B12" i="87"/>
  <c r="I66" i="74"/>
  <c r="B27" i="87"/>
  <c r="B13" i="87"/>
  <c r="H99" i="74"/>
  <c r="B36" i="87"/>
  <c r="E39" i="87"/>
  <c r="B32" i="87"/>
  <c r="K97" i="74"/>
  <c r="B39" i="87"/>
  <c r="B40" i="87"/>
  <c r="J66" i="74"/>
  <c r="B28" i="87"/>
  <c r="B129" i="74"/>
  <c r="J68" i="74"/>
  <c r="E99" i="74"/>
  <c r="F69" i="74"/>
  <c r="B33" i="87"/>
  <c r="D68" i="74"/>
  <c r="E16" i="87"/>
  <c r="B35" i="87"/>
  <c r="L266" i="72"/>
  <c r="I34" i="74"/>
  <c r="G66" i="74"/>
  <c r="E108" i="78"/>
  <c r="E221" i="103" s="1"/>
  <c r="J221" i="103" s="1"/>
  <c r="L46" i="75"/>
  <c r="M46"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C64" i="74"/>
  <c r="C97" i="74"/>
  <c r="D10" i="86"/>
  <c r="F55" i="78"/>
  <c r="B5" i="92"/>
  <c r="J21" i="75"/>
  <c r="J468" i="103" s="1"/>
  <c r="L468" i="103" s="1"/>
  <c r="M468" i="103" s="1"/>
  <c r="F40" i="78"/>
  <c r="D32" i="74"/>
  <c r="F38" i="78"/>
  <c r="J23" i="75"/>
  <c r="J470" i="103" s="1"/>
  <c r="L470" i="103" s="1"/>
  <c r="M470" i="103" s="1"/>
  <c r="I32" i="74"/>
  <c r="H32" i="74"/>
  <c r="C21" i="90"/>
  <c r="K32" i="74"/>
  <c r="G32" i="74"/>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H38" i="74"/>
  <c r="B121" i="74"/>
  <c r="B828" i="103" s="1"/>
  <c r="B835" i="103" s="1"/>
  <c r="E121" i="74"/>
  <c r="E828" i="103" s="1"/>
  <c r="E835" i="103" s="1"/>
  <c r="B59" i="74"/>
  <c r="B766" i="103" s="1"/>
  <c r="B774" i="103" s="1"/>
  <c r="B91" i="74"/>
  <c r="B798" i="103" s="1"/>
  <c r="B805" i="103" s="1"/>
  <c r="K99" i="74"/>
  <c r="H52" i="86"/>
  <c r="C70" i="74"/>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31" i="74"/>
  <c r="C738" i="103" s="1"/>
  <c r="H16" i="86"/>
  <c r="I16" i="86"/>
  <c r="D64" i="74"/>
  <c r="F32" i="74"/>
  <c r="G51" i="86"/>
  <c r="C52" i="86"/>
  <c r="I31" i="86"/>
  <c r="G52" i="86"/>
  <c r="D51" i="86"/>
  <c r="H51" i="86"/>
  <c r="F64"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D22" i="74" s="1"/>
  <c r="D729" i="103" s="1"/>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A68" i="85"/>
  <c r="B30" i="87" l="1"/>
  <c r="F834" i="103"/>
  <c r="F838" i="103"/>
  <c r="F804" i="103"/>
  <c r="F808" i="103"/>
  <c r="D66" i="74"/>
  <c r="B41" i="87"/>
  <c r="B44" i="87"/>
  <c r="B43" i="87"/>
  <c r="D808" i="103"/>
  <c r="D804" i="103"/>
  <c r="C804" i="103"/>
  <c r="C808" i="103"/>
  <c r="G773" i="103"/>
  <c r="G777" i="103"/>
  <c r="J97" i="74"/>
  <c r="J797" i="103"/>
  <c r="I741" i="103"/>
  <c r="I745" i="103"/>
  <c r="B26" i="87"/>
  <c r="C127" i="74"/>
  <c r="B34" i="87"/>
  <c r="H66" i="74"/>
  <c r="I773" i="103"/>
  <c r="I777" i="103"/>
  <c r="D741" i="103"/>
  <c r="D745" i="103"/>
  <c r="G804" i="103"/>
  <c r="G808" i="103"/>
  <c r="K773" i="103"/>
  <c r="K777" i="103"/>
  <c r="J773" i="103"/>
  <c r="J777" i="103"/>
  <c r="B808" i="103"/>
  <c r="B804" i="103"/>
  <c r="E834" i="103"/>
  <c r="E838" i="103"/>
  <c r="B773" i="103"/>
  <c r="B777" i="103"/>
  <c r="B22" i="87"/>
  <c r="B20" i="87"/>
  <c r="B14" i="87"/>
  <c r="C745" i="103"/>
  <c r="C741" i="103"/>
  <c r="E808" i="103"/>
  <c r="E804" i="103"/>
  <c r="I808" i="103"/>
  <c r="I804" i="103"/>
  <c r="K804" i="103"/>
  <c r="K808" i="103"/>
  <c r="B838" i="103"/>
  <c r="H777" i="103"/>
  <c r="H773" i="103"/>
  <c r="B66" i="74"/>
  <c r="H804" i="103"/>
  <c r="H808" i="103"/>
  <c r="K34" i="74"/>
  <c r="K733" i="103"/>
  <c r="E773" i="103"/>
  <c r="E777" i="103"/>
  <c r="C75" i="100"/>
  <c r="B745" i="103"/>
  <c r="B741" i="103"/>
  <c r="D773" i="103"/>
  <c r="D777" i="103"/>
  <c r="K67" i="74"/>
  <c r="B97" i="74"/>
  <c r="C834" i="103"/>
  <c r="C838" i="103"/>
  <c r="F741" i="103"/>
  <c r="F745" i="103"/>
  <c r="E741" i="103"/>
  <c r="E745" i="103"/>
  <c r="E127" i="74"/>
  <c r="F127" i="74"/>
  <c r="K65" i="82"/>
  <c r="E34" i="74"/>
  <c r="B38" i="87"/>
  <c r="F97" i="74"/>
  <c r="G741" i="103"/>
  <c r="G745" i="103"/>
  <c r="C773" i="103"/>
  <c r="C777" i="103"/>
  <c r="J745" i="103"/>
  <c r="J741" i="103"/>
  <c r="F773" i="103"/>
  <c r="F777" i="103"/>
  <c r="D834" i="103"/>
  <c r="D838" i="103"/>
  <c r="A22" i="83"/>
  <c r="P94" i="103"/>
  <c r="P95" i="103"/>
  <c r="I105" i="103"/>
  <c r="G739" i="103"/>
  <c r="I739" i="103"/>
  <c r="E739" i="103"/>
  <c r="B739" i="103"/>
  <c r="B44" i="74"/>
  <c r="B751" i="103" s="1"/>
  <c r="F739" i="103"/>
  <c r="E771" i="103"/>
  <c r="K739" i="103"/>
  <c r="B771" i="103"/>
  <c r="F771" i="103"/>
  <c r="C771" i="103"/>
  <c r="C739" i="103"/>
  <c r="D771" i="103"/>
  <c r="J739" i="103"/>
  <c r="H739" i="103"/>
  <c r="D739" i="103"/>
  <c r="L72" i="98"/>
  <c r="I72" i="98"/>
  <c r="L71" i="98"/>
  <c r="I71" i="98"/>
  <c r="I75" i="98" s="1"/>
  <c r="L22" i="75"/>
  <c r="M22" i="75" s="1"/>
  <c r="L18" i="75"/>
  <c r="M18" i="75" s="1"/>
  <c r="L19" i="75"/>
  <c r="M19" i="75" s="1"/>
  <c r="M496" i="103"/>
  <c r="M497" i="103"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E22" i="74" s="1"/>
  <c r="E729" i="103" s="1"/>
  <c r="P138" i="75"/>
  <c r="M147" i="75"/>
  <c r="P136" i="75"/>
  <c r="R31" i="74"/>
  <c r="O164" i="75"/>
  <c r="O166" i="75" s="1"/>
  <c r="O168" i="75" s="1"/>
  <c r="P108" i="75"/>
  <c r="P93" i="75"/>
  <c r="J164" i="78"/>
  <c r="J166" i="78" s="1"/>
  <c r="E3" i="86"/>
  <c r="B4" i="82"/>
  <c r="C18" i="84"/>
  <c r="I61" i="68"/>
  <c r="P139" i="75"/>
  <c r="P114" i="75"/>
  <c r="G14" i="86"/>
  <c r="A67" i="85"/>
  <c r="C77" i="100" l="1"/>
  <c r="E75" i="100"/>
  <c r="E77" i="100" s="1"/>
  <c r="K75" i="100"/>
  <c r="K77" i="100" s="1"/>
  <c r="I75" i="100"/>
  <c r="I77" i="100" s="1"/>
  <c r="G75" i="100"/>
  <c r="G77" i="100" s="1"/>
  <c r="K741" i="103"/>
  <c r="K745" i="103"/>
  <c r="J804" i="103"/>
  <c r="J808" i="103"/>
  <c r="L35" i="68"/>
  <c r="P96" i="103"/>
  <c r="A21" i="83"/>
  <c r="C44" i="74"/>
  <c r="AD109" i="78"/>
  <c r="AF109" i="78" s="1"/>
  <c r="AB222" i="103"/>
  <c r="AB223" i="103"/>
  <c r="AD223" i="103" s="1"/>
  <c r="AB227" i="103"/>
  <c r="AD227" i="103" s="1"/>
  <c r="P676" i="103"/>
  <c r="AI48" i="72"/>
  <c r="K40" i="100"/>
  <c r="D18" i="100"/>
  <c r="C38" i="100"/>
  <c r="AD108" i="78"/>
  <c r="AD110" i="78"/>
  <c r="AF110" i="78" s="1"/>
  <c r="AD114" i="78"/>
  <c r="AF114" i="78" s="1"/>
  <c r="AH36" i="72"/>
  <c r="AH63" i="72" s="1"/>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I63" i="72" s="1"/>
  <c r="AD36" i="72"/>
  <c r="AF36" i="72"/>
  <c r="AF63" i="72" s="1"/>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3" i="72" l="1"/>
  <c r="C81" i="100"/>
  <c r="C80" i="100"/>
  <c r="C751" i="103"/>
  <c r="D44" i="74"/>
  <c r="B728" i="103"/>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G21" i="86"/>
  <c r="F22" i="86"/>
  <c r="D751" i="103" l="1"/>
  <c r="E44" i="74"/>
  <c r="C728" i="103"/>
  <c r="E728" i="103"/>
  <c r="D728" i="103"/>
  <c r="F728"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H21" i="86"/>
  <c r="G22" i="86"/>
  <c r="E751" i="103" l="1"/>
  <c r="F44" i="74"/>
  <c r="G728" i="103"/>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H31" i="74"/>
  <c r="J365" i="72"/>
  <c r="J366" i="72" s="1"/>
  <c r="M442" i="72"/>
  <c r="E343" i="73"/>
  <c r="N343" i="73" s="1"/>
  <c r="N228" i="75"/>
  <c r="H40" i="74"/>
  <c r="H747" i="103" s="1"/>
  <c r="L89" i="72"/>
  <c r="O93" i="72" s="1"/>
  <c r="K52" i="84"/>
  <c r="I52" i="84"/>
  <c r="E52" i="84"/>
  <c r="B17" i="74"/>
  <c r="B724" i="103" s="1"/>
  <c r="D16" i="74"/>
  <c r="D723" i="103" s="1"/>
  <c r="E16" i="74"/>
  <c r="C53" i="84"/>
  <c r="I53" i="84" s="1"/>
  <c r="I54" i="84" s="1"/>
  <c r="C16" i="74"/>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I22" i="74" s="1"/>
  <c r="I729" i="103" s="1"/>
  <c r="H16" i="74"/>
  <c r="H723" i="103" s="1"/>
  <c r="H15" i="74"/>
  <c r="H722" i="103" s="1"/>
  <c r="H21" i="74"/>
  <c r="I21" i="86"/>
  <c r="I22" i="86" s="1"/>
  <c r="H22" i="86"/>
  <c r="E174" i="90" l="1"/>
  <c r="E175" i="90" s="1"/>
  <c r="C723" i="103"/>
  <c r="C39" i="74"/>
  <c r="E723" i="103"/>
  <c r="F751" i="103"/>
  <c r="G44" i="74"/>
  <c r="H728" i="103"/>
  <c r="H53" i="82"/>
  <c r="H738" i="103"/>
  <c r="Q694" i="103"/>
  <c r="B23" i="74"/>
  <c r="B730" i="103" s="1"/>
  <c r="B746" i="103" s="1"/>
  <c r="Q247" i="75"/>
  <c r="Q682" i="103"/>
  <c r="C66" i="84"/>
  <c r="E66" i="84" s="1"/>
  <c r="N235" i="75"/>
  <c r="AD238" i="103"/>
  <c r="AF238" i="103" s="1"/>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E23" i="74"/>
  <c r="E730" i="103" s="1"/>
  <c r="B20" i="74"/>
  <c r="H23" i="74"/>
  <c r="H730" i="103" s="1"/>
  <c r="I23" i="74"/>
  <c r="I730" i="103" s="1"/>
  <c r="C23" i="74"/>
  <c r="C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K87" i="75"/>
  <c r="L87" i="75"/>
  <c r="AF125" i="78"/>
  <c r="AH125" i="78" s="1"/>
  <c r="H19" i="84"/>
  <c r="AF122" i="78"/>
  <c r="C19" i="84"/>
  <c r="H17" i="74"/>
  <c r="H724" i="103" s="1"/>
  <c r="I24" i="74"/>
  <c r="I731" i="103" s="1"/>
  <c r="J14" i="74"/>
  <c r="J22" i="74" s="1"/>
  <c r="J729" i="103" s="1"/>
  <c r="I16" i="74"/>
  <c r="I723" i="103" s="1"/>
  <c r="I15" i="74"/>
  <c r="I722" i="103" s="1"/>
  <c r="I21" i="74"/>
  <c r="A9" i="83"/>
  <c r="H746" i="103" l="1"/>
  <c r="I66" i="84"/>
  <c r="C746" i="103"/>
  <c r="D39" i="74"/>
  <c r="J31" i="74"/>
  <c r="J738" i="103" s="1"/>
  <c r="I53" i="82"/>
  <c r="K66" i="84"/>
  <c r="E39" i="74"/>
  <c r="B39" i="74"/>
  <c r="E746" i="103"/>
  <c r="E70" i="84"/>
  <c r="E76" i="84" s="1"/>
  <c r="E73" i="84" s="1"/>
  <c r="H39" i="74"/>
  <c r="G39" i="74"/>
  <c r="G751" i="103"/>
  <c r="H44" i="74"/>
  <c r="I728" i="103"/>
  <c r="G23" i="74"/>
  <c r="G730" i="103" s="1"/>
  <c r="G746" i="103" s="1"/>
  <c r="D23" i="74"/>
  <c r="D730" i="103" s="1"/>
  <c r="D746" i="103" s="1"/>
  <c r="C13" i="86"/>
  <c r="F23" i="74"/>
  <c r="F730" i="103" s="1"/>
  <c r="F746" i="103" s="1"/>
  <c r="G66" i="84"/>
  <c r="G20" i="74"/>
  <c r="G727" i="103" s="1"/>
  <c r="B25" i="74"/>
  <c r="B33" i="74" s="1"/>
  <c r="B727" i="103"/>
  <c r="B732" i="103" s="1"/>
  <c r="B740" i="103" s="1"/>
  <c r="E56" i="100"/>
  <c r="E64" i="100" s="1"/>
  <c r="E70" i="100" s="1"/>
  <c r="K56" i="100"/>
  <c r="K64" i="100" s="1"/>
  <c r="K70" i="100" s="1"/>
  <c r="I70" i="84"/>
  <c r="I76" i="84" s="1"/>
  <c r="I73" i="84" s="1"/>
  <c r="I56" i="100"/>
  <c r="I64" i="100" s="1"/>
  <c r="I70" i="100" s="1"/>
  <c r="C76" i="100"/>
  <c r="C73" i="100" s="1"/>
  <c r="C72" i="100"/>
  <c r="G56" i="100"/>
  <c r="G64" i="100" s="1"/>
  <c r="G70" i="100" s="1"/>
  <c r="K70" i="84"/>
  <c r="K72" i="84" s="1"/>
  <c r="AH122" i="78"/>
  <c r="E127" i="78" s="1"/>
  <c r="P89" i="72"/>
  <c r="O89" i="72"/>
  <c r="D13" i="86"/>
  <c r="F13" i="86"/>
  <c r="C30" i="86"/>
  <c r="I13" i="86"/>
  <c r="C20" i="74"/>
  <c r="C33" i="86"/>
  <c r="C20" i="84"/>
  <c r="H20" i="84"/>
  <c r="J40" i="74"/>
  <c r="J747" i="103" s="1"/>
  <c r="E20" i="74"/>
  <c r="E727" i="103" s="1"/>
  <c r="E732" i="103" s="1"/>
  <c r="E740" i="103" s="1"/>
  <c r="D20" i="74"/>
  <c r="D727" i="103" s="1"/>
  <c r="G56" i="84"/>
  <c r="G64" i="84" s="1"/>
  <c r="C76" i="84"/>
  <c r="C73" i="84" s="1"/>
  <c r="F20" i="74"/>
  <c r="F727" i="103" s="1"/>
  <c r="F732" i="103" s="1"/>
  <c r="F740" i="103" s="1"/>
  <c r="K31" i="74"/>
  <c r="K738" i="103" s="1"/>
  <c r="J53" i="82"/>
  <c r="K14" i="74"/>
  <c r="K22" i="74" s="1"/>
  <c r="K729" i="103" s="1"/>
  <c r="J24" i="74"/>
  <c r="J731" i="103" s="1"/>
  <c r="J15" i="74"/>
  <c r="J722" i="103" s="1"/>
  <c r="J16" i="74"/>
  <c r="J723" i="103" s="1"/>
  <c r="J21" i="74"/>
  <c r="J23" i="74"/>
  <c r="J730" i="103" s="1"/>
  <c r="I17" i="74"/>
  <c r="I724" i="103" s="1"/>
  <c r="H20" i="74"/>
  <c r="H727" i="103" s="1"/>
  <c r="H732" i="103" s="1"/>
  <c r="H740" i="103" s="1"/>
  <c r="H13" i="86" l="1"/>
  <c r="F39" i="74"/>
  <c r="G13" i="86"/>
  <c r="I39" i="74"/>
  <c r="E13" i="86"/>
  <c r="I746" i="103"/>
  <c r="G732" i="103"/>
  <c r="G740" i="103" s="1"/>
  <c r="E72" i="84"/>
  <c r="H751" i="103"/>
  <c r="I44" i="74"/>
  <c r="J728" i="103"/>
  <c r="D732" i="103"/>
  <c r="D740" i="103" s="1"/>
  <c r="G70" i="84"/>
  <c r="G76" i="84" s="1"/>
  <c r="G73" i="84" s="1"/>
  <c r="B44" i="82"/>
  <c r="B51" i="82" s="1"/>
  <c r="G25" i="74"/>
  <c r="G44" i="82" s="1"/>
  <c r="G51" i="82" s="1"/>
  <c r="C25" i="74"/>
  <c r="C33" i="74" s="1"/>
  <c r="C727" i="103"/>
  <c r="C732" i="103" s="1"/>
  <c r="C740"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S21" i="74"/>
  <c r="C9" i="86"/>
  <c r="C17" i="86" s="1"/>
  <c r="C18" i="86" s="1"/>
  <c r="C20" i="86" s="1"/>
  <c r="C24" i="86" s="1"/>
  <c r="K6" i="86" s="1"/>
  <c r="G66" i="86" s="1"/>
  <c r="N92" i="85" s="1"/>
  <c r="F25" i="74"/>
  <c r="J178" i="78"/>
  <c r="J180" i="78" s="1"/>
  <c r="I20" i="74"/>
  <c r="I727" i="103" s="1"/>
  <c r="I732" i="103" s="1"/>
  <c r="I740" i="103" s="1"/>
  <c r="K24" i="74"/>
  <c r="K731" i="103" s="1"/>
  <c r="B46" i="74"/>
  <c r="B54" i="74" s="1"/>
  <c r="B761" i="103" s="1"/>
  <c r="K15" i="74"/>
  <c r="K722" i="103" s="1"/>
  <c r="K16" i="74"/>
  <c r="K723" i="103" s="1"/>
  <c r="K21" i="74"/>
  <c r="K23" i="74"/>
  <c r="K730" i="103" s="1"/>
  <c r="H25" i="74"/>
  <c r="D33" i="86"/>
  <c r="B63" i="74"/>
  <c r="B770" i="103" s="1"/>
  <c r="K53" i="82"/>
  <c r="J17" i="74"/>
  <c r="J724" i="103" s="1"/>
  <c r="J39" i="74" l="1"/>
  <c r="J746" i="103"/>
  <c r="I751" i="103"/>
  <c r="J44" i="74"/>
  <c r="K728" i="103"/>
  <c r="G72" i="84"/>
  <c r="G33" i="74"/>
  <c r="H9" i="86" s="1"/>
  <c r="H17" i="86" s="1"/>
  <c r="H18" i="86" s="1"/>
  <c r="H20" i="86" s="1"/>
  <c r="H24" i="86" s="1"/>
  <c r="K11" i="86" s="1"/>
  <c r="B46" i="82"/>
  <c r="C44" i="82"/>
  <c r="C46" i="82" s="1"/>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I25" i="74"/>
  <c r="J20" i="74"/>
  <c r="J727" i="103" s="1"/>
  <c r="J732" i="103" s="1"/>
  <c r="J740" i="103" s="1"/>
  <c r="H44" i="82"/>
  <c r="H33" i="74"/>
  <c r="K17" i="74"/>
  <c r="K724" i="103" s="1"/>
  <c r="C46" i="74"/>
  <c r="C54" i="74" s="1"/>
  <c r="C761" i="103" s="1"/>
  <c r="B56" i="74"/>
  <c r="B48" i="74"/>
  <c r="B755" i="103" s="1"/>
  <c r="B47" i="74"/>
  <c r="B754" i="103" s="1"/>
  <c r="B53" i="74"/>
  <c r="B55" i="74"/>
  <c r="B762" i="103" s="1"/>
  <c r="C63" i="74"/>
  <c r="C770" i="103" s="1"/>
  <c r="B73" i="82"/>
  <c r="E33" i="86"/>
  <c r="K39" i="74" l="1"/>
  <c r="K746" i="103"/>
  <c r="J751" i="103"/>
  <c r="K44" i="74"/>
  <c r="B760" i="103"/>
  <c r="B778" i="103" s="1"/>
  <c r="C51" i="82"/>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D54" i="74" s="1"/>
  <c r="D761" i="103" s="1"/>
  <c r="C47" i="74"/>
  <c r="C754" i="103" s="1"/>
  <c r="C53" i="74"/>
  <c r="C55" i="74"/>
  <c r="C762" i="103" s="1"/>
  <c r="B49" i="74"/>
  <c r="B756" i="103" s="1"/>
  <c r="I9" i="86"/>
  <c r="S27" i="74"/>
  <c r="H51" i="82"/>
  <c r="H46" i="82"/>
  <c r="F33" i="86"/>
  <c r="K20" i="74"/>
  <c r="K727" i="103" s="1"/>
  <c r="K732" i="103" s="1"/>
  <c r="K740" i="103" s="1"/>
  <c r="B71" i="74" l="1"/>
  <c r="K751" i="103"/>
  <c r="B76" i="74"/>
  <c r="C760" i="103"/>
  <c r="C71" i="74"/>
  <c r="G30" i="86"/>
  <c r="D72" i="74"/>
  <c r="D779" i="103" s="1"/>
  <c r="I46" i="82"/>
  <c r="J33" i="74"/>
  <c r="J44" i="82"/>
  <c r="J46" i="82" s="1"/>
  <c r="C29" i="86"/>
  <c r="C37" i="86" s="1"/>
  <c r="C38" i="86" s="1"/>
  <c r="C40" i="86" s="1"/>
  <c r="C44" i="86" s="1"/>
  <c r="K13" i="86" s="1"/>
  <c r="S28" i="74"/>
  <c r="I17" i="86"/>
  <c r="I18" i="86" s="1"/>
  <c r="I20" i="86" s="1"/>
  <c r="I24" i="86" s="1"/>
  <c r="K12" i="86" s="1"/>
  <c r="E46" i="74"/>
  <c r="E54" i="74" s="1"/>
  <c r="E761" i="103" s="1"/>
  <c r="D56" i="74"/>
  <c r="D48" i="74"/>
  <c r="D755" i="103" s="1"/>
  <c r="D47" i="74"/>
  <c r="D754" i="103" s="1"/>
  <c r="D53" i="74"/>
  <c r="D55" i="74"/>
  <c r="D762" i="103" s="1"/>
  <c r="E63" i="74"/>
  <c r="E770" i="103" s="1"/>
  <c r="D73" i="82"/>
  <c r="G33" i="86"/>
  <c r="K25" i="74"/>
  <c r="B52" i="74"/>
  <c r="B759" i="103" s="1"/>
  <c r="B764" i="103" s="1"/>
  <c r="B772" i="103" s="1"/>
  <c r="C49" i="74"/>
  <c r="C756" i="103" s="1"/>
  <c r="C778" i="103" l="1"/>
  <c r="B783" i="103"/>
  <c r="C76" i="74"/>
  <c r="D760" i="103"/>
  <c r="D71" i="74"/>
  <c r="H30" i="86"/>
  <c r="E72" i="74"/>
  <c r="E779" i="103" s="1"/>
  <c r="J51" i="82"/>
  <c r="S29" i="74"/>
  <c r="D29" i="86"/>
  <c r="D37" i="86" s="1"/>
  <c r="D38" i="86" s="1"/>
  <c r="D40" i="86" s="1"/>
  <c r="D44" i="86" s="1"/>
  <c r="K14" i="86" s="1"/>
  <c r="C52" i="74"/>
  <c r="C759" i="103" s="1"/>
  <c r="C764" i="103" s="1"/>
  <c r="C772" i="103" s="1"/>
  <c r="E73" i="82"/>
  <c r="F63" i="74"/>
  <c r="F770" i="103" s="1"/>
  <c r="D49" i="74"/>
  <c r="D756" i="103" s="1"/>
  <c r="B57" i="74"/>
  <c r="K44" i="82"/>
  <c r="K33" i="74"/>
  <c r="E47" i="74"/>
  <c r="E754" i="103" s="1"/>
  <c r="E56" i="74"/>
  <c r="F46" i="74"/>
  <c r="F54" i="74" s="1"/>
  <c r="F761" i="103" s="1"/>
  <c r="E48" i="74"/>
  <c r="E755" i="103" s="1"/>
  <c r="E53" i="74"/>
  <c r="E55" i="74"/>
  <c r="E762" i="103" s="1"/>
  <c r="H33" i="86"/>
  <c r="D778" i="103" l="1"/>
  <c r="C783" i="103"/>
  <c r="D76" i="74"/>
  <c r="E760" i="103"/>
  <c r="I30" i="86"/>
  <c r="F72" i="74"/>
  <c r="F779" i="103" s="1"/>
  <c r="C57" i="74"/>
  <c r="D52" i="74"/>
  <c r="D759" i="103" s="1"/>
  <c r="D764" i="103" s="1"/>
  <c r="D772" i="103" s="1"/>
  <c r="F56" i="74"/>
  <c r="F48" i="74"/>
  <c r="F755" i="103" s="1"/>
  <c r="F47" i="74"/>
  <c r="F754" i="103" s="1"/>
  <c r="G46" i="74"/>
  <c r="G54" i="74" s="1"/>
  <c r="G761" i="103" s="1"/>
  <c r="F53" i="74"/>
  <c r="F55" i="74"/>
  <c r="F762" i="103" s="1"/>
  <c r="E49" i="74"/>
  <c r="E756" i="103" s="1"/>
  <c r="E29" i="86"/>
  <c r="S30" i="74"/>
  <c r="F73" i="82"/>
  <c r="G63" i="74"/>
  <c r="G770" i="103" s="1"/>
  <c r="K51" i="82"/>
  <c r="K46" i="82"/>
  <c r="B25" i="82" s="1"/>
  <c r="I33" i="86"/>
  <c r="B64" i="82"/>
  <c r="B65" i="74"/>
  <c r="E71" i="74" l="1"/>
  <c r="E778" i="103"/>
  <c r="D783" i="103"/>
  <c r="E76" i="74"/>
  <c r="F760" i="103"/>
  <c r="F778" i="103" s="1"/>
  <c r="C50" i="86"/>
  <c r="G72" i="74"/>
  <c r="G779" i="103" s="1"/>
  <c r="C64" i="82"/>
  <c r="C66" i="82" s="1"/>
  <c r="C65" i="74"/>
  <c r="E52" i="74"/>
  <c r="E759" i="103" s="1"/>
  <c r="E764" i="103" s="1"/>
  <c r="E772"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H54" i="74" s="1"/>
  <c r="H761" i="103" s="1"/>
  <c r="G47" i="74"/>
  <c r="G754" i="103" s="1"/>
  <c r="G53" i="74"/>
  <c r="G55" i="74"/>
  <c r="G762" i="103" s="1"/>
  <c r="F71" i="74" l="1"/>
  <c r="E783" i="103"/>
  <c r="F76" i="74"/>
  <c r="G760" i="103"/>
  <c r="G71"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I54" i="74" s="1"/>
  <c r="I761" i="103" s="1"/>
  <c r="H53" i="74"/>
  <c r="H55" i="74"/>
  <c r="H762" i="103" s="1"/>
  <c r="D53" i="86"/>
  <c r="F52" i="74"/>
  <c r="F759" i="103" s="1"/>
  <c r="F764" i="103" s="1"/>
  <c r="F772" i="103" s="1"/>
  <c r="F55" i="82"/>
  <c r="F56" i="82" s="1"/>
  <c r="D55" i="82"/>
  <c r="D56" i="82" s="1"/>
  <c r="H55" i="82"/>
  <c r="H56" i="82" s="1"/>
  <c r="C55" i="82"/>
  <c r="C56" i="82" s="1"/>
  <c r="F37" i="86"/>
  <c r="F38" i="86" s="1"/>
  <c r="F40" i="86" s="1"/>
  <c r="F44" i="86" s="1"/>
  <c r="K16" i="86" s="1"/>
  <c r="E55" i="82"/>
  <c r="E56" i="82" s="1"/>
  <c r="G49" i="74"/>
  <c r="G756" i="103" s="1"/>
  <c r="D65" i="74"/>
  <c r="D64" i="82"/>
  <c r="G778" i="103" l="1"/>
  <c r="F783" i="103"/>
  <c r="G76" i="74"/>
  <c r="G783" i="103" s="1"/>
  <c r="H760" i="103"/>
  <c r="H71" i="74"/>
  <c r="D57" i="86"/>
  <c r="D58" i="86" s="1"/>
  <c r="D60" i="86" s="1"/>
  <c r="D64" i="86" s="1"/>
  <c r="K21" i="86" s="1"/>
  <c r="E50" i="86"/>
  <c r="I72" i="74"/>
  <c r="I779" i="103" s="1"/>
  <c r="E64" i="82"/>
  <c r="E71" i="82" s="1"/>
  <c r="E74" i="82" s="1"/>
  <c r="E65" i="74"/>
  <c r="B76" i="82"/>
  <c r="E53" i="86"/>
  <c r="H29" i="86"/>
  <c r="S33" i="74"/>
  <c r="J46" i="74"/>
  <c r="J54" i="74" s="1"/>
  <c r="J761" i="103" s="1"/>
  <c r="I56" i="74"/>
  <c r="I47" i="74"/>
  <c r="I754" i="103" s="1"/>
  <c r="I48" i="74"/>
  <c r="I755" i="103" s="1"/>
  <c r="I53" i="74"/>
  <c r="I55" i="74"/>
  <c r="I762" i="103" s="1"/>
  <c r="D71" i="82"/>
  <c r="D74" i="82" s="1"/>
  <c r="D66" i="82"/>
  <c r="B29" i="82"/>
  <c r="G21" i="82"/>
  <c r="G52" i="74"/>
  <c r="G759" i="103" s="1"/>
  <c r="G764" i="103" s="1"/>
  <c r="G772" i="103" s="1"/>
  <c r="H49" i="74"/>
  <c r="H756" i="103" s="1"/>
  <c r="J63" i="74"/>
  <c r="J770" i="103" s="1"/>
  <c r="I73" i="82"/>
  <c r="F57" i="74"/>
  <c r="H778" i="103" l="1"/>
  <c r="I760" i="103"/>
  <c r="E57" i="86"/>
  <c r="E58" i="86" s="1"/>
  <c r="E60" i="86" s="1"/>
  <c r="E64" i="86" s="1"/>
  <c r="K22" i="86" s="1"/>
  <c r="F50" i="86"/>
  <c r="J72" i="74"/>
  <c r="J779" i="103" s="1"/>
  <c r="E66" i="82"/>
  <c r="S34" i="74"/>
  <c r="I29" i="86"/>
  <c r="I37" i="86" s="1"/>
  <c r="I38" i="86" s="1"/>
  <c r="I40" i="86" s="1"/>
  <c r="I44" i="86" s="1"/>
  <c r="K19" i="86" s="1"/>
  <c r="J48" i="74"/>
  <c r="J755" i="103" s="1"/>
  <c r="K46" i="74"/>
  <c r="K54" i="74" s="1"/>
  <c r="K761" i="103" s="1"/>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H772" i="103" s="1"/>
  <c r="F53" i="86"/>
  <c r="I71" i="74" l="1"/>
  <c r="I778" i="103"/>
  <c r="J760" i="103"/>
  <c r="F57" i="86"/>
  <c r="F58" i="86" s="1"/>
  <c r="F60" i="86" s="1"/>
  <c r="F64" i="86" s="1"/>
  <c r="K23" i="86" s="1"/>
  <c r="G50" i="86"/>
  <c r="K72" i="74"/>
  <c r="K779" i="103" s="1"/>
  <c r="I52" i="74"/>
  <c r="I759" i="103" s="1"/>
  <c r="I764" i="103" s="1"/>
  <c r="I772" i="103" s="1"/>
  <c r="F66" i="82"/>
  <c r="F71" i="82"/>
  <c r="F74" i="82" s="1"/>
  <c r="G53" i="86"/>
  <c r="G64" i="82"/>
  <c r="G65" i="74"/>
  <c r="J49" i="74"/>
  <c r="J756" i="103" s="1"/>
  <c r="C49" i="86"/>
  <c r="S35" i="74"/>
  <c r="K73" i="82"/>
  <c r="B95" i="74"/>
  <c r="B802" i="103" s="1"/>
  <c r="B78" i="74"/>
  <c r="B86" i="74" s="1"/>
  <c r="B793" i="103" s="1"/>
  <c r="K56" i="74"/>
  <c r="K47" i="74"/>
  <c r="K754" i="103" s="1"/>
  <c r="K48" i="74"/>
  <c r="K755" i="103" s="1"/>
  <c r="K53" i="74"/>
  <c r="K55" i="74"/>
  <c r="K762" i="103" s="1"/>
  <c r="H57" i="74"/>
  <c r="J71" i="74" l="1"/>
  <c r="J778" i="103"/>
  <c r="K760" i="103"/>
  <c r="G57" i="86"/>
  <c r="G58" i="86" s="1"/>
  <c r="G60" i="86" s="1"/>
  <c r="G64" i="86" s="1"/>
  <c r="K24" i="86" s="1"/>
  <c r="B103" i="74"/>
  <c r="B810" i="103" s="1"/>
  <c r="L100" i="85"/>
  <c r="O8" i="86"/>
  <c r="O14" i="86" s="1"/>
  <c r="O33" i="86" s="1"/>
  <c r="H63" i="86" s="1"/>
  <c r="L70" i="85"/>
  <c r="H50" i="86"/>
  <c r="F47" i="68"/>
  <c r="F90" i="103" s="1"/>
  <c r="I57" i="74"/>
  <c r="J52" i="74"/>
  <c r="J759" i="103" s="1"/>
  <c r="J764" i="103" s="1"/>
  <c r="J772" i="103" s="1"/>
  <c r="C57" i="86"/>
  <c r="C58" i="86" s="1"/>
  <c r="C60" i="86" s="1"/>
  <c r="C64" i="86" s="1"/>
  <c r="K20" i="86" s="1"/>
  <c r="F75" i="82"/>
  <c r="F76" i="82" s="1"/>
  <c r="B88" i="74"/>
  <c r="B79" i="74"/>
  <c r="B786" i="103" s="1"/>
  <c r="B80" i="74"/>
  <c r="B787" i="103" s="1"/>
  <c r="C78" i="74"/>
  <c r="C86" i="74" s="1"/>
  <c r="C793" i="103" s="1"/>
  <c r="B85" i="74"/>
  <c r="B87" i="74"/>
  <c r="B794" i="103" s="1"/>
  <c r="S36" i="74"/>
  <c r="H64" i="82"/>
  <c r="H65" i="74"/>
  <c r="H53" i="86"/>
  <c r="G66" i="82"/>
  <c r="G71" i="82"/>
  <c r="G74" i="82" s="1"/>
  <c r="K49" i="74"/>
  <c r="K756" i="103" s="1"/>
  <c r="C95" i="74"/>
  <c r="C802" i="103" s="1"/>
  <c r="K71" i="74" l="1"/>
  <c r="K778" i="103"/>
  <c r="B792" i="103"/>
  <c r="H57" i="86"/>
  <c r="H58" i="86" s="1"/>
  <c r="H60" i="86" s="1"/>
  <c r="H64" i="86" s="1"/>
  <c r="K25" i="86" s="1"/>
  <c r="C86" i="90"/>
  <c r="F61" i="89"/>
  <c r="C103" i="74"/>
  <c r="C810" i="103" s="1"/>
  <c r="I65" i="74"/>
  <c r="L47" i="68"/>
  <c r="L90" i="103" s="1"/>
  <c r="J57" i="74"/>
  <c r="I64" i="82"/>
  <c r="I66" i="82" s="1"/>
  <c r="K52" i="74"/>
  <c r="K759" i="103" s="1"/>
  <c r="K764" i="103" s="1"/>
  <c r="K772" i="103" s="1"/>
  <c r="B81" i="74"/>
  <c r="B788" i="103" s="1"/>
  <c r="S37" i="74"/>
  <c r="D95" i="74"/>
  <c r="D802" i="103" s="1"/>
  <c r="H66" i="82"/>
  <c r="H71" i="82"/>
  <c r="H74" i="82" s="1"/>
  <c r="C79" i="74"/>
  <c r="C786" i="103" s="1"/>
  <c r="D78" i="74"/>
  <c r="D86" i="74" s="1"/>
  <c r="D793" i="103" s="1"/>
  <c r="C88" i="74"/>
  <c r="C80" i="74"/>
  <c r="C787" i="103" s="1"/>
  <c r="C85" i="74"/>
  <c r="C87" i="74"/>
  <c r="C794" i="103" s="1"/>
  <c r="G75" i="82"/>
  <c r="G76" i="82" s="1"/>
  <c r="B102" i="74" l="1"/>
  <c r="B809" i="103"/>
  <c r="C792" i="103"/>
  <c r="D103" i="74"/>
  <c r="D810" i="103" s="1"/>
  <c r="I71" i="82"/>
  <c r="I74" i="82" s="1"/>
  <c r="I75" i="82" s="1"/>
  <c r="I76" i="82" s="1"/>
  <c r="J65" i="74"/>
  <c r="F85" i="92"/>
  <c r="F89" i="92" s="1"/>
  <c r="F105" i="92" s="1"/>
  <c r="S38" i="74"/>
  <c r="J64" i="82"/>
  <c r="J66" i="82" s="1"/>
  <c r="E78" i="74"/>
  <c r="E86" i="74" s="1"/>
  <c r="E793" i="103" s="1"/>
  <c r="D79" i="74"/>
  <c r="D786" i="103" s="1"/>
  <c r="D80" i="74"/>
  <c r="D787" i="103" s="1"/>
  <c r="D88" i="74"/>
  <c r="D85" i="74"/>
  <c r="D87" i="74"/>
  <c r="D794" i="103" s="1"/>
  <c r="C81" i="74"/>
  <c r="C788" i="103" s="1"/>
  <c r="E95" i="74"/>
  <c r="E802" i="103" s="1"/>
  <c r="B84" i="74"/>
  <c r="B791" i="103" s="1"/>
  <c r="B796" i="103" s="1"/>
  <c r="B803" i="103" s="1"/>
  <c r="H75" i="82"/>
  <c r="H76" i="82" s="1"/>
  <c r="K57" i="74"/>
  <c r="C102" i="74" l="1"/>
  <c r="C809" i="103"/>
  <c r="D792" i="103"/>
  <c r="E103" i="74"/>
  <c r="E810" i="103" s="1"/>
  <c r="S39" i="74"/>
  <c r="J71" i="82"/>
  <c r="J74" i="82" s="1"/>
  <c r="J75" i="82" s="1"/>
  <c r="J76" i="82" s="1"/>
  <c r="C84" i="74"/>
  <c r="C791" i="103" s="1"/>
  <c r="C796" i="103" s="1"/>
  <c r="C803" i="103" s="1"/>
  <c r="F95" i="74"/>
  <c r="F802" i="103" s="1"/>
  <c r="K65" i="74"/>
  <c r="K64" i="82"/>
  <c r="D81" i="74"/>
  <c r="D788" i="103" s="1"/>
  <c r="F78" i="74"/>
  <c r="F86" i="74" s="1"/>
  <c r="F793" i="103" s="1"/>
  <c r="E88" i="74"/>
  <c r="E79" i="74"/>
  <c r="E786" i="103" s="1"/>
  <c r="E80" i="74"/>
  <c r="E787" i="103" s="1"/>
  <c r="E85" i="74"/>
  <c r="E87" i="74"/>
  <c r="E794" i="103" s="1"/>
  <c r="B89" i="74"/>
  <c r="D102" i="74" l="1"/>
  <c r="D809" i="103"/>
  <c r="E792" i="103"/>
  <c r="E102" i="74"/>
  <c r="F103" i="74"/>
  <c r="F810" i="103" s="1"/>
  <c r="B96" i="74"/>
  <c r="C89" i="74"/>
  <c r="D84" i="74"/>
  <c r="D791" i="103" s="1"/>
  <c r="D796" i="103" s="1"/>
  <c r="D803" i="103" s="1"/>
  <c r="E81" i="74"/>
  <c r="E788" i="103" s="1"/>
  <c r="K71" i="82"/>
  <c r="K74" i="82" s="1"/>
  <c r="K66" i="82"/>
  <c r="F88" i="74"/>
  <c r="G78" i="74"/>
  <c r="G86" i="74" s="1"/>
  <c r="G793" i="103" s="1"/>
  <c r="F80" i="74"/>
  <c r="F787" i="103" s="1"/>
  <c r="F79" i="74"/>
  <c r="F786" i="103" s="1"/>
  <c r="F85" i="74"/>
  <c r="F87" i="74"/>
  <c r="F794" i="103" s="1"/>
  <c r="S40" i="74"/>
  <c r="G95" i="74"/>
  <c r="G802" i="103" s="1"/>
  <c r="E809" i="103" l="1"/>
  <c r="F792" i="103"/>
  <c r="G103" i="74"/>
  <c r="G810" i="103" s="1"/>
  <c r="C96" i="74"/>
  <c r="E84" i="74"/>
  <c r="E791" i="103" s="1"/>
  <c r="E796" i="103" s="1"/>
  <c r="E803" i="103" s="1"/>
  <c r="G79" i="74"/>
  <c r="G786" i="103" s="1"/>
  <c r="G88" i="74"/>
  <c r="G80" i="74"/>
  <c r="G787" i="103" s="1"/>
  <c r="H78" i="74"/>
  <c r="H86" i="74" s="1"/>
  <c r="H793" i="103" s="1"/>
  <c r="G85" i="74"/>
  <c r="G87" i="74"/>
  <c r="G794" i="103" s="1"/>
  <c r="K75" i="82"/>
  <c r="K76" i="82" s="1"/>
  <c r="H95" i="74"/>
  <c r="H802" i="103" s="1"/>
  <c r="F81" i="74"/>
  <c r="F788" i="103" s="1"/>
  <c r="D89" i="74"/>
  <c r="F102" i="74" l="1"/>
  <c r="F809" i="103"/>
  <c r="G792" i="103"/>
  <c r="H103" i="74"/>
  <c r="H810" i="103" s="1"/>
  <c r="D96" i="74"/>
  <c r="E89" i="74"/>
  <c r="F84" i="74"/>
  <c r="F791" i="103" s="1"/>
  <c r="F796" i="103" s="1"/>
  <c r="F803" i="103" s="1"/>
  <c r="H88" i="74"/>
  <c r="H80" i="74"/>
  <c r="H787" i="103" s="1"/>
  <c r="H79" i="74"/>
  <c r="H786" i="103" s="1"/>
  <c r="I78" i="74"/>
  <c r="I86" i="74" s="1"/>
  <c r="I793" i="103" s="1"/>
  <c r="H85" i="74"/>
  <c r="H87" i="74"/>
  <c r="H794" i="103" s="1"/>
  <c r="G81" i="74"/>
  <c r="G788" i="103" s="1"/>
  <c r="I95" i="74"/>
  <c r="I802" i="103" s="1"/>
  <c r="G102" i="74" l="1"/>
  <c r="G809" i="103"/>
  <c r="H792" i="103"/>
  <c r="I103" i="74"/>
  <c r="I810" i="103" s="1"/>
  <c r="E96" i="74"/>
  <c r="F89" i="74"/>
  <c r="G84" i="74"/>
  <c r="G791" i="103" s="1"/>
  <c r="G796" i="103" s="1"/>
  <c r="G803" i="103" s="1"/>
  <c r="I88" i="74"/>
  <c r="I79" i="74"/>
  <c r="I786" i="103" s="1"/>
  <c r="J78" i="74"/>
  <c r="J86" i="74" s="1"/>
  <c r="J793" i="103" s="1"/>
  <c r="I80" i="74"/>
  <c r="I787" i="103" s="1"/>
  <c r="I85" i="74"/>
  <c r="I87" i="74"/>
  <c r="I794" i="103" s="1"/>
  <c r="H81" i="74"/>
  <c r="H788" i="103" s="1"/>
  <c r="J95" i="74"/>
  <c r="J802" i="103" s="1"/>
  <c r="H102" i="74" l="1"/>
  <c r="H809" i="103"/>
  <c r="I792"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H803" i="103" s="1"/>
  <c r="I102" i="74" l="1"/>
  <c r="I809" i="103"/>
  <c r="J792" i="103"/>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I803" i="103" s="1"/>
  <c r="J102" i="74" l="1"/>
  <c r="J809" i="103"/>
  <c r="K792" i="103"/>
  <c r="B133" i="74"/>
  <c r="B840" i="103" s="1"/>
  <c r="H96" i="74"/>
  <c r="J84" i="74"/>
  <c r="J791" i="103" s="1"/>
  <c r="J796" i="103" s="1"/>
  <c r="J803" i="103" s="1"/>
  <c r="K81" i="74"/>
  <c r="K788" i="103" s="1"/>
  <c r="C125" i="74"/>
  <c r="C832" i="103" s="1"/>
  <c r="I89" i="74"/>
  <c r="B109" i="74"/>
  <c r="B816" i="103" s="1"/>
  <c r="C108" i="74"/>
  <c r="C116" i="74" s="1"/>
  <c r="C823" i="103" s="1"/>
  <c r="B110" i="74"/>
  <c r="B817" i="103" s="1"/>
  <c r="B118" i="74"/>
  <c r="B115" i="74"/>
  <c r="B117" i="74"/>
  <c r="B824" i="103" s="1"/>
  <c r="K102" i="74" l="1"/>
  <c r="K809" i="103"/>
  <c r="B822" i="103"/>
  <c r="C133" i="74"/>
  <c r="C840" i="103" s="1"/>
  <c r="I96" i="74"/>
  <c r="J89" i="74"/>
  <c r="K84" i="74"/>
  <c r="K791" i="103" s="1"/>
  <c r="K796" i="103" s="1"/>
  <c r="K803" i="103" s="1"/>
  <c r="D108" i="74"/>
  <c r="D116" i="74" s="1"/>
  <c r="D823" i="103" s="1"/>
  <c r="C109" i="74"/>
  <c r="C816" i="103" s="1"/>
  <c r="C118" i="74"/>
  <c r="C110" i="74"/>
  <c r="C817" i="103" s="1"/>
  <c r="C115" i="74"/>
  <c r="C117" i="74"/>
  <c r="C824" i="103" s="1"/>
  <c r="D125" i="74"/>
  <c r="D832" i="103" s="1"/>
  <c r="B111" i="74"/>
  <c r="B818" i="103" s="1"/>
  <c r="B132" i="74" l="1"/>
  <c r="B839" i="103"/>
  <c r="C822" i="103"/>
  <c r="C839" i="103" s="1"/>
  <c r="C132" i="74"/>
  <c r="D133" i="74"/>
  <c r="D840" i="103" s="1"/>
  <c r="K89" i="74"/>
  <c r="J96" i="74"/>
  <c r="B114" i="74"/>
  <c r="B821" i="103" s="1"/>
  <c r="B826" i="103" s="1"/>
  <c r="B833" i="103" s="1"/>
  <c r="C111" i="74"/>
  <c r="C818" i="103" s="1"/>
  <c r="E125" i="74"/>
  <c r="E832" i="103" s="1"/>
  <c r="D118" i="74"/>
  <c r="D109" i="74"/>
  <c r="D816" i="103" s="1"/>
  <c r="E108" i="74"/>
  <c r="E116" i="74" s="1"/>
  <c r="E823" i="103" s="1"/>
  <c r="D110" i="74"/>
  <c r="D817" i="103" s="1"/>
  <c r="D115" i="74"/>
  <c r="D117" i="74"/>
  <c r="D824" i="103" s="1"/>
  <c r="D822" i="103" l="1"/>
  <c r="E133" i="74"/>
  <c r="E840" i="103" s="1"/>
  <c r="K96" i="74"/>
  <c r="B119" i="74"/>
  <c r="C114" i="74"/>
  <c r="C821" i="103" s="1"/>
  <c r="C826" i="103" s="1"/>
  <c r="C833" i="103" s="1"/>
  <c r="F125" i="74"/>
  <c r="F832" i="103" s="1"/>
  <c r="F108" i="74"/>
  <c r="F116" i="74" s="1"/>
  <c r="F823" i="103" s="1"/>
  <c r="E109" i="74"/>
  <c r="E816" i="103" s="1"/>
  <c r="E118" i="74"/>
  <c r="E110" i="74"/>
  <c r="E817" i="103" s="1"/>
  <c r="E115" i="74"/>
  <c r="E117" i="74"/>
  <c r="E824" i="103" s="1"/>
  <c r="D111" i="74"/>
  <c r="D818" i="103" s="1"/>
  <c r="D132" i="74" l="1"/>
  <c r="D839" i="103"/>
  <c r="E822" i="103"/>
  <c r="F133" i="74"/>
  <c r="F840" i="103" s="1"/>
  <c r="B126" i="74"/>
  <c r="C119" i="74"/>
  <c r="E111" i="74"/>
  <c r="E818" i="103" s="1"/>
  <c r="F118" i="74"/>
  <c r="F110" i="74"/>
  <c r="F817" i="103" s="1"/>
  <c r="F109" i="74"/>
  <c r="F816" i="103" s="1"/>
  <c r="F115" i="74"/>
  <c r="F117" i="74"/>
  <c r="F824" i="103" s="1"/>
  <c r="D114" i="74"/>
  <c r="D821" i="103" s="1"/>
  <c r="D826" i="103" s="1"/>
  <c r="D833" i="103" s="1"/>
  <c r="E132" i="74" l="1"/>
  <c r="E839" i="103"/>
  <c r="F822" i="103"/>
  <c r="C126" i="74"/>
  <c r="E114" i="74"/>
  <c r="E821" i="103" s="1"/>
  <c r="E826" i="103" s="1"/>
  <c r="E833" i="103" s="1"/>
  <c r="F111" i="74"/>
  <c r="F818" i="103" s="1"/>
  <c r="D119" i="74"/>
  <c r="F839" i="103" l="1"/>
  <c r="F132" i="74"/>
  <c r="D126" i="74"/>
  <c r="E119" i="74"/>
  <c r="F114" i="74"/>
  <c r="F821" i="103" s="1"/>
  <c r="F826" i="103" s="1"/>
  <c r="F833" i="103" s="1"/>
  <c r="E126" i="74" l="1"/>
  <c r="F119" i="74"/>
  <c r="F126" i="74" l="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<sst xmlns="http://schemas.openxmlformats.org/spreadsheetml/2006/main" count="19279" uniqueCount="7118">
  <si>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</si>
  <si>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</si>
  <si>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</si>
  <si>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</si>
  <si>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</si>
  <si>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</si>
  <si>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</si>
  <si>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</si>
  <si>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</si>
  <si>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</si>
  <si>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</si>
  <si>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</si>
  <si>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</si>
  <si>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</si>
  <si>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</si>
  <si>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</si>
  <si>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</si>
  <si>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</si>
  <si>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</si>
  <si>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</si>
  <si>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</si>
  <si>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</si>
  <si>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</si>
  <si>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</si>
  <si>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</si>
  <si>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</si>
  <si>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</si>
  <si>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</si>
  <si>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</si>
  <si>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</si>
  <si>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</si>
  <si>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</si>
  <si>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</si>
  <si>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</si>
  <si>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</si>
  <si>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</si>
  <si>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</si>
  <si>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</si>
  <si>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</si>
  <si>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</si>
  <si>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</si>
  <si>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</si>
  <si>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</si>
  <si>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</si>
  <si>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</si>
  <si>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</si>
  <si>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</si>
  <si>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</si>
  <si>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</si>
  <si>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</si>
  <si>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</si>
  <si>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</si>
  <si>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</si>
  <si>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</si>
  <si>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</si>
  <si>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</si>
  <si>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</si>
  <si>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</si>
  <si>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</si>
  <si>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</si>
  <si>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</si>
  <si>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</si>
  <si>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</si>
  <si>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</si>
  <si>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</si>
  <si>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</si>
  <si>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</si>
  <si>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</si>
  <si>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</si>
  <si>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</si>
  <si>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</si>
  <si>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</si>
  <si>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</si>
  <si>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</si>
  <si>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</si>
  <si>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</si>
  <si>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</si>
  <si>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</si>
  <si>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</si>
  <si>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</si>
  <si>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</si>
  <si>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</si>
  <si>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</si>
  <si>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</si>
  <si>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</si>
  <si>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</si>
  <si>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</si>
  <si>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</si>
  <si>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</si>
  <si>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</si>
  <si>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</si>
  <si>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</si>
  <si>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</si>
  <si>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</si>
  <si>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</si>
  <si>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</si>
  <si>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</si>
  <si>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</si>
  <si>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</si>
  <si>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</si>
  <si>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</si>
  <si>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</si>
  <si>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</si>
  <si>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</si>
  <si>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</si>
  <si>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</si>
  <si>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</si>
  <si>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</si>
  <si>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</si>
  <si>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</si>
  <si>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</si>
  <si>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</si>
  <si>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</si>
  <si>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</si>
  <si>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</si>
  <si>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</si>
  <si>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</si>
  <si>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</si>
  <si>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</si>
  <si>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</si>
  <si>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</si>
  <si>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</si>
  <si>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</si>
  <si>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</si>
  <si>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</si>
  <si>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</si>
  <si>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</si>
  <si>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</si>
  <si>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</si>
  <si>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</si>
  <si>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</si>
  <si>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</si>
  <si>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</si>
  <si>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</si>
  <si>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</si>
  <si>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</si>
  <si>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</si>
  <si>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</si>
  <si>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</si>
  <si>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</si>
  <si>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</si>
  <si>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</si>
  <si>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</si>
  <si>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</si>
  <si>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</si>
  <si>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</si>
  <si>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</si>
  <si>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</si>
  <si>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</si>
  <si>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</si>
  <si>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</si>
  <si>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</si>
  <si>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</si>
  <si>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</si>
  <si>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</si>
  <si>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</si>
  <si>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</si>
  <si>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</si>
  <si>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</si>
  <si>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</si>
  <si>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</si>
  <si>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</si>
  <si>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</si>
  <si>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</si>
  <si>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</si>
  <si>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</si>
  <si>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</si>
  <si>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</si>
  <si>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</si>
  <si>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</si>
  <si>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</si>
  <si>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</si>
  <si>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</si>
  <si>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</si>
  <si>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</si>
  <si>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</si>
  <si>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</si>
  <si>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</si>
  <si>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</si>
  <si>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</si>
  <si>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</si>
  <si>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</si>
  <si>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</si>
  <si>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</si>
  <si>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</si>
  <si>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</si>
  <si>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</si>
  <si>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</si>
  <si>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</si>
  <si>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</si>
  <si>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</si>
  <si>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</si>
  <si>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</si>
  <si>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</si>
  <si>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</si>
  <si>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</si>
  <si>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</si>
  <si>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</si>
  <si>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</si>
  <si>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</si>
  <si>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</si>
  <si>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</si>
  <si>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</si>
  <si>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</si>
  <si>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</si>
  <si>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</si>
  <si>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</si>
  <si>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</si>
  <si>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</si>
  <si>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</si>
  <si>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</si>
  <si>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</si>
  <si>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</si>
  <si>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</si>
  <si>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</si>
  <si>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</si>
  <si>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</si>
  <si>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</si>
  <si>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</si>
  <si>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</si>
  <si>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</si>
  <si>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</si>
  <si>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</si>
  <si>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</si>
  <si>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</si>
  <si>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</si>
  <si>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</si>
  <si>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</si>
  <si>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</si>
  <si>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</si>
  <si>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</si>
  <si>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</si>
  <si>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</si>
  <si>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</si>
  <si>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</si>
  <si>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</si>
  <si>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</si>
  <si>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</si>
  <si>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</si>
  <si>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</si>
  <si>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</si>
  <si>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</si>
  <si>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</si>
  <si>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</si>
  <si>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</si>
  <si>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</si>
  <si>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</si>
  <si>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</si>
  <si>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</si>
  <si>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</si>
  <si>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</si>
  <si>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</si>
  <si>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</si>
  <si>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</si>
  <si>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</si>
  <si>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</si>
  <si>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</si>
  <si>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</si>
  <si>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</si>
  <si>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</si>
  <si>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</si>
  <si>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</si>
  <si>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</si>
  <si>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</si>
  <si>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</si>
  <si>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</si>
  <si>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</si>
  <si>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</si>
  <si>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</si>
  <si>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</si>
  <si>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</si>
  <si>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</si>
  <si>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</si>
  <si>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</si>
  <si>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</si>
  <si>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</si>
  <si>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</si>
  <si>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</si>
  <si>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</si>
  <si>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</si>
  <si>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</si>
  <si>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</si>
  <si>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</si>
  <si>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</si>
  <si>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</si>
  <si>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</si>
  <si>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</si>
  <si>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</si>
  <si>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</si>
  <si>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</si>
  <si>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</si>
  <si>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</si>
  <si>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</si>
  <si>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</si>
  <si>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</si>
  <si>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</si>
  <si>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</si>
  <si>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</si>
  <si>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</si>
  <si>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</si>
  <si>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</si>
  <si>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</si>
  <si>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</si>
  <si>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</si>
  <si>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</si>
  <si>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</si>
  <si>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</si>
  <si>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</si>
  <si>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</si>
  <si>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</si>
  <si>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</si>
  <si>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</si>
  <si>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</si>
  <si>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</si>
  <si>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</si>
  <si>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</si>
  <si>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</si>
  <si>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</si>
  <si>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</si>
  <si>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</si>
  <si>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</si>
  <si>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</si>
  <si>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</si>
  <si>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</si>
  <si>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</si>
  <si>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</si>
  <si>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</si>
  <si>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</si>
  <si>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</si>
  <si>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</si>
  <si>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</si>
  <si>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</si>
  <si>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</si>
  <si>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</si>
  <si>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</si>
  <si>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</si>
  <si>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</si>
  <si>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</si>
  <si>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</si>
  <si>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</si>
  <si>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</si>
  <si>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</si>
  <si>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</si>
  <si>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</si>
  <si>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</si>
  <si>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</si>
  <si>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</si>
  <si>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</si>
  <si>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</si>
  <si>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</si>
  <si>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</si>
  <si>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</si>
  <si>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</si>
  <si>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</si>
  <si>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</si>
  <si>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</si>
  <si>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</si>
  <si>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</si>
  <si>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</si>
  <si>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</si>
  <si>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</si>
  <si>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</si>
  <si>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</si>
  <si>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</si>
  <si>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</si>
  <si>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</si>
  <si>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</si>
  <si>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</si>
  <si>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</si>
  <si>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</si>
  <si>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</si>
  <si>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</si>
  <si>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</si>
  <si>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</si>
  <si>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</si>
  <si>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</si>
  <si>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</si>
  <si>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</si>
  <si>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</si>
  <si>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</si>
  <si>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</si>
  <si>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</si>
  <si>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</si>
  <si>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</si>
  <si>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</si>
  <si>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</si>
  <si>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</si>
  <si>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</si>
  <si>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</si>
  <si>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</si>
  <si>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</si>
  <si>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</si>
  <si>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</si>
  <si>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</si>
  <si>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</si>
  <si>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</si>
  <si>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</si>
  <si>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</si>
  <si>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</si>
  <si>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</si>
  <si>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</si>
  <si>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</si>
  <si>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</si>
  <si>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</si>
  <si>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</si>
  <si>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</si>
  <si>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</si>
  <si>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</si>
  <si>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</si>
  <si>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</si>
  <si>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</si>
  <si>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</si>
  <si>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</si>
  <si>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</si>
  <si>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</si>
  <si>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</si>
  <si>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</si>
  <si>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</si>
  <si>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</si>
  <si>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</si>
  <si>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</si>
  <si>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</si>
  <si>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</si>
  <si>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</si>
  <si>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</si>
  <si>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</si>
  <si>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</si>
  <si>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</si>
  <si>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</si>
  <si>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</si>
  <si>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</si>
  <si>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</si>
  <si>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</si>
  <si>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</si>
  <si>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</si>
  <si>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</si>
  <si>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</si>
  <si>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</si>
  <si>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</si>
  <si>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</si>
  <si>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</si>
  <si>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</si>
  <si>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</si>
  <si>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</si>
  <si>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</si>
  <si>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</si>
  <si>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</si>
  <si>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</si>
  <si>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</si>
  <si>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</si>
  <si>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</si>
  <si>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</si>
  <si>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</si>
  <si>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</si>
  <si>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</si>
  <si>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</si>
  <si>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</si>
  <si>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</si>
  <si>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</si>
  <si>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</si>
  <si>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</si>
  <si>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</si>
  <si>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</si>
  <si>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</si>
  <si>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</si>
  <si>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</si>
  <si>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</si>
  <si>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</si>
  <si>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</si>
  <si>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</si>
  <si>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</si>
  <si>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</si>
  <si>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</si>
  <si>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</si>
  <si>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</si>
  <si>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</si>
  <si>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</si>
  <si>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</si>
  <si>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</si>
  <si>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</si>
  <si>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</si>
  <si>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</si>
  <si>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</si>
  <si>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</si>
  <si>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</si>
  <si>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</si>
  <si>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</si>
  <si>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</si>
  <si>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</si>
  <si>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</si>
  <si>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</si>
  <si>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</si>
  <si>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</si>
  <si>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</si>
  <si>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</si>
  <si>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</si>
  <si>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</si>
  <si>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</si>
  <si>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</si>
  <si>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</si>
  <si>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</si>
  <si>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</si>
  <si>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</si>
  <si>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</si>
  <si>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</si>
  <si>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</si>
  <si>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</si>
  <si>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</si>
  <si>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</si>
  <si>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</si>
  <si>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</si>
  <si>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</si>
  <si>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</si>
  <si>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</si>
  <si>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</si>
  <si>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</si>
  <si>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</si>
  <si>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</si>
  <si>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</si>
  <si>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</si>
  <si>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</si>
  <si>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</si>
  <si>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</si>
  <si>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</si>
  <si>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</si>
  <si>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</si>
  <si>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</si>
  <si>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</si>
  <si>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</si>
  <si>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</si>
  <si>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</si>
  <si>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</si>
  <si>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</si>
  <si>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</si>
  <si>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</si>
  <si>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</si>
  <si>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</si>
  <si>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</si>
  <si>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</si>
  <si>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</si>
  <si>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</si>
  <si>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</si>
  <si>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</si>
  <si>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</si>
  <si>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</si>
  <si>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</si>
  <si>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</si>
  <si>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</si>
  <si>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</si>
  <si>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</si>
  <si>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</si>
  <si>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</si>
  <si>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</si>
  <si>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</si>
  <si>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</si>
  <si>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</si>
  <si>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</si>
  <si>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</si>
  <si>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</si>
  <si>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</si>
  <si>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</si>
  <si>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</si>
  <si>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</si>
  <si>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</si>
  <si>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</si>
  <si>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</si>
  <si>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</si>
  <si>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</si>
  <si>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</si>
  <si>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</si>
  <si>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</si>
  <si>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</si>
  <si>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</si>
  <si>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</si>
  <si>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</si>
  <si>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</si>
  <si>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</si>
  <si>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</si>
  <si>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</si>
  <si>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</si>
  <si>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</si>
  <si>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</si>
  <si>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</si>
  <si>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</si>
  <si>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</si>
  <si>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</si>
  <si>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</si>
  <si>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</si>
  <si>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</si>
  <si>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</si>
  <si>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</si>
  <si>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</si>
  <si>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</si>
  <si>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</si>
  <si>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</si>
  <si>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</si>
  <si>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</si>
  <si>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</si>
  <si>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</si>
  <si>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</si>
  <si>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</si>
  <si>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</si>
  <si>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</si>
  <si>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</si>
  <si>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</si>
  <si>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</si>
  <si>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</si>
  <si>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</si>
  <si>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</si>
  <si>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</si>
  <si>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</si>
  <si>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</si>
  <si>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</si>
  <si>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</si>
  <si>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</si>
  <si>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</si>
  <si>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</si>
  <si>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</si>
  <si>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</si>
  <si>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</si>
  <si>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</si>
  <si>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</si>
  <si>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</si>
  <si>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</si>
  <si>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</si>
  <si>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</si>
  <si>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</si>
  <si>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</si>
  <si>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</si>
  <si>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</si>
  <si>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</si>
  <si>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</si>
  <si>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</si>
  <si>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</si>
  <si>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</si>
  <si>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</si>
  <si>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</si>
  <si>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</si>
  <si>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</si>
  <si>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</si>
  <si>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</si>
  <si>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</si>
  <si>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</si>
  <si>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</si>
  <si>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</si>
  <si>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</si>
  <si>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</si>
  <si>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</si>
  <si>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</si>
  <si>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</si>
  <si>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</si>
  <si>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</si>
  <si>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</si>
  <si>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</si>
  <si>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</si>
  <si>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</si>
  <si>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</si>
  <si>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</si>
  <si>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</si>
  <si>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</si>
  <si>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</si>
  <si>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</si>
  <si>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</si>
  <si>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</si>
  <si>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</si>
  <si>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</si>
  <si>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</si>
  <si>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</si>
  <si>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</si>
  <si>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</si>
  <si>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</si>
  <si>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</si>
  <si>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</si>
  <si>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</si>
  <si>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</si>
  <si>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</si>
  <si>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</si>
  <si>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</si>
  <si>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</si>
  <si>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</si>
  <si>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</si>
  <si>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</si>
  <si>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</si>
  <si>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</si>
  <si>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</si>
  <si>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</si>
  <si>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</si>
  <si>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</si>
  <si>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</si>
  <si>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</si>
  <si>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</si>
  <si>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</si>
  <si>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</si>
  <si>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</si>
  <si>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</si>
  <si>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</si>
  <si>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</si>
  <si>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</si>
  <si>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</si>
  <si>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</si>
  <si>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</si>
  <si>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</si>
  <si>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</si>
  <si>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</si>
  <si>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</si>
  <si>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</si>
  <si>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</si>
  <si>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</si>
  <si>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</si>
  <si>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</si>
  <si>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</si>
  <si>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</si>
  <si>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</si>
  <si>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</si>
  <si>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</si>
  <si>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</si>
  <si>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</si>
  <si>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</si>
  <si>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</si>
  <si>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</si>
  <si>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</si>
  <si>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</si>
  <si>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</si>
  <si>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</si>
  <si>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</si>
  <si>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</si>
  <si>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</si>
  <si>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</si>
  <si>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</si>
  <si>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</si>
  <si>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</si>
  <si>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</si>
  <si>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</si>
  <si>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</si>
  <si>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</si>
  <si>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</si>
  <si>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</si>
  <si>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</si>
  <si>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</si>
  <si>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</si>
  <si>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</si>
  <si>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</si>
  <si>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</si>
  <si>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</si>
  <si>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</si>
  <si>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</si>
  <si>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</si>
  <si>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</si>
  <si>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</si>
  <si>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</si>
  <si>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</si>
  <si>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</si>
  <si>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</si>
  <si>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</si>
  <si>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</si>
  <si>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</si>
  <si>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</si>
  <si>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</si>
  <si>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</si>
  <si>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</si>
  <si>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</si>
  <si>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</si>
  <si>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</si>
  <si>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</si>
  <si>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</si>
  <si>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</si>
  <si>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</si>
  <si>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</si>
  <si>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</si>
  <si>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</si>
  <si>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</si>
  <si>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</si>
  <si>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</si>
  <si>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</si>
  <si>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</si>
  <si>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</si>
  <si>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</si>
  <si>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</si>
  <si>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</si>
  <si>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</si>
  <si>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</si>
  <si>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</si>
  <si>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</si>
  <si>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</si>
  <si>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</si>
  <si>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</si>
  <si>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</si>
  <si>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</si>
  <si>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</si>
  <si>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</si>
  <si>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</si>
  <si>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</si>
  <si>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</si>
  <si>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</si>
  <si>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</si>
  <si>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</si>
  <si>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</si>
  <si>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</si>
  <si>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</si>
  <si>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</si>
  <si>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</si>
  <si>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</si>
  <si>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</si>
  <si>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</si>
  <si>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</si>
  <si>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</si>
  <si>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</si>
  <si>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</si>
  <si>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</si>
  <si>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</si>
  <si>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</si>
  <si>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</si>
  <si>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</si>
  <si>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</si>
  <si>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</si>
  <si>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</si>
  <si>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</si>
  <si>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</si>
  <si>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</si>
  <si>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</si>
  <si>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</si>
  <si>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</si>
  <si>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</si>
  <si>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</si>
  <si>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</si>
  <si>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</si>
  <si>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</si>
  <si>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</si>
  <si>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</si>
  <si>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</si>
  <si>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</si>
  <si>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</si>
  <si>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</si>
  <si>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</si>
  <si>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</si>
  <si>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</si>
  <si>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</si>
  <si>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</si>
  <si>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</si>
  <si>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</si>
  <si>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</si>
  <si>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</si>
  <si>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</si>
  <si>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</si>
  <si>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</si>
  <si>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</si>
  <si>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</si>
  <si>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</si>
  <si>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</si>
  <si>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</si>
  <si>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</si>
  <si>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</si>
  <si>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</si>
  <si>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</si>
  <si>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</si>
  <si>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</si>
  <si>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</si>
  <si>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</si>
  <si>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</si>
  <si>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</si>
  <si>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</si>
  <si>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</si>
  <si>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</si>
  <si>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</si>
  <si>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</si>
  <si>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</si>
  <si>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</si>
  <si>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</si>
  <si>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</si>
  <si>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</si>
  <si>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</si>
  <si>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</si>
  <si>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</si>
  <si>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</si>
  <si>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</si>
  <si>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</si>
  <si>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</si>
  <si>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</si>
  <si>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</si>
  <si>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</si>
  <si>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</si>
  <si>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</si>
  <si>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</si>
  <si>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</si>
  <si>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</si>
  <si>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</si>
  <si>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</si>
  <si>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</si>
  <si>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</si>
  <si>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</si>
  <si>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</si>
  <si>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</si>
  <si>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</si>
  <si>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</si>
  <si>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</si>
  <si>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</si>
  <si>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</si>
  <si>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</si>
  <si>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</si>
  <si>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</si>
  <si>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</si>
  <si>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</si>
  <si>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</si>
  <si>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</si>
  <si>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</si>
  <si>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</si>
  <si>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</si>
  <si>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</si>
  <si>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</si>
  <si>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</si>
  <si>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</si>
  <si>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</si>
  <si>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</si>
  <si>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</si>
  <si>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</si>
  <si>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</si>
  <si>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</si>
  <si>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</si>
  <si>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</si>
  <si>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</si>
  <si>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</si>
  <si>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</si>
  <si>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</si>
  <si>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</si>
  <si>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</si>
  <si>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</si>
  <si>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</si>
  <si>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</si>
  <si>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</si>
  <si>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</si>
  <si>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</si>
  <si>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</si>
  <si>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</si>
  <si>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</si>
  <si>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</si>
  <si>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</si>
  <si>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</si>
  <si>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</si>
  <si>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</si>
  <si>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</si>
  <si>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</si>
  <si>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</si>
  <si>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</si>
  <si>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</si>
  <si>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</si>
  <si>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</si>
  <si>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</si>
  <si>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</si>
  <si>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</si>
  <si>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</si>
  <si>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</si>
  <si>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</si>
  <si>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</si>
  <si>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</si>
  <si>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</si>
  <si>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</si>
  <si>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</si>
  <si>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</si>
  <si>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</si>
  <si>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</si>
  <si>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</si>
  <si>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</si>
  <si>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</si>
  <si>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</si>
  <si>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</si>
  <si>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</si>
  <si>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</si>
  <si>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</si>
  <si>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</si>
  <si>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</si>
  <si>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</si>
  <si>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</si>
  <si>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</si>
  <si>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</si>
  <si>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</si>
  <si>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</si>
  <si>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</si>
  <si>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</si>
  <si>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</si>
  <si>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</si>
  <si>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</si>
  <si>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</si>
  <si>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</si>
  <si>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</si>
  <si>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</si>
  <si>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</si>
  <si>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</si>
  <si>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</si>
  <si>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</si>
  <si>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</si>
  <si>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</si>
  <si>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</si>
  <si>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</si>
  <si>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</si>
  <si>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</si>
  <si>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</si>
  <si>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</si>
  <si>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</si>
  <si>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</si>
  <si>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</si>
  <si>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</si>
  <si>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</si>
  <si>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</si>
  <si>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</si>
  <si>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</si>
  <si>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</si>
  <si>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</si>
  <si>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</si>
  <si>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</si>
  <si>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</si>
  <si>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</si>
  <si>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</si>
  <si>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</si>
  <si>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</si>
  <si>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</si>
  <si>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</si>
  <si>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</si>
  <si>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</si>
  <si>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</si>
  <si>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</si>
  <si>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</si>
  <si>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</si>
  <si>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</si>
  <si>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</si>
  <si>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</si>
  <si>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</si>
  <si>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</si>
  <si>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</si>
  <si>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</si>
  <si>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</si>
  <si>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</si>
  <si>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</si>
  <si>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</si>
  <si>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</si>
  <si>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</si>
  <si>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</si>
  <si>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</si>
  <si>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</si>
  <si>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</si>
  <si>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</si>
  <si>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</si>
  <si>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</si>
  <si>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</si>
  <si>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</si>
  <si>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</si>
  <si>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</si>
  <si>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</si>
  <si>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</si>
  <si>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</si>
  <si>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</si>
  <si>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</si>
  <si>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</si>
  <si>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</si>
  <si>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</si>
  <si>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</si>
  <si>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</si>
  <si>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</si>
  <si>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</si>
  <si>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</si>
  <si>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</si>
  <si>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</si>
  <si>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</si>
  <si>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</si>
  <si>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</si>
  <si>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</si>
  <si>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</si>
  <si>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</si>
  <si>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</si>
  <si>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</si>
  <si>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</si>
  <si>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</si>
  <si>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</si>
  <si>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</si>
  <si>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</si>
  <si>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</si>
  <si>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</si>
  <si>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</si>
  <si>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</si>
  <si>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</si>
  <si>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</si>
  <si>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</si>
  <si>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</si>
  <si>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</si>
  <si>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</si>
  <si>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</si>
  <si>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</si>
  <si>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</si>
  <si>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</si>
  <si>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</si>
  <si>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</si>
  <si>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</si>
  <si>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</si>
  <si>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</si>
  <si>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</si>
  <si>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</si>
  <si>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</si>
  <si>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</si>
  <si>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</si>
  <si>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</si>
  <si>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</si>
  <si>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</si>
  <si>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</si>
  <si>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</si>
  <si>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</si>
  <si>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</si>
  <si>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</si>
  <si>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</si>
  <si>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</si>
  <si>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</si>
  <si>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</si>
  <si>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</si>
  <si>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</si>
  <si>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</si>
  <si>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</si>
  <si>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</si>
  <si>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</si>
  <si>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</si>
  <si>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</si>
  <si>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</si>
  <si>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</si>
  <si>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</si>
  <si>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</si>
  <si>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</si>
  <si>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</si>
  <si>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</si>
  <si>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</si>
  <si>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</si>
  <si>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</si>
  <si>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</si>
  <si>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</si>
  <si>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</si>
  <si>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</si>
  <si>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</si>
  <si>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</si>
  <si>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</si>
  <si>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</si>
  <si>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</si>
  <si>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</si>
  <si>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</si>
  <si>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</si>
  <si>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</si>
  <si>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</si>
  <si>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</si>
  <si>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</si>
  <si>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</si>
  <si>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</si>
  <si>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</si>
  <si>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</si>
  <si>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</si>
  <si>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</si>
  <si>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</si>
  <si>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</si>
  <si>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</si>
  <si>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</si>
  <si>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</si>
  <si>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</si>
  <si>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</si>
  <si>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</si>
  <si>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</si>
  <si>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</si>
  <si>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</si>
  <si>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</si>
  <si>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</si>
  <si>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</si>
  <si>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</si>
  <si>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</si>
  <si>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</si>
  <si>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</si>
  <si>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</si>
  <si>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</si>
  <si>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</si>
  <si>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</si>
  <si>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</si>
  <si>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</si>
  <si>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</si>
  <si>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</si>
  <si>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</si>
  <si>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</si>
  <si>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</si>
  <si>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</si>
  <si>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</si>
  <si>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</si>
  <si>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</si>
  <si>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</si>
  <si>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</si>
  <si>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</si>
  <si>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</si>
  <si>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</si>
  <si>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</si>
  <si>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</si>
  <si>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</si>
  <si>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</si>
  <si>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</si>
  <si>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</si>
  <si>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</si>
  <si>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</si>
  <si>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</si>
  <si>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</si>
  <si>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</si>
  <si>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</si>
  <si>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</si>
  <si>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</si>
  <si>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</si>
  <si>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</si>
  <si>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</si>
  <si>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</si>
  <si>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</si>
  <si>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</si>
  <si>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</si>
  <si>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</si>
  <si>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</si>
  <si>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</si>
  <si>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</si>
  <si>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</si>
  <si>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</si>
  <si>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</si>
  <si>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</si>
  <si>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</si>
  <si>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</si>
  <si>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</si>
  <si>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</si>
  <si>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</si>
  <si>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</si>
  <si>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</si>
  <si>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</si>
  <si>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</si>
  <si>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</si>
  <si>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</si>
  <si>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</si>
  <si>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</si>
  <si>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</si>
  <si>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</si>
  <si>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</si>
  <si>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</si>
  <si>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</si>
  <si>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</si>
  <si>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</si>
  <si>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</si>
  <si>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</si>
  <si>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</si>
  <si>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</si>
  <si>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</si>
  <si>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</si>
  <si>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</si>
  <si>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</si>
  <si>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</si>
  <si>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</si>
  <si>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</si>
  <si>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</si>
  <si>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</si>
  <si>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</si>
  <si>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</si>
  <si>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</si>
  <si>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</si>
  <si>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</si>
  <si>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</si>
  <si>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</si>
  <si>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</si>
  <si>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</si>
  <si>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</si>
  <si>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</si>
  <si>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</si>
  <si>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</si>
  <si>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</si>
  <si>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</si>
  <si>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</si>
  <si>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</si>
  <si>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</si>
  <si>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</si>
  <si>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</si>
  <si>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</si>
  <si>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</si>
  <si>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</si>
  <si>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</si>
  <si>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</si>
  <si>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</si>
  <si>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</si>
  <si>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</si>
  <si>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</si>
  <si>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</si>
  <si>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</si>
  <si>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</si>
  <si>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</si>
  <si>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</si>
  <si>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</si>
  <si>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</si>
  <si>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</si>
  <si>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</si>
  <si>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</si>
  <si>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</si>
  <si>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</si>
  <si>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</si>
  <si>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</si>
  <si>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</si>
  <si>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</si>
  <si>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</si>
  <si>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</si>
  <si>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</si>
  <si>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</si>
  <si>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</si>
  <si>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</si>
  <si>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</si>
  <si>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</si>
  <si>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</si>
  <si>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</si>
  <si>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</si>
  <si>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</si>
  <si>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</si>
  <si>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</si>
  <si>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</si>
  <si>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</si>
  <si>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</si>
  <si>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</si>
  <si>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</si>
  <si>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</si>
  <si>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</si>
  <si>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</si>
  <si>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</si>
  <si>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</si>
  <si>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</si>
  <si>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</si>
  <si>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</si>
  <si>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</si>
  <si>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</si>
  <si>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</si>
  <si>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</si>
  <si>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</si>
  <si>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</si>
  <si>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</si>
  <si>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</si>
  <si>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</si>
  <si>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</si>
  <si>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</si>
  <si>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</si>
  <si>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</si>
  <si>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</si>
  <si>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</si>
  <si>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</si>
  <si>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</si>
  <si>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</si>
  <si>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</si>
  <si>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</si>
  <si>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</si>
  <si>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</si>
  <si>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</si>
  <si>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</si>
  <si>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</si>
  <si>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</si>
  <si>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</si>
  <si>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</si>
  <si>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</si>
  <si>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</si>
  <si>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</si>
  <si>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</si>
  <si>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</si>
  <si>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</si>
  <si>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</si>
  <si>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</si>
  <si>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</si>
  <si>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</si>
  <si>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</si>
  <si>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</si>
  <si>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</si>
  <si>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</si>
  <si>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</si>
  <si>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</si>
  <si>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</si>
  <si>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</si>
  <si>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</si>
  <si>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</si>
  <si>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</si>
  <si>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</si>
  <si>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</si>
  <si>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</si>
  <si>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</si>
  <si>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</si>
  <si>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</si>
  <si>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</si>
  <si>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</si>
  <si>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</si>
  <si>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</si>
  <si>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</si>
  <si>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</si>
  <si>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</si>
  <si>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</si>
  <si>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</si>
  <si>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</si>
  <si>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</si>
  <si>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</si>
  <si>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</si>
  <si>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</si>
  <si>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</si>
  <si>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</si>
  <si>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</si>
  <si>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</si>
  <si>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</si>
  <si>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</si>
  <si>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</si>
  <si>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</si>
  <si>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</si>
  <si>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</si>
  <si>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</si>
  <si>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</si>
  <si>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</si>
  <si>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</si>
  <si>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</si>
  <si>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</si>
  <si>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</si>
  <si>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</si>
  <si>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</si>
  <si>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</si>
  <si>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</si>
  <si>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</si>
  <si>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</si>
  <si>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</si>
  <si>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</si>
  <si>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</si>
  <si>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</si>
  <si>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</si>
  <si>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</si>
  <si>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</si>
  <si>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</si>
  <si>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</si>
  <si>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</si>
  <si>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</si>
  <si>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</si>
  <si>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</si>
  <si>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</si>
  <si>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</si>
  <si>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</si>
  <si>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</si>
  <si>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</si>
  <si>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</si>
  <si>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</si>
  <si>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</si>
  <si>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</si>
  <si>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</si>
  <si>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</si>
  <si>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</si>
  <si>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</si>
  <si>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</si>
  <si>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</si>
  <si>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</si>
  <si>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</si>
  <si>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</si>
  <si>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</si>
  <si>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</si>
  <si>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</si>
  <si>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</si>
  <si>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</si>
  <si>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</si>
  <si>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</si>
  <si>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</si>
  <si>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</si>
  <si>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</si>
  <si>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</si>
  <si>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</si>
  <si>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</si>
  <si>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</si>
  <si>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</si>
  <si>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</si>
  <si>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</si>
  <si>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</si>
  <si>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</si>
  <si>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</si>
  <si>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</si>
  <si>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</si>
  <si>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</si>
  <si>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</si>
  <si>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</si>
  <si>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</si>
  <si>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</si>
  <si>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</si>
  <si>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</si>
  <si>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</si>
  <si>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</si>
  <si>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</si>
  <si>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</si>
  <si>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</si>
  <si>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</si>
  <si>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</si>
  <si>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</si>
  <si>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</si>
  <si>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</si>
  <si>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</si>
  <si>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</si>
  <si>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</si>
  <si>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</si>
  <si>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</si>
  <si>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</si>
  <si>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</si>
  <si>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</si>
  <si>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</si>
  <si>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</si>
  <si>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</si>
  <si>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</si>
  <si>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</si>
  <si>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</si>
  <si>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</si>
  <si>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</si>
  <si>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</si>
  <si>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</si>
  <si>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</si>
  <si>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</si>
  <si>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</si>
  <si>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</si>
  <si>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</si>
  <si>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</si>
  <si>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</si>
  <si>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</si>
  <si>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</si>
  <si>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</si>
  <si>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</si>
  <si>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</si>
  <si>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</si>
  <si>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</si>
  <si>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</si>
  <si>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</si>
  <si>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</si>
  <si>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</si>
  <si>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</si>
  <si>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</si>
  <si>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</si>
  <si>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</si>
  <si>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</si>
  <si>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</si>
  <si>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</si>
  <si>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</si>
  <si>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</si>
  <si>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</si>
  <si>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</si>
  <si>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</si>
  <si>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</si>
  <si>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</si>
  <si>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</si>
  <si>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</si>
  <si>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</si>
  <si>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</si>
  <si>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</si>
  <si>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</si>
  <si>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</si>
  <si>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</si>
  <si>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</si>
  <si>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</si>
  <si>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</si>
  <si>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</si>
  <si>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</si>
  <si>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</si>
  <si>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</si>
  <si>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</si>
  <si>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</si>
  <si>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</si>
  <si>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</si>
  <si>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</si>
  <si>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</si>
  <si>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</si>
  <si>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</si>
  <si>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</si>
  <si>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</si>
  <si>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</si>
  <si>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</si>
  <si>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</si>
  <si>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</si>
  <si>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</si>
  <si>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</si>
  <si>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</si>
  <si>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</si>
  <si>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</si>
  <si>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</si>
  <si>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</si>
  <si>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</si>
  <si>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</si>
  <si>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</si>
  <si>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</si>
  <si>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</si>
  <si>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</si>
  <si>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</si>
  <si>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</si>
  <si>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</si>
  <si>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</si>
  <si>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</si>
  <si>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</si>
  <si>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</si>
  <si>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</si>
  <si>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</si>
  <si>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</si>
  <si>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</si>
  <si>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</si>
  <si>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</si>
  <si>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</si>
  <si>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</si>
  <si>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</si>
  <si>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</si>
  <si>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</si>
  <si>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</si>
  <si>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</si>
  <si>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</si>
  <si>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</si>
  <si>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</si>
  <si>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</si>
  <si>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</si>
  <si>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</si>
  <si>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</si>
  <si>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</si>
  <si>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</si>
  <si>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</si>
  <si>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</si>
  <si>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</si>
  <si>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</si>
  <si>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</si>
  <si>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</si>
  <si>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</si>
  <si>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</si>
  <si>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</si>
  <si>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</si>
  <si>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</si>
  <si>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</si>
  <si>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</si>
  <si>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</si>
  <si>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</si>
  <si>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</si>
  <si>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</si>
  <si>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</si>
  <si>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</si>
  <si>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</si>
  <si>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</si>
  <si>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</si>
  <si>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</si>
  <si>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</si>
  <si>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</si>
  <si>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</si>
  <si>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</si>
  <si>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</si>
  <si>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</si>
  <si>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</si>
  <si>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</si>
  <si>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</si>
  <si>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</si>
  <si>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</si>
  <si>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</si>
  <si>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</si>
  <si>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</si>
  <si>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</si>
  <si>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</si>
  <si>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</si>
  <si>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</si>
  <si>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</si>
  <si>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</si>
  <si>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</si>
  <si>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</si>
  <si>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</si>
  <si>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</si>
  <si>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</si>
  <si>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</si>
  <si>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</si>
  <si>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</si>
  <si>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</si>
  <si>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</si>
  <si>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</si>
  <si>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</si>
  <si>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</si>
  <si>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</si>
  <si>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</si>
  <si>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</si>
  <si>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</si>
  <si>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</si>
  <si>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</si>
  <si>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</si>
  <si>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</si>
  <si>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</si>
  <si>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</si>
  <si>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</si>
  <si>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</si>
  <si>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</si>
  <si>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</si>
  <si>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</si>
  <si>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</si>
  <si>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</si>
  <si>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</si>
  <si>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</si>
  <si>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</si>
  <si>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</si>
  <si>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</si>
  <si>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</si>
  <si>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</si>
  <si>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</si>
  <si>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</si>
  <si>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</si>
  <si>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</si>
  <si>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</si>
  <si>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</si>
  <si>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</si>
  <si>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</si>
  <si>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</si>
  <si>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</si>
  <si>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</si>
  <si>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</si>
  <si>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</si>
  <si>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</si>
  <si>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</si>
  <si>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</si>
  <si>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</si>
  <si>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</si>
  <si>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</si>
  <si>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</si>
  <si>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</si>
  <si>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</si>
  <si>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</si>
  <si>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</si>
  <si>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</si>
  <si>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</si>
  <si>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</si>
  <si>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</si>
  <si>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</si>
  <si>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</si>
  <si>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</si>
  <si>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</si>
  <si>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</si>
  <si>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</si>
  <si>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</si>
  <si>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</si>
  <si>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</si>
  <si>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</si>
  <si>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</si>
  <si>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</si>
  <si>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</si>
  <si>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</si>
  <si>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</si>
  <si>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</si>
  <si>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</si>
  <si>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</si>
  <si>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</si>
  <si>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</si>
  <si>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</si>
  <si>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</si>
  <si>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</si>
  <si>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</si>
  <si>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</si>
  <si>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</si>
  <si>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</si>
  <si>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</si>
  <si>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</si>
  <si>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</si>
  <si>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</si>
  <si>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</si>
  <si>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</si>
  <si>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</si>
  <si>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</si>
  <si>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</si>
  <si>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</si>
  <si>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</si>
  <si>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</si>
  <si>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</si>
  <si>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</si>
  <si>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</si>
  <si>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</si>
  <si>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</si>
  <si>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</si>
  <si>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</si>
  <si>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</si>
  <si>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</si>
  <si>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</si>
  <si>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</si>
  <si>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</si>
  <si>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</si>
  <si>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</si>
  <si>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</si>
  <si>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</si>
  <si>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</si>
  <si>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</si>
  <si>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</si>
  <si>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</si>
  <si>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</si>
  <si>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</si>
  <si>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</si>
  <si>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</si>
  <si>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</si>
  <si>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</si>
  <si>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</si>
  <si>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</si>
  <si>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</si>
  <si>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</si>
  <si>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</si>
  <si>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</si>
  <si>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</si>
  <si>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</si>
  <si>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</si>
  <si>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</si>
  <si>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</si>
  <si>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</si>
  <si>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</si>
  <si>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</si>
  <si>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</si>
  <si>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</si>
  <si>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</si>
  <si>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</si>
  <si>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</si>
  <si>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</si>
  <si>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</si>
  <si>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</si>
  <si>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</si>
  <si>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</si>
  <si>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</si>
  <si>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</si>
  <si>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</si>
  <si>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</si>
  <si>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</si>
  <si>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</si>
  <si>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</si>
  <si>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</si>
  <si>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</si>
  <si>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</si>
  <si>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</si>
  <si>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</si>
  <si>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</si>
  <si>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</si>
  <si>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</si>
  <si>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</si>
  <si>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</si>
  <si>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</si>
  <si>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</si>
  <si>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</si>
  <si>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</si>
  <si>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</si>
  <si>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</si>
  <si>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</si>
  <si>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</si>
  <si>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</si>
  <si>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</si>
  <si>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</si>
  <si>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</si>
  <si>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</si>
  <si>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</si>
  <si>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</si>
  <si>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</si>
  <si>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</si>
  <si>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</si>
  <si>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</si>
  <si>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</si>
  <si>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</si>
  <si>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</si>
  <si>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</si>
  <si>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</si>
  <si>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</si>
  <si>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</si>
  <si>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</si>
  <si>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</si>
  <si>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</si>
  <si>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</si>
  <si>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</si>
  <si>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</si>
  <si>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</si>
  <si>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</si>
  <si>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</si>
  <si>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</si>
  <si>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</si>
  <si>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</si>
  <si>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</si>
  <si>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</si>
  <si>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</si>
  <si>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</si>
  <si>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</si>
  <si>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</si>
  <si>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</si>
  <si>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</si>
  <si>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</si>
  <si>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</si>
  <si>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</si>
  <si>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</si>
  <si>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</si>
  <si>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</si>
  <si>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</si>
  <si>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</si>
  <si>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</si>
  <si>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</si>
  <si>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</si>
  <si>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</si>
  <si>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</si>
  <si>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</si>
  <si>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</si>
  <si>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</si>
  <si>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</si>
  <si>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</si>
  <si>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</si>
  <si>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</si>
  <si>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</si>
  <si>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</si>
  <si>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</si>
  <si>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</si>
  <si>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</si>
  <si>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</si>
  <si>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</si>
  <si>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</si>
  <si>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</si>
  <si>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</si>
  <si>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</si>
  <si>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</si>
  <si>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</si>
  <si>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</si>
  <si>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</si>
  <si>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</si>
  <si>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</si>
  <si>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</si>
  <si>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</si>
  <si>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</si>
  <si>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</si>
  <si>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</si>
  <si>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</si>
  <si>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</si>
  <si>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</si>
  <si>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</si>
  <si>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</si>
  <si>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</si>
  <si>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</si>
  <si>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</si>
  <si>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</si>
  <si>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</si>
  <si>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</si>
  <si>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</si>
  <si>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</si>
  <si>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</si>
  <si>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</si>
  <si>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</si>
  <si>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</si>
  <si>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</si>
  <si>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</si>
  <si>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</si>
  <si>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</si>
  <si>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</si>
  <si>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</si>
  <si>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</si>
  <si>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</si>
  <si>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</si>
  <si>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</si>
  <si>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</si>
  <si>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</si>
  <si>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</si>
  <si>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</si>
  <si>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</si>
  <si>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</si>
  <si>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</si>
  <si>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</si>
  <si>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</si>
  <si>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</si>
  <si>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</si>
  <si>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</si>
  <si>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</si>
  <si>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</si>
  <si>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</si>
  <si>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</si>
  <si>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</si>
  <si>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</si>
  <si>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</si>
  <si>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</si>
  <si>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</si>
  <si>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</si>
  <si>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</si>
  <si>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</si>
  <si>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</si>
  <si>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</si>
  <si>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</si>
  <si>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</si>
  <si>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</si>
  <si>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</si>
  <si>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</si>
  <si>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</si>
  <si>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</si>
  <si>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</si>
  <si>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</si>
  <si>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</si>
  <si>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</si>
  <si>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</si>
  <si>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</si>
  <si>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</si>
  <si>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</si>
  <si>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</si>
  <si>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</si>
  <si>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</si>
  <si>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</si>
  <si>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</si>
  <si>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</si>
  <si>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</si>
  <si>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</si>
  <si>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</si>
  <si>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</si>
  <si>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</si>
  <si>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</si>
  <si>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</si>
  <si>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</si>
  <si>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</si>
  <si>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</si>
  <si>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</si>
  <si>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</si>
  <si>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</si>
  <si>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</si>
  <si>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</si>
  <si>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</si>
  <si>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</si>
  <si>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</si>
  <si>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</si>
  <si>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</si>
  <si>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</si>
  <si>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</si>
  <si>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</si>
  <si>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</si>
  <si>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</si>
  <si>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</si>
  <si>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</si>
  <si>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</si>
  <si>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</si>
  <si>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</si>
  <si>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</si>
  <si>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</si>
  <si>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</si>
  <si>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</si>
  <si>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</si>
  <si>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</si>
  <si>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</si>
  <si>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</si>
  <si>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</si>
  <si>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</si>
  <si>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</si>
  <si>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</si>
  <si>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</si>
  <si>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</si>
  <si>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</si>
  <si>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</si>
  <si>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</si>
  <si>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</si>
  <si>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</si>
  <si>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</si>
  <si>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</si>
  <si>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</si>
  <si>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</si>
  <si>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</si>
  <si>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</si>
  <si>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</si>
  <si>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</si>
  <si>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</si>
  <si>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</si>
  <si>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</si>
  <si>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</si>
  <si>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</si>
  <si>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</si>
  <si>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</si>
  <si>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</si>
  <si>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</si>
  <si>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</si>
  <si>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</si>
  <si>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</si>
  <si>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</si>
  <si>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</si>
  <si>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</si>
  <si>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</si>
  <si>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</si>
  <si>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</si>
  <si>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</si>
  <si>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</si>
  <si>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</si>
  <si>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</si>
  <si>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</si>
  <si>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</si>
  <si>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</si>
  <si>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</si>
  <si>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</si>
  <si>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</si>
  <si>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</si>
  <si>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</si>
  <si>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</si>
  <si>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</si>
  <si>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</si>
  <si>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</si>
  <si>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</si>
  <si>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</si>
  <si>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</si>
  <si>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</si>
  <si>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</si>
  <si>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</si>
  <si>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</si>
  <si>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</si>
  <si>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</si>
  <si>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</si>
  <si>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</si>
  <si>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</si>
  <si>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</si>
  <si>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</si>
  <si>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</si>
  <si>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</si>
  <si>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</si>
  <si>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</si>
  <si>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</si>
  <si>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</si>
  <si>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</si>
  <si>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</si>
  <si>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</si>
  <si>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</si>
  <si>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</si>
  <si>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</si>
  <si>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</si>
  <si>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</si>
  <si>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</si>
  <si>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</si>
  <si>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</si>
  <si>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</si>
  <si>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</si>
  <si>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</si>
  <si>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</si>
  <si>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</si>
  <si>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</si>
  <si>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</si>
  <si>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</si>
  <si>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</si>
  <si>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</si>
  <si>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</si>
  <si>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</si>
  <si>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</si>
  <si>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</si>
  <si>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</si>
  <si>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</si>
  <si>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</si>
  <si>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</si>
  <si>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</si>
  <si>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</si>
  <si>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</si>
  <si>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</si>
  <si>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</si>
  <si>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</si>
  <si>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</si>
  <si>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</si>
  <si>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</si>
  <si>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</si>
  <si>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</si>
  <si>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</si>
  <si>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</si>
  <si>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</si>
  <si>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</si>
  <si>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</si>
  <si>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</si>
  <si>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</si>
  <si>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</si>
  <si>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</si>
  <si>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</si>
  <si>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</si>
  <si>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</si>
  <si>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</si>
  <si>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</si>
  <si>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</si>
  <si>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</si>
  <si>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</si>
  <si>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</si>
  <si>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</si>
  <si>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</si>
  <si>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</si>
  <si>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</si>
  <si>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</si>
  <si>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</si>
  <si>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</si>
  <si>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</si>
  <si>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</si>
  <si>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</si>
  <si>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</si>
  <si>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</si>
  <si>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</si>
  <si>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</si>
  <si>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</si>
  <si>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</si>
  <si>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</si>
  <si>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</si>
  <si>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</si>
  <si>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</si>
  <si>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</si>
  <si>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</si>
  <si>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</si>
  <si>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</si>
  <si>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</si>
  <si>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</si>
  <si>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</si>
  <si>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</si>
  <si>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</si>
  <si>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</si>
  <si>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</si>
  <si>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</si>
  <si>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</si>
  <si>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</si>
  <si>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</si>
  <si>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</si>
  <si>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</si>
  <si>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</si>
  <si>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</si>
  <si>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</si>
  <si>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</si>
  <si>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</si>
  <si>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</si>
  <si>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</si>
  <si>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</si>
  <si>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</si>
  <si>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</si>
  <si>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</si>
  <si>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</si>
  <si>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</si>
  <si>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</si>
  <si>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</si>
  <si>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</si>
  <si>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</si>
  <si>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</si>
  <si>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</si>
  <si>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</si>
  <si>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</si>
  <si>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</si>
  <si>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</si>
  <si>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</si>
  <si>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</si>
  <si>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</si>
  <si>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</si>
  <si>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</si>
  <si>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</si>
  <si>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</si>
  <si>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</si>
  <si>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</si>
  <si>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</si>
  <si>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</si>
  <si>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</si>
  <si>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</si>
  <si>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</si>
  <si>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</si>
  <si>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</si>
  <si>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</si>
  <si>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</si>
  <si>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</si>
  <si>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</si>
  <si>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</si>
  <si>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</si>
  <si>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</si>
  <si>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</si>
  <si>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</si>
  <si>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</si>
  <si>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</si>
  <si>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</si>
  <si>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</si>
  <si>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</si>
  <si>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</si>
  <si>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</si>
  <si>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</si>
  <si>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</si>
  <si>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</si>
  <si>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</si>
  <si>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</si>
  <si>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</si>
  <si>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</si>
  <si>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</si>
  <si>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</si>
  <si>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</si>
  <si>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</si>
  <si>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</si>
  <si>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</si>
  <si>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</si>
  <si>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</si>
  <si>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</si>
  <si>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</si>
  <si>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</si>
  <si>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</si>
  <si>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</si>
  <si>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</si>
  <si>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</si>
  <si>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</si>
  <si>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</si>
  <si>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</si>
  <si>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</si>
  <si>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</si>
  <si>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</si>
  <si>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</si>
  <si>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</si>
  <si>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</si>
  <si>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</si>
  <si>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</si>
  <si>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</si>
  <si>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</si>
  <si>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</si>
  <si>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</si>
  <si>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</si>
  <si>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</si>
  <si>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</si>
  <si>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</si>
  <si>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</si>
  <si>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</si>
  <si>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</si>
  <si>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</si>
  <si>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</si>
  <si>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</si>
  <si>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</si>
  <si>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</si>
  <si>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</si>
  <si>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</si>
  <si>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</si>
  <si>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</si>
  <si>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</si>
  <si>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</si>
  <si>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</si>
  <si>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</si>
  <si>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</si>
  <si>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</si>
  <si>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</si>
  <si>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</si>
  <si>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</si>
  <si>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</si>
  <si>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</si>
  <si>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</si>
  <si>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</si>
  <si>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</si>
  <si>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</si>
  <si>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</si>
  <si>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</si>
  <si>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</si>
  <si>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</si>
  <si>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</si>
  <si>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</si>
  <si>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</si>
  <si>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</si>
  <si>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</si>
  <si>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</si>
  <si>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</si>
  <si>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</si>
  <si>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</si>
  <si>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</si>
  <si>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</si>
  <si>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</si>
  <si>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</si>
  <si>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</si>
  <si>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</si>
  <si>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</si>
  <si>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</si>
  <si>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</si>
  <si>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</si>
  <si>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</si>
  <si>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</si>
  <si>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</si>
  <si>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</si>
  <si>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</si>
  <si>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</si>
  <si>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</si>
  <si>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</si>
  <si>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</si>
  <si>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</si>
  <si>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</si>
  <si>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</si>
  <si>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</si>
  <si>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</si>
  <si>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</si>
  <si>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</si>
  <si>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</si>
  <si>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</si>
  <si>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</si>
  <si>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</si>
  <si>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</si>
  <si>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</si>
  <si>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</si>
  <si>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</si>
  <si>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</si>
  <si>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</si>
  <si>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</si>
  <si>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</si>
  <si>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</si>
  <si>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</si>
  <si>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</si>
  <si>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</si>
  <si>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</si>
  <si>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</si>
  <si>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</si>
  <si>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</si>
  <si>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</si>
  <si>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</si>
  <si>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</si>
  <si>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</si>
  <si>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</si>
  <si>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</si>
  <si>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</si>
  <si>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</si>
  <si>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</si>
  <si>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</si>
  <si>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</si>
  <si>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</si>
  <si>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</si>
  <si>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</si>
  <si>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</si>
  <si>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</si>
  <si>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</si>
  <si>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</si>
  <si>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</si>
  <si>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</si>
  <si>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</si>
  <si>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</si>
  <si>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</si>
  <si>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</si>
  <si>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</si>
  <si>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</si>
  <si>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</si>
  <si>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</si>
  <si>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</si>
  <si>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</si>
  <si>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</si>
  <si>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</si>
  <si>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</si>
  <si>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</si>
  <si>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</si>
  <si>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</si>
  <si>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</si>
  <si>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</si>
  <si>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</si>
  <si>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</si>
  <si>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</si>
  <si>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</si>
  <si>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</si>
  <si>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</si>
  <si>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</si>
  <si>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</si>
  <si>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</si>
  <si>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</si>
  <si>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</si>
  <si>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</si>
  <si>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</si>
  <si>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</si>
  <si>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</si>
  <si>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</si>
  <si>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</si>
  <si>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</si>
  <si>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</si>
  <si>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</si>
  <si>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</si>
  <si>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</si>
  <si>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</si>
  <si>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</si>
  <si>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</si>
  <si>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</si>
  <si>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</si>
  <si>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</si>
  <si>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</si>
  <si>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</si>
  <si>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</si>
  <si>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</si>
  <si>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</si>
  <si>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</si>
  <si>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</si>
  <si>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</si>
  <si>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</si>
  <si>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</si>
  <si>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</si>
  <si>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</si>
  <si>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</si>
  <si>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</si>
  <si>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</si>
  <si>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</si>
  <si>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</si>
  <si>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</si>
  <si>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</si>
  <si>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</si>
  <si>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</si>
  <si>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</si>
  <si>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</si>
  <si>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</si>
  <si>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</si>
  <si>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</si>
  <si>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</si>
  <si>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</si>
  <si>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</si>
  <si>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</si>
  <si>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</si>
  <si>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</si>
  <si>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</si>
  <si>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</si>
  <si>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</si>
  <si>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</si>
  <si>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</si>
  <si>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</si>
  <si>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</si>
  <si>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</si>
  <si>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</si>
  <si>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</si>
  <si>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</si>
  <si>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</si>
  <si>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</si>
  <si>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</si>
  <si>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</si>
  <si>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</si>
  <si>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</si>
  <si>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</si>
  <si>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</si>
  <si>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</si>
  <si>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</si>
  <si>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</si>
  <si>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</si>
  <si>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</si>
  <si>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</si>
  <si>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</si>
  <si>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</si>
  <si>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</si>
  <si>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</si>
  <si>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</si>
  <si>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</si>
  <si>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</si>
  <si>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</si>
  <si>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</si>
  <si>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</si>
  <si>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</si>
  <si>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</si>
  <si>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</si>
  <si>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</si>
  <si>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</si>
  <si>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</si>
  <si>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</si>
  <si>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</si>
  <si>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</si>
  <si>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</si>
  <si>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</si>
  <si>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</si>
  <si>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</si>
  <si>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</si>
  <si>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</si>
  <si>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</si>
  <si>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</si>
  <si>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</si>
  <si>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</si>
  <si>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</si>
  <si>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</si>
  <si>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</si>
  <si>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</si>
  <si>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</si>
  <si>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</si>
  <si>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</si>
  <si>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</si>
  <si>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</si>
  <si>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</si>
  <si>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</si>
  <si>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</si>
  <si>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</si>
  <si>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</si>
  <si>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</si>
  <si>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</si>
  <si>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</si>
  <si>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</si>
  <si>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</si>
  <si>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</si>
  <si>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</si>
  <si>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</si>
  <si>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</si>
  <si>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</si>
  <si>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</si>
  <si>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</si>
  <si>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</si>
  <si>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</si>
  <si>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</si>
  <si>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</si>
  <si>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</si>
  <si>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</si>
  <si>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</si>
  <si>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</si>
  <si>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</si>
  <si>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</si>
  <si>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</si>
  <si>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</si>
  <si>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</si>
  <si>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</si>
  <si>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</si>
  <si>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</si>
  <si>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</si>
  <si>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</si>
  <si>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</si>
  <si>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</si>
  <si>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</si>
  <si>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</si>
  <si>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</si>
  <si>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</si>
  <si>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</si>
  <si>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</si>
  <si>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</si>
  <si>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</si>
  <si>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</si>
  <si>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</si>
  <si>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</si>
  <si>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</si>
  <si>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</si>
  <si>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</si>
  <si>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</si>
  <si>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</si>
  <si>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</si>
  <si>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</si>
  <si>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</si>
  <si>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</si>
  <si>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</si>
  <si>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</si>
  <si>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</si>
  <si>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</si>
  <si>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</si>
  <si>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</si>
  <si>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</si>
  <si>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</si>
  <si>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</si>
  <si>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</si>
  <si>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</si>
  <si>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</si>
  <si>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</si>
  <si>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</si>
  <si>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</si>
  <si>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</si>
  <si>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</si>
  <si>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</si>
  <si>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</si>
  <si>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</si>
  <si>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</si>
  <si>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</si>
  <si>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</si>
  <si>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</si>
  <si>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</si>
  <si>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</si>
  <si>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</si>
  <si>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</si>
  <si>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</si>
  <si>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</si>
  <si>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</si>
  <si>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</si>
  <si>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</si>
  <si>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</si>
  <si>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</si>
  <si>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</si>
  <si>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</si>
  <si>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</si>
  <si>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</si>
  <si>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</si>
  <si>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</si>
  <si>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</si>
  <si>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</si>
  <si>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</si>
  <si>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</si>
  <si>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</si>
  <si>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</si>
  <si>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</si>
  <si>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</si>
  <si>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</si>
  <si>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</si>
  <si>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</si>
  <si>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</si>
  <si>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</si>
  <si>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</si>
  <si>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</si>
  <si>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</si>
  <si>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</si>
  <si>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</si>
  <si>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</si>
  <si>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</si>
  <si>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</si>
  <si>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</si>
  <si>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</si>
  <si>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</si>
  <si>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</si>
  <si>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</si>
  <si>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</si>
  <si>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</si>
  <si>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</si>
  <si>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</si>
  <si>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</si>
  <si>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</si>
  <si>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</si>
  <si>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</si>
  <si>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</si>
  <si>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</si>
  <si>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</si>
  <si>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</si>
  <si>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</si>
  <si>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</si>
  <si>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</si>
  <si>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</si>
  <si>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</si>
  <si>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</si>
  <si>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</si>
  <si>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</si>
  <si>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</si>
  <si>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</si>
  <si>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</si>
  <si>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</si>
  <si>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</si>
  <si>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</si>
  <si>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</si>
  <si>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</si>
  <si>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</si>
  <si>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</si>
  <si>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</si>
  <si>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</si>
  <si>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</si>
  <si>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</si>
  <si>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</si>
  <si>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</si>
  <si>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</si>
  <si>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</si>
  <si>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</si>
  <si>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</si>
  <si>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</si>
  <si>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</si>
  <si>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</si>
  <si>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</si>
  <si>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</si>
  <si>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</si>
  <si>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</si>
  <si>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</si>
  <si>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</si>
  <si>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</si>
  <si>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</si>
  <si>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</si>
  <si>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</si>
  <si>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</si>
  <si>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</si>
  <si>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</si>
  <si>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</si>
  <si>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</si>
  <si>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</si>
  <si>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</si>
  <si>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</si>
  <si>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</si>
  <si>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</si>
  <si>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</si>
  <si>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</si>
  <si>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</si>
  <si>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</si>
  <si>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</si>
  <si>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</si>
  <si>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</si>
  <si>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</si>
  <si>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</si>
  <si>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</si>
  <si>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</si>
  <si>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</si>
  <si>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</si>
  <si>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</si>
  <si>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</si>
  <si>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</si>
  <si>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</si>
  <si>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</si>
  <si>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</si>
  <si>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</si>
  <si>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</si>
  <si>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</si>
  <si>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</si>
  <si>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</si>
  <si>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</si>
  <si>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</si>
  <si>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</si>
  <si>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</si>
  <si>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</si>
  <si>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</si>
  <si>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</si>
  <si>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</si>
  <si>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</si>
  <si>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</si>
  <si>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</si>
  <si>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</si>
  <si>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</si>
  <si>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</si>
  <si>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</si>
  <si>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</si>
  <si>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</si>
  <si>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</si>
  <si>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</si>
  <si>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</si>
  <si>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</si>
  <si>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</si>
  <si>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</si>
  <si>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</si>
  <si>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</si>
  <si>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</si>
  <si>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</si>
  <si>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</si>
  <si>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</si>
  <si>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</si>
  <si>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</si>
  <si>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</si>
  <si>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</si>
  <si>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</si>
  <si>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</si>
  <si>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</si>
  <si>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</si>
  <si>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</si>
  <si>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</si>
  <si>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</si>
  <si>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</si>
  <si>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</si>
  <si>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</si>
  <si>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</si>
  <si>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</si>
  <si>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</si>
  <si>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</si>
  <si>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</si>
  <si>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</si>
  <si>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</si>
  <si>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</si>
  <si>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</si>
  <si>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</si>
  <si>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</si>
  <si>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</si>
  <si>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</si>
  <si>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</si>
  <si>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</si>
  <si>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</si>
  <si>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</si>
  <si>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</si>
  <si>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</si>
  <si>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</si>
  <si>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</si>
  <si>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</si>
  <si>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</si>
  <si>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</si>
  <si>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</si>
  <si>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</si>
  <si>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</si>
  <si>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</si>
  <si>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</si>
  <si>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</si>
  <si>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</si>
  <si>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</si>
  <si>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</si>
  <si>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</si>
  <si>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</si>
  <si>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</si>
  <si>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</si>
  <si>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</si>
  <si>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</si>
  <si>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</si>
  <si>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</si>
  <si>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</si>
  <si>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</si>
  <si>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</si>
  <si>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</si>
  <si>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</si>
  <si>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</si>
  <si>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</si>
  <si>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</si>
  <si>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</si>
  <si>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</si>
  <si>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</si>
  <si>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</si>
  <si>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</si>
  <si>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</si>
  <si>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</si>
  <si>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</si>
  <si>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</si>
  <si>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</si>
  <si>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</si>
  <si>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</si>
  <si>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</si>
  <si>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</si>
  <si>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</si>
  <si>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</si>
  <si>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</si>
  <si>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</si>
  <si>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</si>
  <si>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</si>
  <si>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</si>
  <si>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</si>
  <si>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</si>
  <si>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</si>
  <si>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</si>
  <si>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</si>
  <si>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</si>
  <si>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</si>
  <si>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</si>
  <si>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</si>
  <si>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</si>
  <si>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</si>
  <si>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</si>
  <si>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</si>
  <si>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</si>
  <si>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</si>
  <si>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</si>
  <si>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</si>
  <si>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</si>
  <si>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</si>
  <si>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</si>
  <si>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</si>
  <si>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</si>
  <si>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</si>
  <si>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</si>
  <si>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</si>
  <si>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</si>
  <si>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</si>
  <si>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</si>
  <si>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</si>
  <si>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</si>
  <si>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</si>
  <si>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</si>
  <si>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</si>
  <si>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</si>
  <si>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</si>
  <si>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</si>
  <si>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</si>
  <si>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</si>
  <si>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</si>
  <si>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</si>
  <si>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</si>
  <si>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</si>
  <si>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</si>
  <si>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</si>
  <si>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</si>
  <si>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</si>
  <si>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</si>
  <si>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</si>
  <si>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</si>
  <si>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</si>
  <si>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</si>
  <si>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</si>
  <si>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</si>
  <si>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</si>
  <si>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</si>
  <si>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</si>
  <si>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</si>
  <si>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</si>
  <si>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</si>
  <si>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</si>
  <si>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</si>
  <si>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</si>
  <si>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</si>
  <si>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</si>
  <si>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</si>
  <si>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</si>
  <si>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</si>
  <si>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</si>
  <si>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</si>
  <si>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</si>
  <si>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</si>
  <si>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</si>
  <si>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</si>
  <si>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</si>
  <si>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</si>
  <si>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</si>
  <si>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</si>
  <si>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</si>
  <si>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</si>
  <si>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</si>
  <si>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</si>
  <si>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</si>
  <si>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</si>
  <si>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</si>
  <si>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</si>
  <si>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</si>
  <si>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</si>
  <si>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</si>
  <si>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</si>
  <si>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</si>
  <si>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</si>
  <si>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</si>
  <si>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</si>
  <si>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</si>
  <si>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</si>
  <si>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</si>
  <si>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</si>
  <si>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</si>
  <si>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</si>
  <si>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</si>
  <si>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</si>
  <si>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</si>
  <si>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</si>
  <si>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</si>
  <si>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</si>
  <si>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</si>
  <si>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</si>
  <si>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</si>
  <si>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</si>
  <si>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</si>
  <si>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</si>
  <si>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</si>
  <si>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</si>
  <si>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</si>
  <si>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</si>
  <si>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</si>
  <si>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</si>
  <si>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</si>
  <si>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</si>
  <si>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</si>
  <si>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</si>
  <si>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</si>
  <si>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</si>
  <si>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</si>
  <si>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</si>
  <si>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</si>
  <si>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</si>
  <si>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</si>
  <si>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</si>
  <si>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</si>
  <si>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</si>
  <si>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</si>
  <si>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</si>
  <si>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</si>
  <si>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</si>
  <si>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</si>
  <si>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</si>
  <si>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</si>
  <si>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</si>
  <si>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</si>
  <si>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</si>
  <si>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</si>
  <si>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</si>
  <si>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</si>
  <si>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</si>
  <si>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</si>
  <si>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</si>
  <si>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</si>
  <si>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</si>
  <si>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</si>
  <si>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</si>
  <si>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</si>
  <si>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</si>
  <si>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</si>
  <si>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</si>
  <si>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</si>
  <si>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</si>
  <si>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</si>
  <si>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</si>
  <si>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</si>
  <si>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</si>
  <si>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</si>
  <si>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</si>
  <si>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</si>
  <si>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</si>
  <si>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</si>
  <si>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</si>
  <si>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</si>
  <si>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</si>
  <si>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</si>
  <si>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</si>
  <si>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</si>
  <si>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</si>
  <si>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</si>
  <si>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</si>
  <si>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</si>
  <si>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</si>
  <si>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</si>
  <si>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</si>
  <si>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</si>
  <si>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</si>
  <si>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</si>
  <si>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</si>
  <si>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</si>
  <si>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</si>
  <si>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</si>
  <si>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</si>
  <si>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</si>
  <si>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</si>
  <si>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</si>
  <si>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</si>
  <si>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</si>
  <si>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</si>
  <si>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</si>
  <si>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</si>
  <si>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</si>
  <si>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</si>
  <si>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</si>
  <si>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</si>
  <si>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</si>
  <si>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</si>
  <si>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</si>
  <si>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</si>
  <si>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</si>
  <si>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</si>
  <si>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</si>
  <si>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</si>
  <si>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</si>
  <si>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</si>
  <si>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</si>
  <si>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</si>
  <si>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</si>
  <si>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</si>
  <si>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</si>
  <si>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</si>
  <si>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</si>
  <si>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</si>
  <si>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</si>
  <si>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</si>
  <si>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</si>
  <si>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</si>
  <si>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</si>
  <si>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</si>
  <si>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</si>
  <si>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</si>
  <si>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</si>
  <si>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</si>
  <si>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</si>
  <si>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</si>
  <si>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</si>
  <si>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</si>
  <si>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</si>
  <si>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</si>
  <si>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</si>
  <si>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</si>
  <si>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</si>
  <si>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</si>
  <si>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</si>
  <si>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</si>
  <si>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</si>
  <si>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</si>
  <si>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</si>
  <si>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</si>
  <si>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</si>
  <si>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</si>
  <si>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</si>
  <si>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</si>
  <si>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</si>
  <si>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</si>
  <si>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</si>
  <si>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</si>
  <si>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</si>
  <si>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</si>
  <si>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</si>
  <si>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</si>
  <si>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</si>
  <si>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</si>
  <si>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</si>
  <si>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</si>
  <si>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</si>
  <si>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</si>
  <si>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</si>
  <si>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</si>
  <si>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</si>
  <si>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</si>
  <si>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</si>
  <si>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</si>
  <si>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</si>
  <si>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</si>
  <si>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</si>
  <si>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</si>
  <si>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</si>
  <si>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</si>
  <si>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</si>
  <si>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</si>
  <si>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</si>
  <si>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</si>
  <si>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</si>
  <si>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</si>
  <si>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</si>
  <si>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</si>
  <si>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</si>
  <si>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</si>
  <si>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</si>
  <si>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</si>
  <si>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</si>
  <si>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</si>
  <si>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</si>
  <si>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</si>
  <si>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</si>
  <si>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</si>
  <si>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</si>
  <si>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</si>
  <si>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</si>
  <si>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</si>
  <si>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</si>
  <si>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</si>
  <si>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</si>
  <si>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</si>
  <si>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</si>
  <si>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</si>
  <si>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</si>
  <si>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</si>
  <si>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</si>
  <si>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</si>
  <si>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</si>
  <si>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</si>
  <si>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</si>
  <si>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</si>
  <si>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</si>
  <si>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</si>
  <si>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</si>
  <si>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</si>
  <si>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</si>
  <si>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</si>
  <si>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</si>
  <si>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</si>
  <si>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</si>
  <si>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</si>
  <si>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</si>
  <si>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</si>
  <si>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</si>
  <si>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</si>
  <si>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</si>
  <si>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</si>
  <si>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</si>
  <si>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</si>
  <si>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</si>
  <si>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</si>
  <si>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</si>
  <si>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</si>
  <si>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</si>
  <si>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</si>
  <si>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</si>
  <si>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</si>
  <si>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</si>
  <si>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</si>
  <si>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</si>
  <si>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</si>
  <si>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</si>
  <si>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</si>
  <si>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</si>
  <si>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</si>
  <si>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</si>
  <si>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</si>
  <si>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</si>
  <si>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</si>
  <si>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</si>
  <si>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</si>
  <si>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</si>
  <si>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</si>
  <si>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</si>
  <si>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</si>
  <si>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</si>
  <si>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</si>
  <si>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</si>
  <si>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</si>
  <si>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</si>
  <si>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</si>
  <si>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</si>
  <si>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</si>
  <si>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</si>
  <si>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</si>
  <si>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</si>
  <si>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</si>
  <si>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</si>
  <si>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</si>
  <si>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</si>
  <si>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</si>
  <si>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</si>
  <si>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</si>
  <si>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</si>
  <si>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</si>
  <si>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</si>
  <si>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</si>
  <si>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</si>
  <si>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</si>
  <si>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</si>
  <si>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</si>
  <si>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</si>
  <si>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</si>
  <si>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</si>
  <si>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</si>
  <si>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</si>
  <si>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</si>
  <si>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</si>
  <si>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</si>
  <si>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</si>
  <si>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</si>
  <si>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</si>
  <si>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</si>
  <si>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</si>
  <si>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</si>
  <si>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</si>
  <si>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</si>
  <si>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</si>
  <si>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</si>
  <si>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</si>
  <si>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</si>
  <si>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</si>
  <si>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</si>
  <si>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</si>
  <si>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</si>
  <si>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</si>
  <si>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</si>
  <si>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</si>
  <si>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</si>
  <si>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</si>
  <si>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</si>
  <si>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</si>
  <si>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</si>
  <si>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</si>
  <si>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</si>
  <si>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</si>
  <si>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</si>
  <si>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</si>
  <si>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</si>
  <si>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</si>
  <si>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</si>
  <si>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</si>
  <si>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</si>
  <si>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</si>
  <si>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</si>
  <si>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</si>
  <si>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</si>
  <si>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</si>
  <si>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</si>
  <si>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</si>
  <si>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</si>
  <si>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</si>
  <si>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</si>
  <si>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</si>
  <si>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</si>
  <si>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</si>
  <si>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</si>
  <si>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</si>
  <si>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</si>
  <si>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</si>
  <si>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</si>
  <si>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</si>
  <si>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</si>
  <si>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</si>
  <si>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</si>
  <si>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</si>
  <si>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</si>
  <si>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</si>
  <si>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</si>
  <si>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</si>
  <si>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</si>
  <si>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</si>
  <si>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</si>
  <si>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</si>
  <si>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</si>
  <si>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</si>
  <si>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</si>
  <si>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</si>
  <si>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</si>
  <si>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</si>
  <si>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</si>
  <si>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</si>
  <si>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</si>
  <si>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</si>
  <si>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</si>
  <si>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</si>
  <si>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</si>
  <si>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</si>
  <si>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</si>
  <si>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</si>
  <si>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</si>
  <si>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</si>
  <si>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</si>
  <si>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</si>
  <si>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</si>
  <si>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</si>
  <si>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</si>
  <si>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</si>
  <si>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</si>
  <si>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</si>
  <si>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</si>
  <si>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</si>
  <si>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</si>
  <si>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</si>
  <si>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</si>
  <si>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</si>
  <si>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</si>
  <si>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</si>
  <si>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</si>
  <si>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</si>
  <si>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</si>
  <si>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</si>
  <si>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</si>
  <si>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</si>
  <si>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</si>
  <si>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</si>
  <si>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</si>
  <si>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</si>
  <si>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</si>
  <si>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</si>
  <si>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</si>
  <si>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</si>
  <si>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</si>
  <si>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</si>
  <si>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</si>
  <si>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</si>
  <si>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</si>
  <si>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</si>
  <si>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</si>
  <si>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</si>
  <si>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</si>
  <si>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</si>
  <si>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</si>
  <si>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</si>
  <si>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</si>
  <si>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</si>
  <si>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</si>
  <si>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</si>
  <si>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</si>
  <si>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</si>
  <si>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</si>
  <si>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</si>
  <si>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</si>
  <si>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</si>
  <si>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</si>
  <si>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</si>
  <si>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</si>
  <si>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</si>
  <si>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</si>
  <si>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</si>
  <si>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</si>
  <si>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</si>
  <si>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</si>
  <si>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</si>
  <si>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</si>
  <si>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</si>
  <si>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</si>
  <si>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</si>
  <si>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</si>
  <si>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</si>
  <si>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</si>
  <si>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</si>
  <si>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</si>
  <si>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</si>
  <si>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</si>
  <si>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</si>
  <si>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</si>
  <si>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</si>
  <si>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</si>
  <si>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</si>
  <si>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</si>
  <si>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</si>
  <si>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</si>
  <si>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</si>
  <si>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</si>
  <si>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</si>
  <si>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</si>
  <si>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</si>
  <si>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</si>
  <si>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</si>
  <si>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</si>
  <si>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</si>
  <si>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</si>
  <si>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</si>
  <si>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</si>
  <si>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</si>
  <si>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</si>
  <si>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</si>
  <si>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</si>
  <si>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</si>
  <si>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</si>
  <si>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</si>
  <si>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</si>
  <si>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</si>
  <si>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</si>
  <si>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</si>
  <si>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</si>
  <si>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</si>
  <si>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</si>
  <si>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</si>
  <si>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</si>
  <si>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</si>
  <si>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</si>
  <si>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</si>
  <si>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</si>
  <si>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</si>
  <si>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</si>
  <si>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</si>
  <si>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</si>
  <si>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</si>
  <si>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</si>
  <si>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</si>
  <si>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</si>
  <si>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</si>
  <si>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</si>
  <si>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</si>
  <si>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</si>
  <si>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</si>
  <si>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</si>
  <si>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</si>
  <si>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</si>
  <si>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</si>
  <si>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</si>
  <si>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</si>
  <si>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</si>
  <si>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</si>
  <si>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</si>
  <si>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</si>
  <si>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</si>
  <si>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</si>
  <si>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</si>
  <si>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</si>
  <si>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</si>
  <si>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</si>
  <si>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</si>
  <si>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</si>
  <si>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</si>
  <si>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</si>
  <si>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</si>
  <si>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</si>
  <si>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</si>
  <si>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</si>
  <si>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</si>
  <si>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</si>
  <si>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</si>
  <si>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</si>
  <si>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</si>
  <si>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</si>
  <si>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</si>
  <si>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</si>
  <si>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</si>
  <si>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</si>
  <si>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</si>
  <si>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</si>
  <si>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</si>
  <si>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</si>
  <si>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</si>
  <si>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</si>
  <si>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</si>
  <si>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</si>
  <si>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</si>
  <si>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</si>
  <si>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</si>
  <si>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</si>
  <si>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</si>
  <si>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</si>
  <si>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</si>
  <si>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</si>
  <si>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</si>
  <si>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</si>
  <si>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</si>
  <si>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</si>
  <si>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</si>
  <si>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</si>
  <si>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</si>
  <si>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</si>
  <si>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</si>
  <si>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</si>
  <si>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</si>
  <si>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</si>
  <si>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</si>
  <si>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</si>
  <si>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</si>
  <si>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</si>
  <si>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</si>
  <si>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</si>
  <si>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</si>
  <si>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</si>
  <si>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</si>
  <si>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</si>
  <si>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</si>
  <si>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</si>
  <si>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</si>
  <si>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</si>
  <si>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</si>
  <si>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</si>
  <si>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</si>
  <si>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</si>
  <si>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</si>
  <si>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</si>
  <si>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</si>
  <si>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</si>
  <si>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</si>
  <si>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</si>
  <si>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</si>
  <si>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</si>
  <si>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</si>
  <si>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</si>
  <si>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</si>
  <si>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</si>
  <si>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</si>
  <si>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</si>
  <si>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</si>
  <si>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</si>
  <si>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</si>
  <si>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</si>
  <si>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</si>
  <si>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</si>
  <si>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</si>
  <si>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</si>
  <si>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</si>
  <si>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</si>
  <si>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</si>
  <si>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</si>
  <si>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</si>
  <si>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</si>
  <si>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</si>
  <si>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</si>
  <si>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</si>
  <si>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</si>
  <si>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</si>
  <si>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</si>
  <si>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</si>
  <si>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</si>
  <si>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</si>
  <si>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</si>
  <si>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</si>
  <si>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</si>
  <si>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</si>
  <si>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</si>
  <si>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</si>
  <si>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</si>
  <si>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</si>
  <si>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</si>
  <si>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</si>
  <si>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</si>
  <si>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</si>
  <si>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</si>
  <si>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</si>
  <si>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</si>
  <si>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</si>
  <si>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</si>
  <si>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</si>
  <si>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</si>
  <si>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</si>
  <si>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</si>
  <si>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</si>
  <si>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</si>
  <si>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</si>
  <si>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</si>
  <si>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</si>
  <si>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</si>
  <si>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</si>
  <si>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</si>
  <si>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</si>
  <si>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</si>
  <si>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</si>
  <si>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</si>
  <si>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</si>
  <si>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</si>
  <si>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</si>
  <si>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</si>
  <si>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</si>
  <si>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</si>
  <si>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</si>
  <si>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</si>
  <si>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</si>
  <si>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</si>
  <si>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</si>
  <si>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</si>
  <si>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</si>
  <si>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</si>
  <si>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</si>
  <si>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</si>
  <si>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</si>
  <si>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</si>
  <si>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</si>
  <si>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</si>
  <si>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</si>
  <si>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</si>
  <si>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</si>
  <si>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</si>
  <si>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</si>
  <si>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</si>
  <si>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</si>
  <si>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</si>
  <si>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</si>
  <si>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</si>
  <si>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</si>
  <si>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</si>
  <si>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</si>
  <si>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</si>
  <si>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</si>
  <si>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</si>
  <si>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</si>
  <si>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</si>
  <si>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</si>
  <si>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</si>
  <si>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</si>
  <si>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</si>
  <si>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</si>
  <si>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</si>
  <si>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</si>
  <si>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</si>
  <si>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</si>
  <si>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</si>
  <si>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</si>
  <si>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</si>
  <si>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</si>
  <si>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</si>
  <si>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</si>
  <si>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</si>
  <si>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</si>
  <si>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</si>
  <si>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</si>
  <si>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</si>
  <si>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</si>
  <si>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</si>
  <si>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</si>
  <si>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</si>
  <si>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</si>
  <si>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</si>
  <si>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</si>
  <si>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</si>
  <si>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</si>
  <si>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</si>
  <si>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</si>
  <si>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</si>
  <si>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</si>
  <si>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</si>
  <si>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</si>
  <si>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</si>
  <si>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</si>
  <si>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</si>
  <si>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</si>
  <si>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</si>
  <si>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</si>
  <si>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</si>
  <si>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</si>
  <si>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</si>
  <si>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</si>
  <si>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</si>
  <si>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</si>
  <si>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</si>
  <si>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</si>
  <si>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</si>
  <si>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</si>
  <si>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</si>
  <si>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</si>
  <si>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</si>
  <si>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</si>
  <si>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</si>
  <si>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</si>
  <si>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</si>
  <si>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</si>
  <si>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</si>
  <si>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</si>
  <si>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</si>
  <si>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</si>
  <si>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</si>
  <si>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</si>
  <si>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</si>
  <si>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</si>
  <si>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</si>
  <si>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</si>
  <si>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</si>
  <si>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</si>
  <si>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</si>
  <si>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</si>
  <si>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</si>
  <si>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</si>
  <si>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</si>
  <si>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</si>
  <si>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</si>
  <si>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</si>
  <si>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</si>
  <si>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</si>
  <si>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</si>
  <si>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</si>
  <si>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</si>
  <si>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</si>
  <si>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</si>
  <si>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</si>
  <si>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</si>
  <si>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</si>
  <si>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</si>
  <si>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</si>
  <si>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</si>
  <si>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</si>
  <si>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</si>
  <si>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</si>
  <si>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</si>
  <si>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</si>
  <si>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</si>
  <si>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</si>
  <si>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</si>
  <si>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</si>
  <si>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</si>
  <si>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</si>
  <si>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</si>
  <si>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</si>
  <si>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</si>
  <si>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</si>
  <si>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</si>
  <si>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</si>
  <si>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</si>
  <si>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</si>
  <si>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</si>
  <si>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</si>
  <si>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</si>
  <si>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</si>
  <si>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</si>
  <si>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</si>
  <si>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</si>
  <si>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</si>
  <si>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</si>
  <si>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</si>
  <si>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</si>
  <si>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</si>
  <si>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</si>
  <si>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</si>
  <si>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</si>
  <si>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</si>
  <si>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</si>
  <si>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</si>
  <si>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</si>
  <si>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</si>
  <si>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</si>
  <si>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</si>
  <si>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</si>
  <si>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</si>
  <si>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</si>
  <si>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</si>
  <si>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</si>
  <si>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</si>
  <si>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</si>
  <si>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</si>
  <si>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</si>
  <si>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</si>
  <si>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</si>
  <si>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</si>
  <si>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</si>
  <si>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</si>
  <si>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</si>
  <si>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</si>
  <si>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</si>
  <si>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</si>
  <si>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</si>
  <si>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</si>
  <si>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</si>
  <si>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</si>
  <si>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</si>
  <si>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</si>
  <si>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</si>
  <si>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</si>
  <si>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</si>
  <si>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</si>
  <si>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</si>
  <si>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</si>
  <si>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</si>
  <si>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</si>
  <si>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</si>
  <si>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</si>
  <si>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</si>
  <si>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</si>
  <si>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</si>
  <si>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</si>
  <si>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</si>
  <si>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</si>
  <si>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</si>
  <si>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</si>
  <si>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</si>
  <si>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</si>
  <si>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</si>
  <si>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</si>
  <si>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</si>
  <si>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</si>
  <si>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</si>
  <si>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</si>
  <si>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</si>
  <si>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</si>
  <si>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</si>
  <si>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</si>
  <si>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</si>
  <si>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</si>
  <si>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</si>
  <si>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</si>
  <si>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</si>
  <si>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</si>
  <si>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</si>
  <si>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</si>
  <si>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</si>
  <si>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</si>
  <si>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</si>
  <si>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</si>
  <si>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</si>
  <si>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</si>
  <si>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</si>
  <si>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</si>
  <si>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</si>
  <si>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</si>
  <si>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</si>
  <si>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</si>
  <si>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</si>
  <si>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</si>
  <si>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</si>
  <si>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</si>
  <si>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</si>
  <si>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</si>
  <si>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</si>
  <si>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</si>
  <si>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</si>
  <si>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</si>
  <si>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</si>
  <si>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</si>
  <si>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</si>
  <si>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</si>
  <si>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</si>
  <si>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</si>
  <si>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</si>
  <si>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</si>
  <si>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</si>
  <si>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</si>
  <si>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</si>
  <si>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</si>
  <si>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</si>
  <si>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</si>
  <si>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</si>
  <si>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</si>
  <si>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</si>
  <si>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</si>
  <si>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</si>
  <si>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</si>
  <si>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</si>
  <si>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</si>
  <si>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</si>
  <si>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</si>
  <si>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</si>
  <si>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</si>
  <si>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</si>
  <si>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</si>
  <si>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</si>
  <si>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</si>
  <si>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</si>
  <si>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</si>
  <si>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</si>
  <si>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</si>
  <si>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</si>
  <si>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</si>
  <si>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</si>
  <si>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</si>
  <si>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</si>
  <si>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</si>
  <si>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</si>
  <si>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</si>
  <si>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</si>
  <si>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</si>
  <si>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</si>
  <si>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</si>
  <si>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</si>
  <si>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</si>
  <si>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</si>
  <si>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</si>
  <si>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</si>
  <si>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</si>
  <si>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</si>
  <si>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</si>
  <si>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</si>
  <si>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</si>
  <si>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</si>
  <si>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</si>
  <si>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</si>
  <si>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</si>
  <si>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</si>
  <si>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</si>
  <si>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</si>
  <si>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</si>
  <si>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</si>
  <si>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</si>
  <si>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</si>
  <si>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</si>
  <si>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</si>
  <si>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</si>
  <si>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</si>
  <si>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</si>
  <si>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</si>
  <si>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</si>
  <si>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</si>
  <si>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</si>
  <si>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</si>
  <si>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</si>
  <si>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</si>
  <si>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</si>
  <si>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</si>
  <si>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</si>
  <si>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</si>
  <si>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</si>
  <si>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</si>
  <si>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</si>
  <si>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</si>
  <si>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</si>
  <si>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</si>
  <si>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</si>
  <si>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</si>
  <si>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</si>
  <si>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</si>
  <si>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</si>
  <si>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</si>
  <si>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</si>
  <si>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</si>
  <si>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</si>
  <si>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</si>
  <si>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</si>
  <si>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</si>
  <si>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</si>
  <si>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</si>
  <si>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</si>
  <si>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</si>
  <si>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</si>
  <si>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</si>
  <si>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</si>
  <si>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</si>
  <si>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</si>
  <si>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</si>
  <si>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</si>
  <si>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</si>
  <si>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</si>
  <si>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</si>
  <si>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</si>
  <si>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</si>
  <si>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</si>
  <si>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</si>
  <si>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</si>
  <si>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</si>
  <si>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</si>
  <si>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</si>
  <si>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</si>
  <si>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</si>
  <si>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</si>
  <si>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</si>
  <si>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</si>
  <si>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</si>
  <si>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</si>
  <si>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</si>
  <si>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</si>
  <si>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</si>
  <si>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</si>
  <si>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</si>
  <si>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</si>
  <si>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</si>
  <si>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</si>
  <si>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</si>
  <si>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</si>
  <si>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</si>
  <si>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</si>
  <si>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</si>
  <si>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</si>
  <si>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</si>
  <si>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</si>
  <si>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</si>
  <si>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</si>
  <si>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</si>
  <si>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</si>
  <si>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</si>
  <si>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</si>
  <si>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</si>
  <si>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</si>
  <si>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</si>
  <si>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</si>
  <si>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</si>
  <si>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</si>
  <si>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</si>
  <si>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</si>
  <si>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</si>
  <si>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</si>
  <si>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</si>
  <si>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</si>
  <si>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</si>
  <si>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</si>
  <si>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</si>
  <si>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</si>
  <si>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</si>
  <si>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</si>
  <si>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</si>
  <si>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</si>
  <si>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</si>
  <si>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</si>
  <si>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</si>
  <si>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</si>
  <si>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</si>
  <si>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</si>
  <si>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</si>
  <si>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</si>
  <si>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</si>
  <si>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</si>
  <si>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</si>
  <si>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</si>
  <si>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</si>
  <si>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</si>
  <si>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</si>
  <si>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</si>
  <si>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</si>
  <si>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</si>
  <si>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</si>
  <si>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</si>
  <si>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</si>
  <si>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</si>
  <si>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</si>
  <si>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</si>
  <si>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</si>
  <si>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</si>
  <si>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</si>
  <si>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</si>
  <si>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</si>
  <si>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</si>
  <si>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</si>
  <si>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</si>
  <si>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</si>
  <si>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</si>
  <si>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</si>
  <si>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</si>
  <si>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</si>
  <si>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</si>
  <si>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</si>
  <si>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</si>
  <si>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</si>
  <si>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</si>
  <si>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</si>
  <si>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</si>
  <si>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</si>
  <si>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</si>
  <si>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</si>
  <si>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</si>
  <si>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</si>
  <si>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</si>
  <si>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</si>
  <si>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</si>
  <si>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</si>
  <si>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</si>
  <si>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</si>
  <si>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</si>
  <si>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</si>
  <si>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</si>
  <si>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</si>
  <si>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</si>
  <si>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</si>
  <si>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</si>
  <si>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</si>
  <si>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</si>
  <si>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</si>
  <si>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</si>
  <si>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</si>
  <si>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</si>
  <si>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</si>
  <si>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</si>
  <si>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</si>
  <si>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</si>
  <si>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</si>
  <si>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</si>
  <si>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</si>
  <si>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</si>
  <si>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</si>
  <si>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</si>
  <si>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</si>
  <si>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</si>
  <si>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</si>
  <si>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</si>
  <si>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</si>
  <si>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</si>
  <si>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</si>
  <si>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</si>
  <si>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</si>
  <si>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</si>
  <si>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</si>
  <si>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</si>
  <si>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</si>
  <si>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</si>
  <si>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</si>
  <si>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</si>
  <si>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</si>
  <si>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</si>
  <si>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</si>
  <si>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</si>
  <si>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</si>
  <si>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</si>
  <si>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</si>
  <si>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</si>
  <si>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</si>
  <si>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</si>
  <si>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</si>
  <si>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</si>
  <si>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</si>
  <si>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</si>
  <si>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</si>
  <si>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</si>
  <si>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</si>
  <si>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</si>
  <si>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</si>
  <si>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</si>
  <si>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</si>
  <si>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</si>
  <si>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</si>
  <si>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</si>
  <si>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</si>
  <si>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</si>
  <si>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</si>
  <si>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</si>
  <si>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</si>
  <si>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</si>
  <si>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</si>
  <si>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</si>
  <si>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</si>
  <si>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</si>
  <si>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</si>
  <si>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</si>
  <si>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</si>
  <si>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</si>
  <si>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</si>
  <si>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</si>
  <si>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</si>
  <si>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</si>
  <si>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</si>
  <si>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</si>
  <si>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</si>
  <si>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</si>
  <si>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</si>
  <si>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</si>
  <si>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</si>
  <si>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</si>
  <si>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</si>
  <si>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</si>
  <si>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</si>
  <si>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</si>
  <si>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</si>
  <si>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</si>
  <si>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</si>
  <si>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</si>
  <si>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</si>
  <si>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</si>
  <si>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</si>
  <si>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</si>
  <si>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</si>
  <si>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</si>
  <si>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</si>
  <si>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</si>
  <si>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</si>
  <si>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</si>
  <si>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</si>
  <si>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</si>
  <si>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</si>
  <si>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</si>
  <si>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</si>
  <si>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</si>
  <si>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</si>
  <si>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</si>
  <si>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</si>
  <si>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</si>
  <si>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</si>
  <si>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</si>
  <si>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</si>
  <si>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</si>
  <si>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</si>
  <si>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</si>
  <si>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</si>
  <si>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</si>
  <si>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</si>
  <si>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</si>
  <si>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</si>
  <si>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</si>
  <si>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</si>
  <si>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</si>
  <si>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</si>
  <si>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</si>
  <si>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</si>
  <si>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</si>
  <si>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</si>
  <si>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</si>
  <si>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</si>
  <si>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</si>
  <si>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</si>
  <si>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</si>
  <si>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</si>
  <si>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</si>
  <si>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</si>
  <si>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</si>
  <si>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</si>
  <si>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</si>
  <si>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</si>
  <si>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</si>
  <si>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</si>
  <si>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</si>
  <si>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</si>
  <si>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</si>
  <si>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</si>
  <si>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</si>
  <si>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</si>
  <si>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</si>
  <si>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</si>
  <si>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</si>
  <si>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</si>
  <si>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</si>
  <si>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</si>
  <si>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</si>
  <si>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</si>
  <si>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</si>
  <si>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</si>
  <si>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</si>
  <si>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</si>
  <si>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</si>
  <si>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</si>
  <si>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</si>
  <si>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</si>
  <si>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</si>
  <si>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</si>
  <si>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</si>
  <si>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</si>
  <si>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</si>
  <si>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</si>
  <si>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</si>
  <si>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</si>
  <si>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</si>
  <si>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</si>
  <si>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</si>
  <si>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</si>
  <si>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</si>
  <si>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</si>
  <si>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</si>
  <si>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</si>
  <si>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</si>
  <si>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</si>
  <si>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</si>
  <si>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</si>
  <si>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</si>
  <si>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</si>
  <si>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</si>
  <si>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</si>
  <si>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</si>
  <si>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</si>
  <si>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</si>
  <si>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</si>
  <si>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</si>
  <si>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</si>
  <si>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</si>
  <si>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</si>
  <si>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</si>
  <si>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</si>
  <si>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</si>
  <si>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</si>
  <si>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</si>
  <si>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</si>
  <si>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</si>
  <si>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</si>
  <si>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</si>
  <si>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</si>
  <si>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</si>
  <si>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</si>
  <si>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</si>
  <si>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</si>
  <si>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</si>
  <si>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</si>
  <si>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</si>
  <si>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</si>
  <si>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</si>
  <si>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</si>
  <si>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</si>
  <si>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</si>
  <si>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</si>
  <si>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</si>
  <si>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</si>
  <si>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</si>
  <si>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</si>
  <si>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</si>
  <si>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</si>
  <si>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</si>
  <si>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</si>
  <si>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</si>
  <si>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</si>
  <si>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</si>
  <si>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</si>
  <si>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</si>
  <si>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</si>
  <si>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</si>
  <si>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</si>
  <si>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</si>
  <si>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</si>
  <si>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</si>
  <si>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</si>
  <si>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</si>
  <si>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</si>
  <si>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</si>
  <si>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</si>
  <si>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</si>
  <si>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</si>
  <si>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</si>
  <si>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</si>
  <si>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</si>
  <si>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</si>
  <si>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</si>
  <si>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</si>
  <si>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</si>
  <si>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</si>
  <si>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</si>
  <si>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</si>
  <si>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</si>
  <si>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</si>
  <si>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</si>
  <si>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</si>
  <si>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</si>
  <si>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</si>
  <si>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</si>
  <si>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</si>
  <si>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</si>
  <si>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</si>
  <si>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</si>
  <si>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</si>
  <si>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</si>
  <si>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</si>
  <si>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</si>
  <si>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</si>
  <si>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</si>
  <si>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</si>
  <si>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</si>
  <si>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</si>
  <si>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</si>
  <si>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</si>
  <si>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</si>
  <si>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</si>
  <si>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</si>
  <si>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</si>
  <si>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</si>
  <si>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</si>
  <si>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</si>
  <si>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</si>
  <si>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</si>
  <si>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</si>
  <si>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</si>
  <si>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</si>
  <si>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</si>
  <si>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</si>
  <si>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</si>
  <si>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</si>
  <si>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</si>
  <si>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</si>
  <si>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</si>
  <si>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</si>
  <si>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</si>
  <si>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</si>
  <si>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</si>
  <si>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</si>
  <si>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</si>
  <si>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</si>
  <si>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</si>
  <si>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</si>
  <si>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</si>
  <si>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</si>
  <si>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</si>
  <si>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</si>
  <si>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</si>
  <si>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</si>
  <si>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</si>
  <si>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</si>
  <si>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</si>
  <si>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</si>
  <si>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</si>
  <si>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</si>
  <si>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</si>
  <si>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</si>
  <si>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</si>
  <si>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</si>
  <si>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</si>
  <si>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</si>
  <si>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</si>
  <si>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</si>
  <si>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</si>
  <si>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</si>
  <si>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</si>
  <si>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</si>
  <si>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</si>
  <si>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</si>
  <si>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</si>
  <si>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</si>
  <si>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</si>
  <si>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</si>
  <si>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</si>
  <si>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</si>
  <si>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</si>
  <si>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</si>
  <si>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</si>
  <si>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</si>
  <si>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</si>
  <si>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</si>
  <si>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</si>
  <si>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</si>
  <si>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</si>
  <si>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</si>
  <si>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</si>
  <si>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</si>
  <si>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</si>
  <si>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</si>
  <si>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</si>
  <si>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</si>
  <si>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</si>
  <si>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</si>
  <si>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</si>
  <si>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</si>
  <si>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</si>
  <si>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</si>
  <si>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</si>
  <si>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</si>
  <si>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</si>
  <si>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</si>
  <si>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</si>
  <si>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</si>
  <si>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</si>
  <si>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</si>
  <si>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</si>
  <si>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</si>
  <si>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</si>
  <si>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</si>
  <si>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</si>
  <si>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</si>
  <si>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</si>
  <si>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</si>
  <si>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</si>
  <si>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</si>
  <si>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</si>
  <si>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</si>
  <si>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</si>
  <si>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</si>
  <si>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</si>
  <si>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</si>
  <si>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</si>
  <si>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</si>
  <si>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</si>
  <si>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</si>
  <si>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</si>
  <si>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</si>
  <si>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</si>
  <si>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</si>
  <si>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</si>
  <si>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</si>
  <si>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</si>
  <si>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</si>
  <si>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</si>
  <si>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</si>
  <si>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</si>
  <si>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</si>
  <si>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</si>
  <si>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</si>
  <si>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</si>
  <si>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</si>
  <si>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</si>
  <si>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</si>
  <si>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</si>
  <si>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</si>
  <si>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</si>
  <si>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</si>
  <si>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</si>
  <si>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</si>
  <si>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</si>
  <si>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</si>
  <si>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</si>
  <si>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</si>
  <si>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</si>
  <si>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</si>
  <si>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</si>
  <si>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</si>
  <si>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</si>
  <si>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</si>
  <si>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</si>
  <si>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</si>
  <si>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</si>
  <si>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</si>
  <si>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</si>
  <si>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</si>
  <si>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</si>
  <si>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</si>
  <si>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</si>
  <si>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</si>
  <si>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</si>
  <si>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</si>
  <si>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</si>
  <si>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</si>
  <si>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</si>
  <si>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</si>
  <si>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</si>
  <si>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</si>
  <si>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</si>
  <si>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</si>
  <si>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</si>
  <si>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</si>
  <si>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</si>
  <si>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</si>
  <si>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</si>
  <si>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</si>
  <si>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</si>
  <si>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</si>
  <si>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</si>
  <si>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</si>
  <si>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</si>
  <si>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</si>
  <si>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</si>
  <si>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</si>
  <si>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</si>
  <si>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</si>
  <si>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</si>
  <si>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</si>
  <si>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</si>
  <si>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</si>
  <si>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</si>
  <si>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</si>
  <si>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</si>
  <si>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</si>
  <si>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</si>
  <si>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</si>
  <si>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</si>
  <si>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</si>
  <si>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</si>
  <si>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</si>
  <si>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</si>
  <si>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</si>
  <si>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</si>
  <si>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</si>
  <si>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</si>
  <si>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</si>
  <si>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</si>
  <si>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</si>
  <si>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</si>
  <si>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</si>
  <si>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</si>
  <si>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</si>
  <si>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</si>
  <si>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</si>
  <si>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</si>
  <si>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</si>
  <si>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</si>
  <si>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</si>
  <si>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</si>
  <si>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</si>
  <si>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</si>
  <si>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</si>
  <si>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</si>
  <si>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</si>
  <si>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</si>
  <si>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</si>
  <si>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</si>
  <si>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</si>
  <si>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</si>
  <si>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</si>
  <si>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</si>
  <si>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</si>
  <si>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</si>
  <si>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</si>
  <si>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</si>
  <si>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</si>
  <si>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</si>
  <si>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</si>
  <si>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</si>
  <si>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</si>
  <si>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</si>
  <si>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</si>
  <si>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</si>
  <si>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</si>
  <si>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</si>
  <si>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</si>
  <si>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</si>
  <si>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</si>
  <si>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</si>
  <si>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</si>
  <si>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</si>
  <si>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</si>
  <si>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</si>
  <si>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</si>
  <si>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</si>
  <si>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</si>
  <si>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</si>
  <si>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</si>
  <si>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</si>
  <si>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</si>
  <si>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</si>
  <si>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</si>
  <si>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</si>
  <si>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</si>
  <si>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</si>
  <si>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</si>
  <si>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</si>
  <si>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</si>
  <si>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</si>
  <si>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</si>
  <si>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</si>
  <si>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</si>
  <si>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</si>
  <si>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</si>
  <si>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</si>
  <si>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</si>
  <si>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</si>
  <si>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</si>
  <si>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</si>
  <si>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</si>
  <si>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</si>
  <si>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</si>
  <si>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</si>
  <si>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</si>
  <si>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</si>
  <si>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</si>
  <si>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</si>
  <si>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</si>
  <si>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</si>
  <si>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</si>
  <si>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</si>
  <si>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</si>
  <si>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</si>
  <si>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</si>
  <si>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</si>
  <si>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</si>
  <si>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</si>
  <si>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</si>
  <si>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</si>
  <si>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</si>
  <si>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</si>
  <si>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</si>
  <si>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</si>
  <si>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</si>
  <si>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</si>
  <si>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</si>
  <si>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</si>
  <si>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</si>
  <si>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</si>
  <si>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</si>
  <si>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</si>
  <si>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</si>
  <si>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</si>
  <si>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</si>
  <si>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</si>
  <si>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</si>
  <si>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</si>
  <si>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</si>
  <si>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</si>
  <si>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</si>
  <si>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</si>
  <si>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</si>
  <si>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</si>
  <si>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</si>
  <si>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</si>
  <si>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</si>
  <si>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</si>
  <si>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</si>
  <si>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</si>
  <si>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</si>
  <si>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</si>
  <si>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</si>
  <si>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</si>
  <si>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</si>
  <si>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</si>
  <si>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</si>
  <si>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</si>
  <si>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</si>
  <si>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</si>
  <si>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</si>
  <si>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</si>
  <si>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</si>
  <si>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</si>
  <si>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</si>
  <si>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</si>
  <si>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</si>
  <si>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</si>
  <si>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</si>
  <si>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</si>
  <si>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</si>
  <si>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</si>
  <si>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</si>
  <si>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</si>
  <si>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</si>
  <si>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</si>
  <si>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</si>
  <si>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</si>
  <si>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</si>
  <si>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</si>
  <si>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</si>
  <si>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</si>
  <si>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</si>
  <si>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</si>
  <si>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</si>
  <si>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</si>
  <si>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</si>
  <si>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</si>
  <si>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</si>
  <si>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</si>
  <si>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</si>
  <si>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</si>
  <si>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</si>
  <si>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</si>
  <si>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</si>
  <si>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</si>
  <si>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</si>
  <si>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</si>
  <si>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</si>
  <si>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</si>
  <si>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</si>
  <si>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</si>
  <si>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</si>
  <si>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</si>
  <si>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</si>
  <si>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</si>
  <si>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</si>
  <si>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</si>
  <si>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</si>
  <si>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</si>
  <si>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</si>
  <si>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</si>
  <si>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</si>
  <si>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</si>
  <si>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</si>
  <si>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</si>
  <si>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</si>
  <si>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</si>
  <si>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</si>
  <si>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</si>
  <si>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</si>
  <si>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</si>
  <si>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</si>
  <si>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</si>
  <si>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</si>
  <si>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</si>
  <si>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</si>
  <si>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</si>
  <si>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</si>
  <si>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</si>
  <si>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</si>
  <si>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</si>
  <si>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</si>
  <si>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</si>
  <si>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</si>
  <si>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</si>
  <si>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</si>
  <si>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</si>
  <si>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</si>
  <si>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</si>
  <si>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</si>
  <si>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</si>
  <si>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</si>
  <si>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</si>
  <si>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</si>
  <si>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</si>
  <si>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</si>
  <si>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</si>
  <si>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</si>
  <si>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</si>
  <si>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</si>
  <si>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</si>
  <si>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</si>
  <si>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</si>
  <si>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</si>
  <si>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</si>
  <si>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</si>
  <si>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</si>
  <si>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</si>
  <si>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</si>
  <si>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</si>
  <si>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</si>
  <si>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</si>
  <si>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</si>
  <si>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</si>
  <si>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</si>
  <si>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</si>
  <si>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</si>
  <si>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</si>
  <si>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</si>
  <si>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</si>
  <si>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</si>
  <si>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</si>
  <si>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</si>
  <si>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</si>
  <si>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</si>
  <si>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</si>
  <si>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</si>
  <si>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</si>
  <si>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</si>
  <si>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</si>
  <si>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</si>
  <si>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</si>
  <si>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</si>
  <si>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</si>
  <si>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</si>
  <si>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</si>
  <si>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</si>
  <si>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</si>
  <si>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</si>
  <si>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</si>
  <si>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</si>
  <si>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</si>
  <si>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</si>
  <si>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</si>
  <si>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</si>
  <si>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</si>
  <si>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</si>
  <si>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</si>
  <si>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</si>
  <si>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</si>
  <si>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</si>
  <si>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</si>
  <si>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</si>
  <si>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</si>
  <si>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</si>
  <si>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</si>
  <si>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</si>
  <si>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</si>
  <si>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</si>
  <si>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</si>
  <si>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</si>
  <si>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</si>
  <si>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</si>
  <si>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</si>
  <si>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</si>
  <si>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</si>
  <si>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</si>
  <si>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</si>
  <si>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</si>
  <si>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</si>
  <si>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</si>
  <si>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</si>
  <si>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</si>
  <si>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</si>
  <si>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</si>
  <si>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</si>
  <si>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</si>
  <si>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</si>
  <si>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</si>
  <si>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</si>
  <si>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</si>
  <si>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</si>
  <si>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</si>
  <si>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</si>
  <si>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</si>
  <si>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</si>
  <si>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</si>
  <si>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</si>
  <si>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</si>
  <si>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</si>
  <si>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</si>
  <si>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</si>
  <si>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</si>
  <si>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</si>
  <si>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</si>
  <si>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</si>
  <si>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</si>
  <si>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</si>
  <si>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</si>
  <si>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</si>
  <si>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</si>
  <si>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</si>
  <si>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</si>
  <si>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</si>
  <si>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</si>
  <si>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</si>
  <si>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</si>
  <si>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</si>
  <si>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</si>
  <si>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</si>
  <si>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</si>
  <si>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</si>
  <si>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</si>
  <si>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</si>
  <si>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</si>
  <si>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</si>
  <si>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</si>
  <si>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</si>
  <si>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</si>
  <si>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</si>
  <si>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</si>
  <si>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</si>
  <si>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</si>
  <si>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</si>
  <si>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</si>
  <si>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</si>
  <si>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</si>
  <si>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</si>
  <si>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</si>
  <si>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</si>
  <si>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</si>
  <si>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</si>
  <si>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</si>
  <si>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</si>
  <si>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</si>
  <si>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</si>
  <si>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</si>
  <si>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</si>
  <si>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</si>
  <si>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</si>
  <si>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</si>
  <si>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</si>
  <si>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</si>
  <si>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</si>
  <si>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</si>
  <si>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</si>
  <si>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</si>
  <si>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</si>
  <si>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</si>
  <si>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</si>
  <si>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</si>
  <si>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</si>
  <si>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</si>
  <si>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</si>
  <si>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</si>
  <si>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</si>
  <si>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</si>
  <si>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</si>
  <si>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</si>
  <si>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</si>
  <si>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</si>
  <si>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</si>
  <si>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</si>
  <si>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</si>
  <si>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</si>
  <si>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</si>
  <si>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</si>
  <si>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</si>
  <si>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</si>
  <si>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</si>
  <si>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</si>
  <si>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</si>
  <si>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</si>
  <si>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</si>
  <si>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</si>
  <si>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</si>
  <si>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</si>
  <si>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</si>
  <si>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</si>
  <si>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</si>
  <si>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</si>
  <si>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</si>
  <si>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</si>
  <si>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</si>
  <si>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</si>
  <si>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</si>
  <si>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</si>
  <si>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</si>
  <si>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</si>
  <si>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</si>
  <si>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</si>
  <si>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</si>
  <si>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</si>
  <si>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</si>
  <si>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</si>
  <si>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</si>
  <si>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</si>
  <si>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</si>
  <si>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</si>
  <si>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</si>
  <si>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</si>
  <si>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</si>
  <si>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</si>
  <si>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</si>
  <si>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</si>
  <si>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</si>
  <si>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</si>
  <si>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</si>
  <si>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</si>
  <si>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</si>
  <si>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</si>
  <si>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</si>
  <si>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</si>
  <si>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</si>
  <si>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</si>
  <si>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</si>
  <si>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</si>
  <si>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</si>
  <si>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</si>
  <si>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</si>
  <si>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</si>
  <si>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</si>
  <si>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</si>
  <si>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</si>
  <si>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</si>
  <si>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</si>
  <si>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</si>
  <si>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</si>
  <si>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</si>
  <si>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</si>
  <si>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</si>
  <si>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</si>
  <si>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</si>
  <si>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</si>
  <si>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</si>
  <si>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</si>
  <si>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</si>
  <si>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</si>
  <si>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</si>
  <si>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</si>
  <si>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</si>
  <si>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</si>
  <si>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</si>
  <si>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</si>
  <si>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</si>
  <si>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</si>
  <si>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</si>
  <si>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</si>
  <si>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</si>
  <si>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</si>
  <si>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</si>
  <si>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</si>
  <si>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</si>
  <si>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</si>
  <si>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</si>
  <si>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</si>
  <si>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</si>
  <si>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</si>
  <si>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</si>
  <si>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</si>
  <si>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</si>
  <si>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</si>
  <si>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</si>
  <si>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</si>
  <si>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</si>
  <si>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</si>
  <si>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</si>
  <si>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</si>
  <si>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</si>
  <si>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</si>
  <si>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</si>
  <si>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</si>
  <si>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</si>
  <si>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</si>
  <si>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</si>
  <si>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</si>
  <si>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</si>
  <si>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</si>
  <si>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</si>
  <si>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</si>
  <si>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</si>
  <si>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</si>
  <si>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</si>
  <si>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</si>
  <si>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</si>
  <si>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</si>
  <si>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</si>
  <si>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</si>
  <si>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</si>
  <si>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</si>
  <si>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</si>
  <si>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</si>
  <si>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</si>
  <si>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</si>
  <si>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</si>
  <si>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</si>
  <si>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</si>
  <si>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</si>
  <si>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</si>
  <si>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</si>
  <si>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</si>
  <si>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</si>
  <si>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</si>
  <si>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</si>
  <si>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</si>
  <si>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</si>
  <si>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</si>
  <si>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</si>
  <si>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</si>
  <si>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</si>
  <si>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</si>
  <si>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</si>
  <si>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</si>
  <si>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</si>
  <si>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</si>
  <si>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</si>
  <si>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</si>
  <si>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</si>
  <si>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</si>
  <si>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</si>
  <si>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</si>
  <si>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</si>
  <si>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</si>
  <si>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</si>
  <si>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</si>
  <si>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</si>
  <si>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</si>
  <si>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</si>
  <si>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</si>
  <si>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</si>
  <si>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</si>
  <si>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</si>
  <si>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</si>
  <si>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</si>
  <si>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</si>
  <si>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</si>
  <si>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</si>
  <si>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</si>
  <si>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</si>
  <si>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</si>
  <si>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</si>
  <si>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</si>
  <si>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</si>
  <si>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</si>
  <si>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</si>
  <si>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</si>
  <si>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</si>
  <si>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</si>
  <si>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</si>
  <si>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</si>
  <si>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</si>
  <si>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</si>
  <si>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</si>
  <si>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</si>
  <si>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</si>
  <si>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</si>
  <si>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</si>
  <si>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</si>
  <si>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</si>
  <si>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</si>
  <si>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</si>
  <si>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</si>
  <si>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</si>
  <si>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</si>
  <si>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</si>
  <si>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</si>
  <si>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</si>
  <si>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</si>
  <si>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</si>
  <si>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</si>
  <si>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</si>
  <si>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</si>
  <si>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</si>
  <si>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</si>
  <si>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</si>
  <si>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</si>
  <si>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</si>
  <si>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</si>
  <si>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</si>
  <si>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</si>
  <si>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</si>
  <si>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</si>
  <si>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</si>
  <si>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</si>
  <si>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</si>
  <si>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</si>
  <si>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</si>
  <si>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</si>
  <si>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</si>
  <si>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</si>
  <si>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</si>
  <si>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</si>
  <si>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</si>
  <si>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</si>
  <si>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</si>
  <si>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</si>
  <si>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</si>
  <si>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</si>
  <si>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</si>
  <si>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</si>
  <si>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</si>
  <si>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</si>
  <si>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</si>
  <si>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</si>
  <si>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</si>
  <si>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</si>
  <si>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</si>
  <si>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</si>
  <si>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</si>
  <si>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</si>
  <si>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</si>
  <si>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</si>
  <si>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</si>
  <si>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</si>
  <si>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</si>
  <si>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</si>
  <si>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</si>
  <si>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</si>
  <si>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</si>
  <si>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</si>
  <si>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</si>
  <si>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</si>
  <si>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</si>
  <si>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</si>
  <si>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</si>
  <si>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</si>
  <si>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</si>
  <si>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</si>
  <si>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</si>
  <si>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</si>
  <si>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</si>
  <si>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</si>
  <si>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</si>
  <si>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</si>
  <si>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</si>
  <si>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</si>
  <si>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</si>
  <si>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</si>
  <si>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</si>
  <si>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</si>
  <si>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</si>
  <si>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</si>
  <si>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</si>
  <si>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</si>
  <si>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</si>
  <si>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</si>
  <si>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</si>
  <si>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</si>
  <si>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</si>
  <si>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</si>
  <si>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</si>
  <si>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</si>
  <si>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</si>
  <si>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</si>
  <si>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</si>
  <si>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</si>
  <si>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</si>
  <si>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</si>
  <si>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</si>
  <si>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</si>
  <si>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</si>
  <si>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</si>
  <si>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</si>
  <si>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</si>
  <si>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</si>
  <si>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</si>
  <si>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</si>
  <si>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</si>
  <si>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</si>
  <si>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</si>
  <si>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</si>
  <si>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</si>
  <si>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</si>
  <si>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</si>
  <si>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</si>
  <si>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</si>
  <si>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</si>
  <si>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</si>
  <si>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</si>
  <si>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</si>
  <si>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</si>
  <si>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</si>
  <si>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</si>
  <si>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</si>
  <si>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</si>
  <si>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</si>
  <si>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</si>
  <si>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</si>
  <si>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</si>
  <si>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</si>
  <si>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</si>
  <si>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</si>
  <si>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</si>
  <si>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</si>
  <si>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</si>
  <si>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</si>
  <si>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</si>
  <si>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</si>
  <si>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</si>
  <si>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</si>
  <si>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</si>
  <si>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</si>
  <si>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</si>
  <si>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</si>
  <si>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</si>
  <si>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</si>
  <si>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</si>
  <si>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</si>
  <si>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</si>
  <si>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</si>
  <si>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</si>
  <si>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</si>
  <si>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</si>
  <si>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</si>
  <si>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</si>
  <si>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</si>
  <si>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</si>
  <si>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</si>
  <si>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</si>
  <si>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</si>
  <si>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</si>
  <si>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</si>
  <si>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</si>
  <si>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</si>
  <si>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</si>
  <si>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</si>
  <si>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</si>
  <si>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</si>
  <si>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</si>
  <si>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</si>
  <si>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</si>
  <si>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</si>
  <si>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</si>
  <si>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</si>
  <si>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</si>
  <si>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</si>
  <si>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</si>
  <si>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</si>
  <si>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</si>
  <si>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</si>
  <si>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</si>
  <si>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</si>
  <si>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</si>
  <si>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</si>
  <si>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</si>
  <si>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</si>
  <si>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</si>
  <si>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</si>
  <si>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</si>
  <si>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</si>
  <si>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</si>
  <si>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</si>
  <si>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</si>
  <si>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</si>
  <si>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</si>
  <si>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</si>
  <si>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</si>
  <si>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</si>
  <si>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</si>
  <si>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</si>
  <si>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</si>
  <si>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</si>
  <si>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</si>
  <si>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</si>
  <si>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</si>
  <si>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</si>
  <si>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</si>
  <si>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</si>
  <si>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</si>
  <si>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</si>
  <si>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</si>
  <si>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</si>
  <si>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</si>
  <si>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</si>
  <si>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</si>
  <si>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</si>
  <si>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</si>
  <si>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</si>
  <si>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</si>
  <si>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</si>
  <si>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</si>
  <si>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</si>
  <si>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</si>
  <si>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</si>
  <si>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</si>
  <si>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</si>
  <si>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</si>
  <si>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</si>
  <si>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</si>
  <si>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</si>
  <si>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</si>
  <si>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</si>
  <si>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</si>
  <si>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</si>
  <si>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</si>
  <si>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</si>
  <si>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</si>
  <si>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</si>
  <si>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</si>
  <si>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</si>
  <si>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</si>
  <si>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</si>
  <si>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</si>
  <si>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</si>
  <si>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</si>
  <si>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</si>
  <si>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</si>
  <si>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</si>
  <si>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</si>
  <si>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</si>
  <si>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</si>
  <si>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</si>
  <si>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</si>
  <si>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</si>
  <si>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</si>
  <si>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</si>
  <si>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</si>
  <si>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</si>
  <si>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</si>
  <si>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</si>
  <si>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</si>
  <si>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</si>
  <si>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</si>
  <si>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</si>
  <si>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</si>
  <si>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</si>
  <si>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</si>
  <si>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</si>
  <si>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</si>
  <si>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</si>
  <si>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</si>
  <si>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</si>
  <si>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</si>
  <si>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</si>
  <si>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</si>
  <si>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</si>
  <si>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</si>
  <si>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</si>
  <si>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</si>
  <si>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</si>
  <si>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</si>
  <si>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</si>
  <si>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</si>
  <si>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</si>
  <si>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</si>
  <si>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</si>
  <si>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</si>
  <si>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</si>
  <si>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</si>
  <si>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</si>
  <si>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</si>
  <si>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</si>
  <si>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</si>
  <si>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</si>
  <si>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</si>
  <si>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</si>
  <si>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</si>
  <si>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</si>
  <si>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</si>
  <si>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</si>
  <si>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</si>
  <si>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</si>
  <si>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</si>
  <si>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</si>
  <si>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</si>
  <si>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</si>
  <si>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</si>
  <si>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</si>
  <si>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</si>
  <si>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</si>
  <si>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</si>
  <si>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</si>
  <si>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</si>
  <si>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</si>
  <si>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</si>
  <si>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</si>
  <si>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</si>
  <si>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</si>
  <si>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</si>
  <si>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</si>
  <si>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</si>
  <si>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</si>
  <si>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</si>
  <si>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</si>
  <si>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</si>
  <si>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</si>
  <si>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</si>
  <si>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</si>
  <si>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</si>
  <si>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</si>
  <si>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</si>
  <si>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</si>
  <si>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</si>
  <si>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</si>
  <si>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</si>
  <si>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</si>
  <si>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</si>
  <si>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</si>
  <si>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</si>
  <si>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</si>
  <si>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</si>
  <si>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</si>
  <si>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</si>
  <si>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</si>
  <si>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</si>
  <si>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</si>
  <si>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</si>
  <si>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</si>
  <si>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</si>
  <si>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</si>
  <si>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</si>
  <si>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</si>
  <si>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</si>
  <si>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</si>
  <si>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</si>
  <si>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</si>
  <si>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</si>
  <si>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</si>
  <si>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</si>
  <si>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</si>
  <si>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</si>
  <si>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</si>
  <si>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</si>
  <si>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</si>
  <si>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</si>
  <si>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</si>
  <si>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</si>
  <si>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</si>
  <si>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</si>
  <si>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</si>
  <si>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</si>
  <si>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</si>
  <si>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</si>
  <si>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</si>
  <si>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</si>
  <si>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</si>
  <si>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</si>
  <si>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</si>
  <si>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</si>
  <si>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</si>
  <si>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</si>
  <si>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</si>
  <si>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</si>
  <si>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</si>
  <si>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</si>
  <si>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</si>
  <si>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</si>
  <si>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</si>
  <si>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</si>
  <si>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</si>
  <si>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</si>
  <si>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</si>
  <si>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</si>
  <si>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</si>
  <si>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</si>
  <si>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</si>
  <si>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</si>
  <si>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</si>
  <si>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</si>
  <si>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</si>
  <si>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</si>
  <si>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</si>
  <si>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</si>
  <si>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</si>
  <si>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</si>
  <si>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</si>
  <si>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</si>
  <si>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</si>
  <si>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</si>
  <si>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</si>
  <si>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</si>
  <si>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</si>
  <si>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</si>
  <si>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</si>
  <si>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</si>
  <si>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</si>
  <si>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</si>
  <si>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</si>
  <si>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</si>
  <si>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</si>
  <si>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</si>
  <si>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</si>
  <si>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</si>
  <si>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</si>
  <si>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</si>
  <si>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</si>
  <si>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</si>
  <si>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</si>
  <si>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</si>
  <si>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</si>
  <si>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</si>
  <si>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</si>
  <si>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</si>
  <si>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</si>
  <si>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</si>
  <si>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</si>
  <si>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</si>
  <si>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</si>
  <si>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</si>
  <si>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</si>
  <si>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</si>
  <si>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</si>
  <si>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</si>
  <si>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</si>
  <si>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</si>
  <si>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</si>
  <si>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</si>
  <si>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</si>
  <si>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</si>
  <si>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</si>
  <si>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</si>
  <si>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</si>
  <si>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</si>
  <si>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</si>
  <si>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</si>
  <si>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</si>
  <si>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</si>
  <si>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</si>
  <si>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</si>
  <si>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</si>
  <si>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</si>
  <si>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</si>
  <si>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</si>
  <si>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</si>
  <si>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</si>
  <si>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</si>
  <si>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</si>
  <si>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</si>
  <si>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</si>
  <si>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</si>
  <si>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</si>
  <si>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</si>
  <si>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</si>
  <si>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</si>
  <si>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</si>
  <si>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</si>
  <si>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</si>
  <si>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</si>
  <si>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</si>
  <si>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</si>
  <si>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</si>
  <si>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</si>
  <si>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</si>
  <si>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</si>
  <si>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</si>
  <si>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</si>
  <si>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</si>
  <si>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</si>
  <si>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</si>
  <si>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</si>
  <si>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</si>
  <si>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</si>
  <si>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</si>
  <si>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</si>
  <si>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</si>
  <si>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</si>
  <si>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</si>
  <si>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</si>
  <si>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</si>
  <si>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</si>
  <si>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</si>
  <si>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</si>
  <si>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</si>
  <si>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</si>
  <si>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</si>
  <si>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</si>
  <si>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</si>
  <si>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</si>
  <si>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</si>
  <si>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</si>
  <si>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</si>
  <si>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</si>
  <si>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</si>
  <si>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</si>
  <si>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</si>
  <si>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</si>
  <si>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</si>
  <si>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</si>
  <si>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</si>
  <si>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</si>
  <si>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</si>
  <si>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</si>
  <si>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</si>
  <si>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</si>
  <si>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</si>
  <si>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</si>
  <si>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</si>
  <si>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</si>
  <si>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</si>
  <si>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</si>
  <si>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</si>
  <si>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</si>
  <si>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</si>
  <si>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</si>
  <si>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</si>
  <si>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</si>
  <si>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</si>
  <si>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</si>
  <si>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</si>
  <si>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</si>
  <si>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</si>
  <si>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</si>
  <si>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</si>
  <si>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</si>
  <si>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</si>
  <si>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</si>
  <si>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</si>
  <si>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</si>
  <si>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</si>
  <si>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</si>
  <si>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</si>
  <si>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</si>
  <si>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</si>
  <si>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</si>
  <si>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</si>
  <si>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</si>
  <si>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</si>
  <si>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</si>
  <si>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</si>
  <si>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</si>
  <si>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</si>
  <si>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</si>
  <si>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</si>
  <si>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</si>
  <si>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</si>
  <si>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</si>
  <si>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</si>
  <si>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</si>
  <si>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</si>
  <si>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</si>
  <si>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</si>
  <si>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</si>
  <si>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</si>
  <si>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</si>
  <si>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</si>
  <si>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</si>
  <si>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</si>
  <si>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</si>
  <si>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</si>
  <si>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</si>
  <si>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</si>
  <si>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</si>
  <si>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</si>
  <si>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</si>
  <si>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</si>
  <si>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</si>
  <si>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</si>
  <si>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</si>
  <si>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</si>
  <si>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</si>
  <si>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</si>
  <si>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</si>
  <si>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</si>
  <si>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</si>
  <si>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</si>
  <si>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</si>
  <si>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</si>
  <si>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</si>
  <si>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</si>
  <si>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</si>
  <si>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</si>
  <si>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</si>
  <si>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</si>
  <si>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</si>
  <si>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</si>
  <si>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</si>
  <si>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</si>
  <si>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</si>
  <si>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</si>
  <si>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</si>
  <si>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</si>
  <si>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</si>
  <si>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</si>
  <si>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</si>
  <si>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</si>
  <si>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</si>
  <si>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</si>
  <si>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</si>
  <si>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</si>
  <si>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</si>
  <si>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</si>
  <si>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</si>
  <si>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</si>
  <si>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</si>
  <si>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</si>
  <si>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</si>
  <si>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</si>
  <si>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</si>
  <si>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</si>
  <si>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</si>
  <si>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</si>
  <si>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</si>
  <si>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</si>
  <si>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</si>
  <si>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</si>
  <si>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</si>
  <si>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</si>
  <si>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</si>
  <si>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</si>
  <si>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</si>
  <si>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</si>
  <si>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</si>
  <si>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</si>
  <si>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</si>
  <si>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</si>
  <si>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</si>
  <si>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</si>
  <si>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</si>
  <si>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</si>
  <si>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</si>
  <si>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</si>
  <si>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</si>
  <si>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</si>
  <si>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</si>
  <si>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</si>
  <si>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</si>
  <si>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</si>
  <si>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</si>
  <si>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</si>
  <si>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</si>
  <si>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</si>
  <si>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</si>
  <si>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</si>
  <si>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</si>
  <si>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</si>
  <si>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</si>
  <si>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</si>
  <si>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</si>
  <si>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</si>
  <si>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</si>
  <si>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</si>
  <si>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</si>
  <si>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</si>
  <si>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</si>
  <si>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</si>
  <si>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</si>
  <si>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</si>
  <si>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</si>
  <si>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</si>
  <si>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</si>
  <si>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</si>
  <si>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</si>
  <si>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</si>
  <si>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</si>
  <si>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</si>
  <si>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</si>
  <si>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</si>
  <si>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</si>
  <si>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</si>
  <si>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</si>
  <si>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</si>
  <si>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</si>
  <si>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</si>
  <si>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</si>
  <si>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</si>
  <si>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</si>
  <si>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</si>
  <si>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</si>
  <si>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</si>
  <si>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</si>
  <si>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</si>
  <si>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</si>
  <si>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</si>
  <si>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</si>
  <si>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</si>
  <si>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</si>
  <si>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</si>
  <si>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</si>
  <si>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</si>
  <si>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</si>
  <si>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</si>
  <si>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</si>
  <si>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</si>
  <si>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</si>
  <si>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</si>
  <si>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</si>
  <si>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</si>
  <si>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</si>
  <si>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</si>
  <si>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</si>
  <si>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</si>
  <si>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</si>
  <si>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</si>
  <si>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</si>
  <si>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</si>
  <si>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</si>
  <si>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</si>
  <si>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</si>
  <si>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</si>
  <si>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</si>
  <si>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</si>
  <si>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</si>
  <si>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</si>
  <si>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</si>
  <si>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</si>
  <si>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</si>
  <si>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</si>
  <si>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</si>
  <si>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</si>
  <si>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</si>
  <si>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</si>
  <si>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</si>
  <si>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</si>
  <si>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</si>
  <si>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</si>
  <si>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</si>
  <si>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</si>
  <si>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</si>
  <si>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</si>
  <si>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</si>
  <si>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</si>
  <si>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</si>
  <si>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</si>
  <si>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</si>
  <si>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</si>
  <si>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</si>
  <si>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</si>
  <si>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</si>
  <si>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</si>
  <si>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</si>
  <si>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</si>
  <si>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</si>
  <si>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</si>
  <si>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</si>
  <si>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</si>
  <si>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</si>
  <si>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</si>
  <si>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</si>
  <si>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</si>
  <si>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</si>
  <si>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</si>
  <si>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</si>
  <si>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</si>
  <si>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</si>
  <si>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</si>
  <si>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</si>
  <si>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</si>
  <si>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</si>
  <si>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</si>
  <si>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</si>
  <si>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</si>
  <si>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</si>
  <si>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</si>
  <si>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</si>
  <si>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</si>
  <si>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</si>
  <si>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</si>
  <si>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</si>
  <si>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</si>
  <si>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</si>
  <si>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</si>
  <si>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</si>
  <si>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</si>
  <si>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</si>
  <si>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</si>
  <si>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</si>
  <si>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</si>
  <si>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</si>
  <si>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</si>
  <si>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</si>
  <si>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</si>
  <si>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</si>
  <si>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</si>
  <si>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</si>
  <si>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</si>
  <si>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</si>
  <si>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</si>
  <si>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</si>
  <si>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</si>
  <si>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</si>
  <si>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</si>
  <si>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</si>
  <si>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</si>
  <si>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</si>
  <si>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</si>
  <si>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</si>
  <si>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</si>
  <si>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</si>
  <si>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</si>
  <si>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</si>
  <si>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</si>
  <si>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</si>
  <si>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</si>
  <si>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</si>
  <si>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</si>
  <si>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</si>
  <si>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</si>
  <si>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</si>
  <si>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</si>
  <si>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</si>
  <si>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</si>
  <si>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</si>
  <si>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</si>
  <si>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</si>
  <si>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</si>
  <si>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</si>
  <si>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</si>
  <si>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</si>
  <si>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</si>
  <si>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</si>
  <si>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</si>
  <si>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</si>
  <si>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</si>
  <si>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</si>
  <si>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</si>
  <si>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</si>
  <si>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</si>
  <si>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</si>
  <si>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</si>
  <si>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</si>
  <si>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</si>
  <si>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</si>
  <si>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</si>
  <si>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</si>
  <si>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</si>
  <si>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</si>
  <si>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</si>
  <si>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</si>
  <si>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</si>
  <si>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</si>
  <si>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</si>
  <si>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</si>
  <si>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</si>
  <si>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</si>
  <si>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</si>
  <si>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</si>
  <si>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</si>
  <si>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</si>
  <si>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</si>
  <si>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</si>
  <si>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</si>
  <si>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</si>
  <si>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</si>
  <si>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</si>
  <si>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</si>
  <si>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</si>
  <si>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</si>
  <si>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</si>
  <si>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</si>
  <si>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</si>
  <si>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</si>
  <si>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</si>
  <si>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</si>
  <si>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</si>
  <si>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</si>
  <si>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</si>
  <si>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</si>
  <si>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</si>
  <si>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</si>
  <si>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</si>
  <si>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</si>
  <si>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</si>
  <si>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</si>
  <si>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</si>
  <si>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</si>
  <si>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</si>
  <si>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</si>
  <si>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</si>
  <si>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</si>
  <si>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</si>
  <si>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</si>
  <si>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</si>
  <si>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</si>
  <si>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</si>
  <si>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</si>
  <si>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</si>
  <si>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</si>
  <si>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</si>
  <si>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</si>
  <si>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</si>
  <si>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</si>
  <si>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</si>
  <si>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</si>
  <si>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</si>
  <si>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</si>
  <si>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</si>
  <si>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</si>
  <si>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</si>
  <si>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</si>
  <si>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</si>
  <si>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</si>
  <si>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</si>
  <si>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</si>
  <si>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</si>
  <si>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</si>
  <si>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</si>
  <si>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</si>
  <si>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</si>
  <si>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</si>
  <si>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</si>
  <si>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</si>
  <si>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</si>
  <si>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</si>
  <si>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</si>
  <si>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</si>
  <si>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</si>
  <si>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</si>
  <si>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</si>
  <si>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</si>
  <si>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</si>
  <si>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</si>
  <si>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</si>
  <si>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</si>
  <si>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</si>
  <si>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</si>
  <si>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</si>
  <si>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</si>
  <si>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</si>
  <si>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</si>
  <si>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</si>
  <si>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</si>
  <si>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</si>
  <si>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</si>
  <si>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</si>
  <si>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</si>
  <si>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</si>
  <si>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</si>
  <si>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</si>
  <si>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</si>
  <si>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</si>
  <si>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</si>
  <si>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</si>
  <si>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</si>
  <si>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</si>
  <si>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</si>
  <si>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</si>
  <si>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</si>
  <si>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</si>
  <si>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</si>
  <si>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</si>
  <si>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</si>
  <si>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</si>
  <si>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</si>
  <si>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</si>
  <si>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</si>
  <si>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</si>
  <si>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</si>
  <si>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</si>
  <si>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</si>
  <si>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</si>
  <si>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</si>
  <si>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</si>
  <si>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</si>
  <si>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</si>
  <si>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</si>
  <si>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</si>
  <si>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</si>
  <si>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</si>
  <si>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</si>
  <si>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</si>
  <si>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</si>
  <si>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</si>
  <si>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</si>
  <si>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</si>
  <si>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</si>
  <si>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</si>
  <si>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</si>
  <si>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</si>
  <si>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</si>
  <si>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</si>
  <si>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</si>
  <si>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</si>
  <si>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</si>
  <si>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</si>
  <si>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</si>
  <si>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</si>
  <si>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</si>
  <si>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</si>
  <si>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</si>
  <si>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</si>
  <si>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</si>
  <si>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</si>
  <si>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</si>
  <si>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</si>
  <si>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</si>
  <si>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</si>
  <si>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</si>
  <si>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</si>
  <si>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</si>
  <si>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</si>
  <si>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</si>
  <si>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</si>
  <si>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</si>
  <si>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</si>
  <si>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</si>
  <si>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</si>
  <si>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</si>
  <si>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</si>
  <si>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</si>
  <si>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</si>
  <si>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</si>
  <si>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</si>
  <si>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</si>
  <si>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</si>
  <si>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</si>
  <si>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</si>
  <si>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</si>
  <si>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</si>
  <si>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</si>
  <si>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</si>
  <si>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</si>
  <si>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</si>
  <si>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</si>
  <si>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</si>
  <si>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</si>
  <si>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</si>
  <si>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</si>
  <si>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</si>
  <si>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</si>
  <si>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</si>
  <si>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</si>
  <si>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</si>
  <si>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</si>
  <si>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</si>
  <si>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</si>
  <si>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</si>
  <si>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</si>
  <si>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</si>
  <si>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</si>
  <si>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</si>
  <si>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</si>
  <si>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</si>
  <si>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</si>
  <si>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</si>
  <si>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</si>
  <si>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</si>
  <si>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</si>
  <si>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</si>
  <si>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</si>
  <si>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</si>
  <si>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</si>
  <si>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</si>
  <si>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</si>
  <si>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</si>
  <si>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</si>
  <si>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</si>
  <si>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</si>
  <si>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</si>
  <si>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</si>
  <si>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</si>
  <si>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</si>
  <si>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</si>
  <si>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</si>
  <si>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</si>
  <si>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</si>
  <si>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</si>
  <si>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</si>
  <si>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</si>
  <si>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</si>
  <si>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</si>
  <si>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</si>
  <si>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</si>
  <si>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</si>
  <si>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</si>
  <si>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</si>
  <si>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</si>
  <si>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</si>
  <si>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</si>
  <si>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</si>
  <si>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</si>
  <si>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</si>
  <si>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</si>
  <si>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</si>
  <si>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</si>
  <si>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</si>
  <si>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</si>
  <si>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</si>
  <si>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</si>
  <si>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</si>
  <si>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</si>
  <si>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</si>
  <si>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</si>
  <si>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</si>
  <si>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</si>
  <si>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</si>
  <si>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</si>
  <si>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</si>
  <si>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</si>
  <si>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</si>
  <si>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</si>
  <si>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</si>
  <si>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</si>
  <si>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</si>
  <si>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</si>
  <si>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</si>
  <si>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</si>
  <si>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</si>
  <si>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</si>
  <si>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</si>
  <si>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</si>
  <si>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</si>
  <si>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</si>
  <si>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</si>
  <si>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</si>
  <si>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</si>
  <si>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</si>
  <si>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</si>
  <si>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</si>
  <si>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</si>
  <si>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</si>
  <si>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</si>
  <si>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</si>
  <si>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</si>
  <si>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</si>
  <si>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</si>
  <si>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</si>
  <si>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</si>
  <si>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</si>
  <si>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</si>
  <si>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</si>
  <si>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</si>
  <si>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</si>
  <si>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</si>
  <si>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</si>
  <si>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</si>
  <si>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</si>
  <si>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</si>
  <si>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</si>
  <si>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</si>
  <si>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</si>
  <si>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</si>
  <si>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</si>
  <si>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</si>
  <si>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</si>
  <si>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</si>
  <si>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</si>
  <si>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</si>
  <si>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</si>
  <si>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</si>
  <si>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</si>
  <si>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</si>
  <si>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</si>
  <si>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</si>
  <si>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</si>
  <si>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</si>
  <si>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</si>
  <si>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</si>
  <si>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</si>
  <si>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</si>
  <si>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</si>
  <si>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</si>
  <si>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</si>
  <si>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</si>
  <si>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</si>
  <si>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</si>
  <si>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</si>
  <si>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</si>
  <si>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</si>
  <si>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</si>
  <si>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</si>
  <si>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</si>
  <si>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</si>
  <si>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</si>
  <si>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</si>
  <si>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</si>
  <si>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</si>
  <si>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</si>
  <si>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</si>
  <si>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</si>
  <si>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</si>
  <si>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</si>
  <si>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</si>
  <si>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</si>
  <si>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</si>
  <si>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</si>
  <si>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</si>
  <si>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</si>
  <si>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</si>
  <si>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</si>
  <si>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</si>
  <si>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</si>
  <si>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</si>
  <si>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</si>
  <si>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</si>
  <si>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</si>
  <si>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</si>
  <si>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</si>
  <si>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</si>
  <si>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</si>
  <si>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</si>
  <si>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</si>
  <si>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</si>
  <si>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</si>
  <si>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</si>
  <si>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</si>
  <si>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</si>
  <si>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</si>
  <si>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</si>
  <si>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</si>
  <si>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</si>
  <si>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</si>
  <si>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</si>
  <si>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</si>
  <si>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</si>
  <si>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</si>
  <si>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</si>
  <si>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</si>
  <si>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</si>
  <si>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</si>
  <si>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</si>
  <si>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</si>
  <si>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</si>
  <si>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</si>
  <si>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</si>
  <si>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</si>
  <si>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</si>
  <si>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</si>
  <si>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</si>
  <si>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</si>
  <si>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</si>
  <si>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</si>
  <si>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</si>
  <si>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</si>
  <si>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</si>
  <si>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</si>
  <si>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</si>
  <si>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</si>
  <si>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</si>
  <si>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</si>
  <si>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</si>
  <si>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</si>
  <si>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</si>
  <si>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</si>
  <si>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</si>
  <si>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</si>
  <si>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</si>
  <si>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</si>
  <si>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</si>
  <si>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</si>
  <si>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</si>
  <si>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</si>
  <si>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</si>
  <si>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</si>
  <si>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</si>
  <si>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</si>
  <si>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</si>
  <si>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</si>
  <si>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</si>
  <si>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</si>
  <si>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</si>
  <si>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</si>
  <si>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</si>
  <si>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</si>
  <si>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</si>
  <si>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</si>
  <si>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</si>
  <si>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</si>
  <si>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</si>
  <si>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</si>
  <si>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</si>
  <si>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</si>
  <si>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</si>
  <si>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</si>
  <si>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</si>
  <si>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</si>
  <si>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</si>
  <si>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</si>
  <si>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</si>
  <si>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</si>
  <si>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</si>
  <si>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</si>
  <si>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</si>
  <si>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</si>
  <si>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</si>
  <si>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</si>
  <si>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</si>
  <si>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</si>
  <si>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</si>
  <si>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</si>
  <si>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</si>
  <si>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</si>
  <si>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</si>
  <si>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</si>
  <si>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</si>
  <si>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</si>
  <si>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</si>
  <si>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</si>
  <si>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</si>
  <si>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</si>
  <si>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</si>
  <si>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</si>
  <si>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</si>
  <si>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</si>
  <si>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</si>
  <si>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</si>
  <si>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</si>
  <si>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</si>
  <si>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</si>
  <si>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</si>
  <si>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</si>
  <si>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</si>
  <si>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</si>
  <si>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</si>
  <si>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</si>
  <si>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</si>
  <si>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</si>
  <si>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</si>
  <si>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</si>
  <si>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</si>
  <si>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</si>
  <si>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</si>
  <si>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</si>
  <si>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</si>
  <si>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</si>
  <si>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</si>
  <si>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</si>
  <si>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</si>
  <si>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</si>
  <si>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</si>
  <si>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</si>
  <si>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</si>
  <si>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</si>
  <si>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</si>
  <si>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</si>
  <si>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</si>
  <si>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</si>
  <si>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</si>
  <si>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</si>
  <si>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</si>
  <si>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</si>
  <si>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</si>
  <si>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</si>
  <si>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</si>
  <si>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</si>
  <si>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</si>
  <si>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</si>
  <si>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</si>
  <si>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</si>
  <si>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</si>
  <si>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</si>
  <si>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</si>
  <si>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</si>
  <si>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</si>
  <si>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</si>
  <si>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</si>
  <si>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</si>
  <si>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</si>
  <si>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</si>
  <si>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</si>
  <si>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</si>
  <si>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</si>
  <si>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</si>
  <si>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</si>
  <si>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</si>
  <si>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</si>
  <si>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</si>
  <si>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</si>
  <si>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</si>
  <si>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</si>
  <si>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</si>
  <si>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</si>
  <si>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</si>
  <si>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</si>
  <si>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</si>
  <si>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</si>
  <si>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</si>
  <si>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</si>
  <si>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</si>
  <si>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</si>
  <si>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</si>
  <si>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</si>
  <si>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</si>
  <si>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</si>
  <si>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</si>
  <si>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</si>
  <si>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</si>
  <si>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</si>
  <si>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</si>
  <si>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</si>
  <si>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</si>
  <si>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</si>
  <si>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</si>
  <si>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</si>
  <si>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</si>
  <si>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</si>
  <si>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</si>
  <si>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</si>
  <si>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</si>
  <si>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</si>
  <si>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</si>
  <si>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</si>
  <si>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</si>
  <si>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</si>
  <si>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</si>
  <si>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</si>
  <si>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</si>
  <si>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</si>
  <si>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</si>
  <si>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</si>
  <si>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</si>
  <si>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</si>
  <si>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</si>
  <si>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</si>
  <si>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</si>
  <si>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</si>
  <si>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</si>
  <si>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</si>
  <si>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</si>
  <si>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</si>
  <si>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</si>
  <si>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</si>
  <si>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</si>
  <si>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</si>
  <si>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</si>
  <si>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</si>
  <si>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</si>
  <si>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</si>
  <si>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</si>
  <si>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</si>
  <si>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</si>
  <si>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</si>
  <si>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</si>
  <si>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</si>
  <si>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</si>
  <si>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</si>
  <si>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</si>
  <si>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</si>
  <si>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</si>
  <si>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</si>
  <si>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</si>
  <si>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</si>
  <si>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</si>
  <si>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</si>
  <si>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</si>
  <si>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</si>
  <si>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</si>
  <si>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</si>
  <si>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</si>
  <si>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</si>
  <si>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</si>
  <si>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</si>
  <si>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</si>
  <si>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</si>
  <si>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</si>
  <si>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</si>
  <si>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</si>
  <si>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</si>
  <si>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</si>
  <si>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</si>
  <si>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</si>
  <si>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</si>
  <si>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</si>
  <si>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</si>
  <si>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</si>
  <si>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</si>
  <si>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</si>
  <si>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</si>
  <si>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</si>
  <si>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</si>
  <si>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</si>
  <si>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</si>
  <si>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</si>
  <si>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</si>
  <si>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</si>
  <si>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</si>
  <si>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</si>
  <si>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</si>
  <si>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</si>
  <si>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</si>
  <si>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</si>
  <si>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</si>
  <si>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</si>
  <si>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</si>
  <si>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</si>
  <si>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</si>
  <si>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</si>
  <si>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</si>
  <si>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</si>
  <si>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</si>
  <si>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</si>
  <si>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</si>
  <si>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</si>
  <si>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</si>
  <si>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</si>
  <si>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</si>
  <si>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</si>
  <si>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</si>
  <si>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</si>
  <si>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</si>
  <si>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</si>
  <si>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</si>
  <si>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</si>
  <si>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</si>
  <si>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</si>
  <si>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</si>
  <si>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</si>
  <si>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</si>
  <si>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</si>
  <si>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</si>
  <si>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</si>
  <si>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</si>
  <si>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</si>
  <si>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</si>
  <si>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</si>
  <si>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</si>
  <si>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</si>
  <si>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</si>
  <si>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</si>
  <si>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</si>
  <si>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</si>
  <si>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</si>
  <si>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</si>
  <si>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</si>
  <si>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</si>
  <si>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</si>
  <si>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</si>
  <si>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</si>
  <si>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</si>
  <si>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</si>
  <si>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</si>
  <si>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</si>
  <si>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</si>
  <si>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</si>
  <si>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</si>
  <si>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</si>
  <si>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</si>
  <si>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</si>
  <si>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</si>
  <si>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</si>
  <si>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</si>
  <si>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</si>
  <si>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</si>
  <si>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</si>
  <si>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</si>
  <si>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</si>
  <si>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</si>
  <si>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</si>
  <si>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</si>
  <si>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</si>
  <si>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</si>
  <si>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</si>
  <si>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</si>
  <si>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</si>
  <si>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</si>
  <si>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</si>
  <si>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</si>
  <si>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</si>
  <si>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</si>
  <si>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</si>
  <si>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</si>
  <si>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</si>
  <si>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</si>
  <si>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</si>
  <si>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</si>
  <si>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</si>
  <si>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</si>
  <si>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</si>
  <si>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</si>
  <si>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</si>
  <si>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</si>
  <si>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</si>
  <si>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</si>
  <si>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</si>
  <si>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</si>
  <si>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</si>
  <si>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</si>
  <si>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</si>
  <si>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</si>
  <si>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</si>
  <si>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</si>
  <si>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</si>
  <si>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</si>
  <si>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</si>
  <si>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</si>
  <si>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</si>
  <si>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</si>
  <si>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</si>
  <si>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</si>
  <si>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</si>
  <si>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</si>
  <si>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</si>
  <si>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</si>
  <si>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</si>
  <si>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</si>
  <si>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</si>
  <si>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</si>
  <si>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</si>
  <si>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</si>
  <si>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</si>
  <si>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</si>
  <si>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</si>
  <si>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</si>
  <si>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</si>
  <si>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</si>
  <si>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</si>
  <si>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</si>
  <si>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</si>
  <si>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</si>
  <si>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</si>
  <si>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</si>
  <si>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</si>
  <si>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</si>
  <si>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</si>
  <si>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</si>
  <si>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</si>
  <si>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</si>
  <si>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</si>
  <si>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</si>
  <si>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</si>
  <si>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</si>
  <si>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</si>
  <si>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</si>
  <si>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</si>
  <si>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</si>
  <si>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</si>
  <si>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</si>
  <si>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</si>
  <si>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</si>
  <si>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</si>
  <si>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</si>
  <si>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</si>
  <si>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</si>
  <si>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</si>
  <si>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</si>
  <si>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</si>
  <si>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</si>
  <si>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</si>
  <si>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</si>
  <si>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</si>
  <si>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</si>
  <si>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</si>
  <si>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</si>
  <si>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</si>
  <si>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</si>
  <si>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</si>
  <si>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</si>
  <si>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</si>
  <si>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</si>
  <si>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</si>
  <si>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</si>
  <si>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</si>
  <si>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</si>
  <si>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</si>
  <si>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</si>
  <si>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</si>
  <si>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</si>
  <si>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</si>
  <si>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</si>
  <si>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</si>
  <si>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</si>
  <si>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</si>
  <si>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</si>
  <si>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</si>
  <si>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</si>
  <si>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</si>
  <si>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</si>
  <si>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</si>
  <si>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</si>
  <si>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</si>
  <si>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</si>
  <si>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</si>
  <si>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</si>
  <si>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</si>
  <si>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</si>
  <si>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</si>
  <si>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</si>
  <si>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</si>
  <si>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</si>
  <si>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</si>
  <si>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</si>
  <si>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</si>
  <si>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</si>
  <si>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</si>
  <si>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</si>
  <si>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</si>
  <si>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</si>
  <si>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</si>
  <si>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</si>
  <si>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</si>
  <si>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</si>
  <si>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</si>
  <si>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</si>
  <si>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</si>
  <si>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</si>
  <si>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</si>
  <si>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</si>
  <si>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</si>
  <si>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</si>
  <si>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</si>
  <si>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</si>
  <si>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</si>
  <si>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</si>
  <si>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</si>
  <si>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</si>
  <si>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</si>
  <si>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</si>
  <si>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</si>
  <si>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</si>
  <si>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</si>
  <si>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</si>
  <si>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</si>
  <si>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</si>
  <si>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</si>
  <si>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</si>
  <si>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</si>
  <si>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</si>
  <si>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</si>
  <si>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</si>
  <si>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</si>
  <si>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</si>
  <si>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</si>
  <si>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</si>
  <si>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</si>
  <si>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</si>
  <si>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</si>
  <si>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</si>
  <si>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</si>
  <si>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</si>
  <si>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</si>
  <si>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</si>
  <si>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</si>
  <si>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</si>
  <si>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</si>
  <si>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</si>
  <si>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</si>
  <si>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</si>
  <si>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</si>
  <si>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</si>
  <si>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</si>
  <si>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</si>
  <si>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</si>
  <si>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</si>
  <si>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</si>
  <si>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</si>
  <si>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</si>
  <si>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</si>
  <si>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</si>
  <si>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</si>
  <si>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</si>
  <si>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</si>
  <si>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</si>
  <si>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</si>
  <si>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</si>
  <si>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</si>
  <si>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</si>
  <si>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</si>
  <si>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</si>
  <si>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</si>
  <si>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</si>
  <si>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</si>
  <si>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</si>
  <si>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</si>
  <si>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</si>
  <si>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</si>
  <si>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</si>
  <si>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</si>
  <si>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</si>
  <si>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</si>
  <si>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</si>
  <si>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</si>
  <si>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</si>
  <si>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</si>
  <si>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</si>
  <si>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</si>
  <si>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</si>
  <si>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</si>
  <si>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</si>
  <si>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</si>
  <si>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</si>
  <si>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</si>
  <si>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</si>
  <si>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</si>
  <si>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</si>
  <si>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</si>
  <si>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</si>
  <si>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</si>
  <si>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</si>
  <si>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</si>
  <si>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</si>
  <si>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</si>
  <si>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</si>
  <si>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</si>
  <si>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</si>
  <si>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</si>
  <si>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</si>
  <si>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</si>
  <si>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</si>
  <si>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</si>
  <si>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</si>
  <si>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</si>
  <si>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</si>
  <si>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</si>
  <si>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</si>
  <si>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</si>
  <si>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</si>
  <si>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</si>
  <si>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</si>
  <si>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</si>
  <si>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</si>
  <si>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</si>
  <si>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</si>
  <si>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</si>
  <si>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</si>
  <si>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</si>
  <si>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</si>
  <si>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</si>
  <si>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</si>
  <si>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</si>
  <si>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</si>
  <si>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</si>
  <si>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</si>
  <si>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</si>
  <si>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</si>
  <si>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</si>
  <si>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</si>
  <si>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</si>
  <si>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</si>
  <si>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</si>
  <si>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</si>
  <si>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</si>
  <si>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</si>
  <si>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</si>
  <si>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</si>
  <si>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</si>
  <si>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</si>
  <si>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</si>
  <si>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</si>
  <si>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</si>
  <si>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</si>
  <si>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</si>
  <si>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</si>
  <si>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</si>
  <si>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</si>
  <si>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</si>
  <si>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</si>
  <si>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</si>
  <si>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</si>
  <si>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</si>
  <si>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</si>
  <si>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</si>
  <si>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</si>
  <si>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</si>
  <si>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</si>
  <si>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</si>
  <si>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</si>
  <si>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</si>
  <si>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</si>
  <si>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</si>
  <si>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</si>
  <si>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</si>
  <si>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</si>
  <si>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</si>
  <si>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</si>
  <si>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</si>
  <si>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</si>
  <si>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</si>
  <si>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2023PA-007</t>
  </si>
  <si>
    <t>9% Credit Competitive Round only</t>
  </si>
  <si>
    <t>There has not been a DCA awarded project within a one mile radius of the site within the last 6 years.</t>
  </si>
  <si>
    <t>N/a</t>
  </si>
  <si>
    <t>Low-Rise Elevator</t>
  </si>
  <si>
    <t>The Housing Authority Of Columbus, Georgia</t>
  </si>
  <si>
    <t>Electric Heat Pump</t>
  </si>
  <si>
    <t>Applicant has used the Housing Authority of Columbus utility allowances in effect July 27, 2022 through July 26, 2023 for multifamily developments.</t>
  </si>
  <si>
    <t>Cable TV &amp; Internet</t>
  </si>
  <si>
    <t>Cusseta Crossing</t>
  </si>
  <si>
    <t>City Limits</t>
  </si>
  <si>
    <t>MACO Development Company, LLC</t>
  </si>
  <si>
    <t>Jason Maddox</t>
  </si>
  <si>
    <t>Manager</t>
  </si>
  <si>
    <t>Jason@MACOCompanies.com</t>
  </si>
  <si>
    <t>Deanna Earnhart</t>
  </si>
  <si>
    <t>Executive Assistant / Project Coordinator</t>
  </si>
  <si>
    <t>Deanna@MACOCompanies.com</t>
  </si>
  <si>
    <t>Sterling Bank</t>
  </si>
  <si>
    <t>Affordable Equity Partners, Inc.</t>
  </si>
  <si>
    <t>GP/LP Equity</t>
  </si>
  <si>
    <t>Community Improvement Fund</t>
  </si>
  <si>
    <t>DDA/QCT</t>
  </si>
  <si>
    <t>Applicant believes the project is viable and in conformance with the plan.</t>
  </si>
  <si>
    <t>Novogradac &amp; Company LLP</t>
  </si>
  <si>
    <t>There is no IOI between buyer and seller. No appraisal required.</t>
  </si>
  <si>
    <t>Terracon Consultants, Inc.</t>
  </si>
  <si>
    <t>Purchase Contract</t>
  </si>
  <si>
    <t>Georgia Power Company</t>
  </si>
  <si>
    <t>Columbus Water Works</t>
  </si>
  <si>
    <t>METRA Transit System</t>
  </si>
  <si>
    <t>metrainfo@columbusga.org</t>
  </si>
  <si>
    <t>https://www.columbusga.gov/metra</t>
  </si>
  <si>
    <t>Martin Luther King, Jr Elementary School 200</t>
  </si>
  <si>
    <t>Baker Middle School 300</t>
  </si>
  <si>
    <t>Carver High School 5052</t>
  </si>
  <si>
    <t>TBD (only if Option A)</t>
  </si>
  <si>
    <t>Room</t>
  </si>
  <si>
    <t>Covered Porch</t>
  </si>
  <si>
    <t>On-site laundry</t>
  </si>
  <si>
    <t>Applicant agrees to provide the required Standard Site Amenities as well as Additional Site Amenities per the QAP.</t>
  </si>
  <si>
    <t>The CSDP is included in Tab 15 and meets all thre requirements of the architectural manual.</t>
  </si>
  <si>
    <t>Agree</t>
  </si>
  <si>
    <t>Yes - see Comment</t>
  </si>
  <si>
    <t>Applicant has reduced $50,000 from the maximum developer fee amount as a financial commitment of funds to form the Community Improvement Fund (CIF) for the future Cusseta Crossing Community Transformation Plan.</t>
  </si>
  <si>
    <t>Construction hard costs were carefully estimated from the general contractor and project engineer.</t>
  </si>
  <si>
    <t>Please see Tab 1 for the Real Estate Taxes and Insurance documentation.</t>
  </si>
  <si>
    <t>The Applicant is targeting HFOP (55+) tenancy for the proposed project.</t>
  </si>
  <si>
    <t>Applicant certifies that they will include the required number of services.</t>
  </si>
  <si>
    <t>Please see Tab 7 for the Environmental Report.</t>
  </si>
  <si>
    <t>Cusseta Crossing, LP</t>
  </si>
  <si>
    <t>Please see Tab 8 for site control documentation.</t>
  </si>
  <si>
    <t>Please see Tab 11 of the application for a letter from Georgia Power confirming electric services are available at the site. There is no gas service required for the development.</t>
  </si>
  <si>
    <t>Please see Tab 12 of the application for a letter from water &amp; sewer authority confirming water/sewer services are available at the site.</t>
  </si>
  <si>
    <t>Not applicable to this project.</t>
  </si>
  <si>
    <t>Applicant Worksheet exceeds the requirements for Earth Craft House Multifamily designation, which is included in Tab 16 of this application.</t>
  </si>
  <si>
    <t>Applicant agrees to retain a DCA qualified consultant to monitor the project for accessibility compliance.</t>
  </si>
  <si>
    <t>Applicant agrees to meet the DCA requirements per the 2023 QAP and Architectural Standards.</t>
  </si>
  <si>
    <t>Not applicable to this project - The buildings on site are vacant.</t>
  </si>
  <si>
    <t>Applicant will prepare and submit an AFHH Marketing plan if selected for funding.</t>
  </si>
  <si>
    <t>Applicant believes that the project as proposed is an optimal utilization of resources and will bring much needed affordable housing to the City of Columbus.</t>
  </si>
  <si>
    <t>The project is within one mile of a child care service, place of worship, community center, department store, high school, fire station and post office. Within 1.30 miles of a public park, federally insured banking institution, national big box general merchandise, grocery store and medical care provider. For a total of 23 available desirable points and therefore eligible for the maximum 20 desirable activities points. There are no undesirables. Please see Tab 26 for the Desirable Activities worksheet and documentation.</t>
  </si>
  <si>
    <t>Martin Luther King, Jr Elementary School received beating the odds in 2018 and serves grades K-05. Carver High School received beating the odds designation in 2018 and 2019 and serves grades 9-12. Carver High school also is eligible for points based on DCA Option C. The total grades served that qualify for points are 10. Please see Tab 28 for the Quality Education Area details.</t>
  </si>
  <si>
    <t>Applicant is not requesting points in this section.</t>
  </si>
  <si>
    <t>Not applicable to this project. The proposed application is not in the Atlanta Metro Pool.</t>
  </si>
  <si>
    <t>Applicant commits to accept resident services coordination from an entity certified as a "3rd Party Contractor" by CORES or other DCA-approved program, if such an entity serves the locality and has the capacity to provide services to the property.</t>
  </si>
  <si>
    <t xml:space="preserve">Applicant is not requesting points in this section. </t>
  </si>
  <si>
    <t>Applicant has a controlling interest in the General Partnership and the Applicant has agreed to contract with DCA PBRA under a prior QAP. Property contacts have responded to DCA staff seeking to initiate a PBRA contract within the timeframes communicated. DCA-assisted prospective residents do not face barriers in applying for a unit above those experienced by non-DCA-assisted prospective residents.</t>
  </si>
  <si>
    <t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29.  The site is located within a 2023 QCT, as shown on a map in Tab 29.  Finally, the development is within ½ mile of a Third Party Capital Investment for the Ft. Benning Road Roundabout Project.  Information about the cost of the project and the timeline is included in Tab 29 for reference. The investment in the road and streetscape are a significant improvement to the immediate area.  The enhancements will increase walkability, connectivity, pedestrian safety and access to thoroughfares for the tenant base.  </t>
  </si>
  <si>
    <t>12, 14 and 29-30</t>
  </si>
  <si>
    <t>19 - 29</t>
  </si>
  <si>
    <t>30 - 47</t>
  </si>
  <si>
    <t>PDF pages 1-3</t>
  </si>
  <si>
    <t>The Applicant and Enrichment Services Program (ESP) have partnered to create a Community Transformation Plan for Cusseta Crossing in Columbus, Georgia. ESP is committed to increasing the awareness of the impact of poverty and implementing strategies for reducing it. They identify and remove barriers to achieve family stability and promote interdependency. Turning hope into reality, ESP motivates residents toward a desirable future and encourages them to become a healthy contributor to the life of our community. ESP has been incorporated to the ownership structure as a consultant through the provided MOU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solve the issues identified in the planning process for the Community Transformation Plan throughout the Defined Neighborhood. ESP's partnerships clearly document their ability to create change in a community though local affiliates.  Please see tab 29 for the Community Transformation documentation.</t>
  </si>
  <si>
    <t>MATRA bus stop #: 1159 is within 0.4 miles walking from the primary pedestrian site entrance and serves routes 2,4 &amp; 7. Bus stop 1159 meets all requirements of a transit HUB. Please see Tab 27 for the Community Transportation documentation.</t>
  </si>
  <si>
    <t>III. APPLICATION COMPLETENESS - Applicant believes the application is complete in its entirety and is not missing any required documentation.
IV. DEEPTER TARGETING/RENT/INCOME RESTRICTIONS - Applicant is eligible for 2 points in section A. Deeper Targeting through Rent Restrictions since we are utilizing income averaging and have a 57.92% overall project percent of AMI, just under the required 58% maximum.
XI. MIXED INCOME DEVELOPMENTS - Applicant is eligible for 1 point in section B. Income Averaging since income averaging will be utilized and there will be no market rate units. 
XV. EXTENDED AFFORDABILITY COMMITMENT - Owner is willing to forgo the Qualified Contract "cancellation option" making the applicant eligible for 3 points in section A. Waiver of Qualified Contract Right. In addition to the commitment in section A, Applicant also commits to provide a right of first refusal to a qulified nonprofit organizaiton or local housing authority if the owner elects to transfer an interest in the property durring the Compliance and Extended Use Period in accordance with DCA requirements and Section 42(i)(7) of the Code. This gives eligability for an additional point in this category.
XXIII. COMPLIANCE PERFORMANCE - Applicant is eligible for the full 10 points in this section. Since there have been no Significant or Adverse Effects or Adverse Circumstances that DCA has deemed eligible for point deductions for MACO Development, LLC.</t>
  </si>
  <si>
    <t xml:space="preserve">The site is legally accessible by paved roads and documentation reflecting this is included in Tab 9.  </t>
  </si>
  <si>
    <t>Please see Tab 10 for evidence the project is in compliance with zoning regulations. Zoning is RO - Residential Office and Multifamily is a permitted use.</t>
  </si>
  <si>
    <t>Please see Tab 19 for the Qualification Determination letter for the Certifying Entity: MACO Development Company, LLC - Dev, MACO Properties, LLC - GP.  SAE waiver granted and is in Tab 44 along with the full list of properties successfully developed and that we currently own.</t>
  </si>
  <si>
    <t>Please see Tab 5 of the application for the market study. Four of the five LIHTC comparable properties reported maintaining waiting lists and the market study is estimating an absorption pace of 20 units per month indicating a demand for senior affordable housing in Columbus.</t>
  </si>
  <si>
    <t>Applicant commits to section A and engaging QBs in the development or operations of the proposed property in amounts equal to approximately 5% of total construction hard costs as certified by the Independent Auditor Report in the Final Allocation Application and to submitting a report with Final Allocation Application describing these efforts, which would detail successes, obstacles, and other notes pertaining to the applicant's attempts to follow this commitment.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</si>
</sst>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44140625" defaultRowHeight="13.2"/>
  <cols>
    <col min="1" max="1" width="171.44140625" customWidth="1"/>
  </cols>
  <sheetData>
    <row r="1" spans="1:6" ht="15" customHeight="1">
      <c r="A1" s="665" t="s">
        <v>915</v>
      </c>
    </row>
    <row r="2" spans="1:6" ht="15" customHeight="1">
      <c r="A2" s="666" t="str">
        <f>'Part I-Project Identification'!F25</f>
        <v>Cusseta Crossing</v>
      </c>
    </row>
    <row r="3" spans="1:6" ht="15" customHeight="1">
      <c r="A3" s="666" t="str">
        <f>CONCATENATE('Part I-Project Identification'!F26,", ", 'Part I-Project Identification'!J26," County")</f>
        <v>Columbus, Muscogee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7" sqref="A257"/>
    </sheetView>
  </sheetViews>
  <sheetFormatPr defaultColWidth="9.44140625" defaultRowHeight="13.2"/>
  <cols>
    <col min="1" max="1" width="2.5546875" style="6" customWidth="1"/>
    <col min="2" max="2" width="10" style="6" customWidth="1"/>
    <col min="3" max="3" width="7.5546875" style="6" customWidth="1"/>
    <col min="4" max="4" width="6.44140625" style="6" customWidth="1"/>
    <col min="5" max="5" width="6.5546875" style="6" customWidth="1"/>
    <col min="6" max="6" width="8.44140625" style="6" customWidth="1"/>
    <col min="7" max="8" width="9.5546875" style="6" customWidth="1"/>
    <col min="9" max="9" width="10.5546875" style="6" customWidth="1"/>
    <col min="10" max="10" width="11.5546875" style="6" customWidth="1"/>
    <col min="11" max="11" width="10.44140625" style="6" customWidth="1"/>
    <col min="12" max="12" width="9.5546875" style="6" customWidth="1"/>
    <col min="13" max="14" width="11" style="6" customWidth="1"/>
    <col min="15" max="15" width="13.5546875" style="6" customWidth="1"/>
    <col min="16" max="16" width="15.44140625" style="6" customWidth="1"/>
    <col min="17" max="17" width="12.44140625" style="62" customWidth="1"/>
    <col min="18" max="18" width="9.5546875" style="62" customWidth="1"/>
    <col min="19" max="21" width="7.5546875" style="62" customWidth="1"/>
    <col min="22" max="22" width="59.44140625" style="62" customWidth="1"/>
    <col min="23" max="23" width="47.5546875" style="62" customWidth="1"/>
    <col min="24" max="137" width="9.44140625" style="357" customWidth="1"/>
    <col min="138" max="138" width="12.5546875" style="357" customWidth="1"/>
    <col min="139" max="139" width="8.44140625" style="357" customWidth="1"/>
    <col min="140" max="143" width="7.44140625" style="357" customWidth="1"/>
    <col min="144" max="144" width="8.44140625" style="357" customWidth="1"/>
    <col min="145" max="148" width="7.44140625" style="357" customWidth="1"/>
    <col min="149" max="158" width="9.44140625" style="357" customWidth="1"/>
    <col min="159" max="159" width="8.44140625" style="357" customWidth="1"/>
    <col min="160" max="163" width="7.44140625" style="357" customWidth="1"/>
    <col min="164" max="168" width="9.44140625" style="357" customWidth="1"/>
    <col min="169" max="169" width="8.44140625" style="357" customWidth="1"/>
    <col min="170" max="173" width="7.44140625" style="357" customWidth="1"/>
    <col min="174" max="253" width="9.44140625" style="357" customWidth="1"/>
    <col min="254" max="258" width="11.44140625" style="357" customWidth="1"/>
    <col min="259" max="273" width="9.44140625" style="357" customWidth="1"/>
    <col min="274" max="274" width="10.44140625" style="357" customWidth="1"/>
    <col min="275" max="278" width="10" style="357" customWidth="1"/>
    <col min="279" max="282" width="9.44140625" style="357" customWidth="1"/>
    <col min="283" max="283" width="9.44140625" style="1748" customWidth="1"/>
    <col min="284" max="287" width="9.44140625" style="357" customWidth="1"/>
    <col min="288" max="288" width="9.44140625" style="1748" customWidth="1"/>
    <col min="289" max="292" width="11.44140625" style="357" customWidth="1"/>
    <col min="293" max="293" width="11.44140625" style="1748" customWidth="1"/>
    <col min="294" max="297" width="11.44140625" style="357" customWidth="1"/>
    <col min="298" max="298" width="11.44140625" style="1748" customWidth="1"/>
    <col min="299" max="313" width="9.44140625" style="1748" customWidth="1"/>
    <col min="314" max="318" width="11" style="1748" customWidth="1"/>
    <col min="319" max="319" width="9.44140625" style="1748" customWidth="1"/>
    <col min="320" max="325" width="9.44140625" style="357" customWidth="1"/>
    <col min="326" max="326" width="9.44140625" style="361" customWidth="1"/>
    <col min="327" max="341" width="9.44140625" style="357" customWidth="1"/>
    <col min="342" max="343" width="9.44140625" style="361" customWidth="1"/>
    <col min="344" max="350" width="10.44140625" style="357" customWidth="1"/>
    <col min="351" max="353" width="9.44140625" style="357"/>
    <col min="354" max="358" width="10.44140625" style="357" customWidth="1"/>
    <col min="359" max="378" width="9.44140625" style="115"/>
    <col min="379" max="379" width="9.44140625" style="357"/>
    <col min="380" max="380" width="9.44140625" style="1719"/>
    <col min="381" max="381" width="9.44140625" style="357"/>
    <col min="382" max="493" width="9.44140625" style="115"/>
    <col min="494" max="16384" width="9.44140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Cusseta Crossing, Columbus, Muscogee County</v>
      </c>
      <c r="B2" s="3661"/>
      <c r="C2" s="3661"/>
      <c r="D2" s="3661"/>
      <c r="E2" s="3661"/>
      <c r="F2" s="3661"/>
      <c r="G2" s="3661"/>
      <c r="H2" s="3661"/>
      <c r="I2" s="3661"/>
      <c r="J2" s="3661"/>
      <c r="K2" s="3661"/>
      <c r="L2" s="3661"/>
      <c r="M2" s="3661"/>
      <c r="N2" s="3661"/>
      <c r="O2" s="3661"/>
      <c r="P2" s="3661"/>
      <c r="Q2" s="3662"/>
      <c r="T2" s="1427" t="str">
        <f>A2</f>
        <v>PART FOUR - PROJECTED REVENUES &amp; EXPENSES  -  2023-0 Cusseta Crossing, Columbus, Muscogee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65" t="str">
        <f>'Part I-Project Identification'!$O$28</f>
        <v>Columbus</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3204</v>
      </c>
      <c r="R5" s="830"/>
      <c r="S5" s="337"/>
      <c r="T5" s="337"/>
      <c r="U5" s="337"/>
      <c r="W5" s="338"/>
      <c r="X5" s="3554" t="s">
        <v>3682</v>
      </c>
      <c r="Y5" s="3554" t="s">
        <v>3683</v>
      </c>
      <c r="Z5" s="3554" t="s">
        <v>3684</v>
      </c>
      <c r="AA5" s="3554" t="s">
        <v>3685</v>
      </c>
      <c r="AB5" s="3554" t="s">
        <v>3686</v>
      </c>
      <c r="AC5" s="3554" t="s">
        <v>3687</v>
      </c>
      <c r="AD5" s="3554" t="s">
        <v>3688</v>
      </c>
      <c r="AE5" s="3554" t="s">
        <v>3689</v>
      </c>
      <c r="AF5" s="3554" t="s">
        <v>3690</v>
      </c>
      <c r="AG5" s="3554" t="s">
        <v>3691</v>
      </c>
      <c r="AH5" s="3554" t="s">
        <v>861</v>
      </c>
      <c r="AI5" s="3554" t="s">
        <v>705</v>
      </c>
      <c r="AJ5" s="3554" t="s">
        <v>706</v>
      </c>
      <c r="AK5" s="3554" t="s">
        <v>707</v>
      </c>
      <c r="AL5" s="3554" t="s">
        <v>708</v>
      </c>
      <c r="AM5" s="3554" t="s">
        <v>862</v>
      </c>
      <c r="AN5" s="3554" t="s">
        <v>2131</v>
      </c>
      <c r="AO5" s="3554" t="s">
        <v>2132</v>
      </c>
      <c r="AP5" s="3554" t="s">
        <v>2133</v>
      </c>
      <c r="AQ5" s="3554" t="s">
        <v>2134</v>
      </c>
      <c r="AR5" s="3554" t="s">
        <v>3693</v>
      </c>
      <c r="AS5" s="3554" t="s">
        <v>3694</v>
      </c>
      <c r="AT5" s="3554" t="s">
        <v>3695</v>
      </c>
      <c r="AU5" s="3554" t="s">
        <v>3696</v>
      </c>
      <c r="AV5" s="3554" t="s">
        <v>3692</v>
      </c>
      <c r="AW5" s="3554" t="s">
        <v>863</v>
      </c>
      <c r="AX5" s="3554" t="s">
        <v>2135</v>
      </c>
      <c r="AY5" s="3554" t="s">
        <v>2136</v>
      </c>
      <c r="AZ5" s="3554" t="s">
        <v>2137</v>
      </c>
      <c r="BA5" s="3554" t="s">
        <v>2138</v>
      </c>
      <c r="BB5" s="3554" t="s">
        <v>3697</v>
      </c>
      <c r="BC5" s="3554" t="s">
        <v>3698</v>
      </c>
      <c r="BD5" s="3554" t="s">
        <v>3699</v>
      </c>
      <c r="BE5" s="3554" t="s">
        <v>3700</v>
      </c>
      <c r="BF5" s="3554" t="s">
        <v>3701</v>
      </c>
      <c r="BG5" s="3554" t="s">
        <v>123</v>
      </c>
      <c r="BH5" s="3554" t="s">
        <v>2139</v>
      </c>
      <c r="BI5" s="3554" t="s">
        <v>2140</v>
      </c>
      <c r="BJ5" s="3554" t="s">
        <v>2141</v>
      </c>
      <c r="BK5" s="3554" t="s">
        <v>1080</v>
      </c>
      <c r="BL5" s="3554" t="s">
        <v>3702</v>
      </c>
      <c r="BM5" s="3554" t="s">
        <v>3703</v>
      </c>
      <c r="BN5" s="3554" t="s">
        <v>3704</v>
      </c>
      <c r="BO5" s="3554" t="s">
        <v>3705</v>
      </c>
      <c r="BP5" s="3554" t="s">
        <v>3706</v>
      </c>
      <c r="BQ5" s="3554" t="s">
        <v>517</v>
      </c>
      <c r="BR5" s="3554" t="s">
        <v>518</v>
      </c>
      <c r="BS5" s="3554" t="s">
        <v>535</v>
      </c>
      <c r="BT5" s="3554" t="s">
        <v>536</v>
      </c>
      <c r="BU5" s="3554" t="s">
        <v>537</v>
      </c>
      <c r="BV5" s="3554" t="s">
        <v>3707</v>
      </c>
      <c r="BW5" s="3554" t="s">
        <v>3708</v>
      </c>
      <c r="BX5" s="3554" t="s">
        <v>3709</v>
      </c>
      <c r="BY5" s="3554" t="s">
        <v>3710</v>
      </c>
      <c r="BZ5" s="3554" t="s">
        <v>3711</v>
      </c>
      <c r="CA5" s="3554" t="s">
        <v>538</v>
      </c>
      <c r="CB5" s="3554" t="s">
        <v>539</v>
      </c>
      <c r="CC5" s="3554" t="s">
        <v>540</v>
      </c>
      <c r="CD5" s="3554" t="s">
        <v>541</v>
      </c>
      <c r="CE5" s="3554" t="s">
        <v>542</v>
      </c>
      <c r="CF5" s="3554" t="s">
        <v>543</v>
      </c>
      <c r="CG5" s="3554" t="s">
        <v>544</v>
      </c>
      <c r="CH5" s="3554" t="s">
        <v>872</v>
      </c>
      <c r="CI5" s="3554" t="s">
        <v>873</v>
      </c>
      <c r="CJ5" s="3554" t="s">
        <v>874</v>
      </c>
      <c r="CK5" s="3554" t="s">
        <v>3717</v>
      </c>
      <c r="CL5" s="3554" t="s">
        <v>3718</v>
      </c>
      <c r="CM5" s="3554" t="s">
        <v>3719</v>
      </c>
      <c r="CN5" s="3554" t="s">
        <v>3720</v>
      </c>
      <c r="CO5" s="3554" t="s">
        <v>3721</v>
      </c>
      <c r="CP5" s="3554" t="s">
        <v>3712</v>
      </c>
      <c r="CQ5" s="3554" t="s">
        <v>3713</v>
      </c>
      <c r="CR5" s="3554" t="s">
        <v>3714</v>
      </c>
      <c r="CS5" s="3554" t="s">
        <v>3715</v>
      </c>
      <c r="CT5" s="3554" t="s">
        <v>3716</v>
      </c>
      <c r="CU5" s="3554" t="s">
        <v>3722</v>
      </c>
      <c r="CV5" s="3554" t="s">
        <v>3723</v>
      </c>
      <c r="CW5" s="3554" t="s">
        <v>3724</v>
      </c>
      <c r="CX5" s="3554" t="s">
        <v>3725</v>
      </c>
      <c r="CY5" s="3554" t="s">
        <v>3726</v>
      </c>
      <c r="CZ5" s="3554" t="s">
        <v>466</v>
      </c>
      <c r="DA5" s="3554" t="s">
        <v>467</v>
      </c>
      <c r="DB5" s="3554" t="s">
        <v>468</v>
      </c>
      <c r="DC5" s="3554" t="s">
        <v>469</v>
      </c>
      <c r="DD5" s="3554" t="s">
        <v>470</v>
      </c>
      <c r="DE5" s="3554" t="s">
        <v>3727</v>
      </c>
      <c r="DF5" s="3554" t="s">
        <v>3728</v>
      </c>
      <c r="DG5" s="3554" t="s">
        <v>3729</v>
      </c>
      <c r="DH5" s="3554" t="s">
        <v>3730</v>
      </c>
      <c r="DI5" s="3554" t="s">
        <v>3731</v>
      </c>
      <c r="DJ5" s="3554" t="s">
        <v>822</v>
      </c>
      <c r="DK5" s="3554" t="s">
        <v>823</v>
      </c>
      <c r="DL5" s="3554" t="s">
        <v>824</v>
      </c>
      <c r="DM5" s="3554" t="s">
        <v>825</v>
      </c>
      <c r="DN5" s="3554" t="s">
        <v>826</v>
      </c>
      <c r="DO5" s="3554" t="s">
        <v>827</v>
      </c>
      <c r="DP5" s="3554" t="s">
        <v>828</v>
      </c>
      <c r="DQ5" s="3554" t="s">
        <v>829</v>
      </c>
      <c r="DR5" s="3554" t="s">
        <v>830</v>
      </c>
      <c r="DS5" s="3554" t="s">
        <v>831</v>
      </c>
      <c r="DT5" s="3554" t="s">
        <v>3732</v>
      </c>
      <c r="DU5" s="3554" t="s">
        <v>3733</v>
      </c>
      <c r="DV5" s="3554" t="s">
        <v>3734</v>
      </c>
      <c r="DW5" s="3554" t="s">
        <v>3735</v>
      </c>
      <c r="DX5" s="3554" t="s">
        <v>3736</v>
      </c>
      <c r="DY5" s="3554" t="s">
        <v>3737</v>
      </c>
      <c r="DZ5" s="3554" t="s">
        <v>3738</v>
      </c>
      <c r="EA5" s="3554" t="s">
        <v>3739</v>
      </c>
      <c r="EB5" s="3554" t="s">
        <v>3740</v>
      </c>
      <c r="EC5" s="3554" t="s">
        <v>3741</v>
      </c>
      <c r="ED5" s="3554" t="s">
        <v>2235</v>
      </c>
      <c r="EE5" s="3554" t="s">
        <v>2236</v>
      </c>
      <c r="EF5" s="3554" t="s">
        <v>2237</v>
      </c>
      <c r="EG5" s="3554" t="s">
        <v>2238</v>
      </c>
      <c r="EH5" s="3554" t="s">
        <v>2239</v>
      </c>
      <c r="EI5" s="3554" t="s">
        <v>3742</v>
      </c>
      <c r="EJ5" s="3554" t="s">
        <v>3743</v>
      </c>
      <c r="EK5" s="3554" t="s">
        <v>3744</v>
      </c>
      <c r="EL5" s="3554" t="s">
        <v>3745</v>
      </c>
      <c r="EM5" s="3554" t="s">
        <v>3746</v>
      </c>
      <c r="EN5" s="3554" t="s">
        <v>3747</v>
      </c>
      <c r="EO5" s="3554" t="s">
        <v>3748</v>
      </c>
      <c r="EP5" s="3554" t="s">
        <v>3749</v>
      </c>
      <c r="EQ5" s="3554" t="s">
        <v>3750</v>
      </c>
      <c r="ER5" s="3554" t="s">
        <v>3751</v>
      </c>
      <c r="ES5" s="3554" t="s">
        <v>111</v>
      </c>
      <c r="ET5" s="3554" t="s">
        <v>1083</v>
      </c>
      <c r="EU5" s="3554" t="s">
        <v>1084</v>
      </c>
      <c r="EV5" s="3554" t="s">
        <v>1139</v>
      </c>
      <c r="EW5" s="3554" t="s">
        <v>1140</v>
      </c>
      <c r="EX5" s="3554" t="s">
        <v>126</v>
      </c>
      <c r="EY5" s="3554" t="s">
        <v>1141</v>
      </c>
      <c r="EZ5" s="3554" t="s">
        <v>1142</v>
      </c>
      <c r="FA5" s="3554" t="s">
        <v>1143</v>
      </c>
      <c r="FB5" s="3554" t="s">
        <v>1144</v>
      </c>
      <c r="FC5" s="3554" t="s">
        <v>3752</v>
      </c>
      <c r="FD5" s="3554" t="s">
        <v>3753</v>
      </c>
      <c r="FE5" s="3554" t="s">
        <v>3754</v>
      </c>
      <c r="FF5" s="3554" t="s">
        <v>3755</v>
      </c>
      <c r="FG5" s="3554" t="s">
        <v>3756</v>
      </c>
      <c r="FH5" s="3554" t="s">
        <v>125</v>
      </c>
      <c r="FI5" s="3554" t="s">
        <v>853</v>
      </c>
      <c r="FJ5" s="3554" t="s">
        <v>854</v>
      </c>
      <c r="FK5" s="3554" t="s">
        <v>855</v>
      </c>
      <c r="FL5" s="3554" t="s">
        <v>856</v>
      </c>
      <c r="FM5" s="3554" t="s">
        <v>3757</v>
      </c>
      <c r="FN5" s="3554" t="s">
        <v>3758</v>
      </c>
      <c r="FO5" s="3554" t="s">
        <v>3759</v>
      </c>
      <c r="FP5" s="3554" t="s">
        <v>3760</v>
      </c>
      <c r="FQ5" s="3554" t="s">
        <v>3761</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6095</v>
      </c>
      <c r="D6" s="1515"/>
      <c r="E6" s="1515"/>
      <c r="F6" s="1515"/>
      <c r="G6" s="1211" t="s">
        <v>194</v>
      </c>
      <c r="H6" s="3663" t="s">
        <v>6097</v>
      </c>
      <c r="I6" s="3664"/>
      <c r="J6" s="3664"/>
      <c r="K6" s="686" t="s">
        <v>3136</v>
      </c>
      <c r="L6" s="3556" t="str">
        <f>'Part I-Project Identification'!$A$6</f>
        <v>April 2023</v>
      </c>
      <c r="M6" s="3556"/>
      <c r="N6" s="3556"/>
      <c r="O6" s="1717" t="s">
        <v>6077</v>
      </c>
      <c r="P6" s="1505">
        <v>68200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6281</v>
      </c>
      <c r="MQ6" s="3554" t="s">
        <v>6282</v>
      </c>
      <c r="MR6" s="3554" t="s">
        <v>6283</v>
      </c>
      <c r="MS6" s="3554" t="s">
        <v>6284</v>
      </c>
      <c r="MT6" s="3554"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6096</v>
      </c>
      <c r="E7" s="4"/>
      <c r="G7" s="1246" t="s">
        <v>2652</v>
      </c>
      <c r="I7" s="3587" t="s">
        <v>4071</v>
      </c>
      <c r="J7" s="686" t="s">
        <v>742</v>
      </c>
      <c r="K7" s="686" t="s">
        <v>3183</v>
      </c>
      <c r="L7" s="3556"/>
      <c r="M7" s="3556"/>
      <c r="N7" s="3556"/>
      <c r="O7" s="1718" t="s">
        <v>6076</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3764</v>
      </c>
      <c r="C8" s="1"/>
      <c r="E8" s="1"/>
      <c r="F8" s="1"/>
      <c r="I8" s="3587"/>
      <c r="J8" s="686" t="s">
        <v>743</v>
      </c>
      <c r="K8" s="686" t="s">
        <v>3184</v>
      </c>
      <c r="L8" s="667"/>
      <c r="M8" s="667"/>
      <c r="N8" s="1716" t="s">
        <v>6480</v>
      </c>
      <c r="O8" s="3589" t="s">
        <v>7061</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3765</v>
      </c>
      <c r="C9" s="686" t="s">
        <v>165</v>
      </c>
      <c r="D9" s="686" t="s">
        <v>510</v>
      </c>
      <c r="E9" s="686" t="s">
        <v>1382</v>
      </c>
      <c r="F9" s="686" t="s">
        <v>1382</v>
      </c>
      <c r="G9" s="3587" t="s">
        <v>6092</v>
      </c>
      <c r="H9" s="830" t="s">
        <v>3302</v>
      </c>
      <c r="I9" s="3587"/>
      <c r="J9" s="3583" t="s">
        <v>6086</v>
      </c>
      <c r="K9" s="686" t="s">
        <v>2217</v>
      </c>
      <c r="L9" s="3592" t="s">
        <v>139</v>
      </c>
      <c r="M9" s="3593"/>
      <c r="N9" s="686" t="s">
        <v>2184</v>
      </c>
      <c r="O9" s="686" t="s">
        <v>6483</v>
      </c>
      <c r="P9" s="3585" t="s">
        <v>6245</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6286</v>
      </c>
      <c r="IZ9" s="3554" t="s">
        <v>6286</v>
      </c>
      <c r="JA9" s="3554" t="s">
        <v>6286</v>
      </c>
      <c r="JB9" s="3554" t="s">
        <v>6286</v>
      </c>
      <c r="JC9" s="3554" t="s">
        <v>6286</v>
      </c>
      <c r="JD9" s="3554" t="s">
        <v>6287</v>
      </c>
      <c r="JE9" s="3554" t="s">
        <v>6287</v>
      </c>
      <c r="JF9" s="3554" t="s">
        <v>6287</v>
      </c>
      <c r="JG9" s="3554" t="s">
        <v>6287</v>
      </c>
      <c r="JH9" s="3554" t="s">
        <v>6287</v>
      </c>
      <c r="JI9" s="3554" t="s">
        <v>6289</v>
      </c>
      <c r="JJ9" s="3554" t="s">
        <v>6289</v>
      </c>
      <c r="JK9" s="3554" t="s">
        <v>6289</v>
      </c>
      <c r="JL9" s="3554" t="s">
        <v>6289</v>
      </c>
      <c r="JM9" s="3554" t="s">
        <v>6289</v>
      </c>
      <c r="JN9" s="3554" t="s">
        <v>6290</v>
      </c>
      <c r="JO9" s="3554" t="s">
        <v>6290</v>
      </c>
      <c r="JP9" s="3554" t="s">
        <v>6290</v>
      </c>
      <c r="JQ9" s="3554" t="s">
        <v>6290</v>
      </c>
      <c r="JR9" s="3554" t="s">
        <v>6290</v>
      </c>
      <c r="JS9" s="3554" t="s">
        <v>6291</v>
      </c>
      <c r="JT9" s="3554" t="s">
        <v>6291</v>
      </c>
      <c r="JU9" s="3554" t="s">
        <v>6291</v>
      </c>
      <c r="JV9" s="3554" t="s">
        <v>6291</v>
      </c>
      <c r="JW9" s="3554" t="s">
        <v>6291</v>
      </c>
      <c r="JX9" s="3554" t="s">
        <v>6484</v>
      </c>
      <c r="JY9" s="3554" t="s">
        <v>6484</v>
      </c>
      <c r="JZ9" s="3554" t="s">
        <v>6484</v>
      </c>
      <c r="KA9" s="3554" t="s">
        <v>6484</v>
      </c>
      <c r="KB9" s="3554" t="s">
        <v>6484</v>
      </c>
      <c r="KC9" s="3554" t="s">
        <v>6649</v>
      </c>
      <c r="KD9" s="3554" t="s">
        <v>6649</v>
      </c>
      <c r="KE9" s="3554" t="s">
        <v>6649</v>
      </c>
      <c r="KF9" s="3554" t="s">
        <v>6649</v>
      </c>
      <c r="KG9" s="3554" t="s">
        <v>6649</v>
      </c>
      <c r="KH9" s="3554" t="s">
        <v>6650</v>
      </c>
      <c r="KI9" s="3554" t="s">
        <v>6650</v>
      </c>
      <c r="KJ9" s="3554" t="s">
        <v>6650</v>
      </c>
      <c r="KK9" s="3554" t="s">
        <v>6650</v>
      </c>
      <c r="KL9" s="3554" t="s">
        <v>6650</v>
      </c>
      <c r="KM9" s="3554" t="s">
        <v>6293</v>
      </c>
      <c r="KN9" s="3554" t="s">
        <v>6293</v>
      </c>
      <c r="KO9" s="3554" t="s">
        <v>6293</v>
      </c>
      <c r="KP9" s="3554" t="s">
        <v>6293</v>
      </c>
      <c r="KQ9" s="3554" t="s">
        <v>6293</v>
      </c>
      <c r="KR9" s="3554" t="s">
        <v>6485</v>
      </c>
      <c r="KS9" s="3554" t="s">
        <v>6485</v>
      </c>
      <c r="KT9" s="3554" t="s">
        <v>6485</v>
      </c>
      <c r="KU9" s="3554" t="s">
        <v>6485</v>
      </c>
      <c r="KV9" s="3554" t="s">
        <v>6485</v>
      </c>
      <c r="KW9" s="3554" t="s">
        <v>6651</v>
      </c>
      <c r="KX9" s="3554" t="s">
        <v>6651</v>
      </c>
      <c r="KY9" s="3554" t="s">
        <v>6651</v>
      </c>
      <c r="KZ9" s="3554" t="s">
        <v>6651</v>
      </c>
      <c r="LA9" s="3554" t="s">
        <v>6651</v>
      </c>
      <c r="LB9" s="3554" t="s">
        <v>6652</v>
      </c>
      <c r="LC9" s="3554" t="s">
        <v>6652</v>
      </c>
      <c r="LD9" s="3554" t="s">
        <v>6652</v>
      </c>
      <c r="LE9" s="3554" t="s">
        <v>6652</v>
      </c>
      <c r="LF9" s="3554" t="s">
        <v>6652</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3932</v>
      </c>
      <c r="C10" s="686" t="s">
        <v>164</v>
      </c>
      <c r="D10" s="686" t="s">
        <v>166</v>
      </c>
      <c r="E10" s="686" t="s">
        <v>1383</v>
      </c>
      <c r="F10" s="686" t="s">
        <v>1203</v>
      </c>
      <c r="G10" s="3588"/>
      <c r="H10" s="686" t="s">
        <v>6093</v>
      </c>
      <c r="I10" s="3588"/>
      <c r="J10" s="3584"/>
      <c r="K10" s="358" t="s">
        <v>334</v>
      </c>
      <c r="L10" s="686" t="s">
        <v>1432</v>
      </c>
      <c r="M10" s="686" t="s">
        <v>504</v>
      </c>
      <c r="N10" s="686" t="s">
        <v>1382</v>
      </c>
      <c r="O10" s="686" t="s">
        <v>6497</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4.1"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4.1"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4.1"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4.1"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4.1"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4.1"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4.1" customHeight="1">
      <c r="A18" s="86" t="str">
        <f t="shared" si="0"/>
        <v/>
      </c>
      <c r="B18" s="1118">
        <v>50</v>
      </c>
      <c r="C18" s="1083">
        <v>1</v>
      </c>
      <c r="D18" s="1753">
        <v>1</v>
      </c>
      <c r="E18" s="1084">
        <v>11</v>
      </c>
      <c r="F18" s="1084">
        <v>665</v>
      </c>
      <c r="G18" s="1084">
        <v>640</v>
      </c>
      <c r="H18" s="1084">
        <v>634</v>
      </c>
      <c r="I18" s="1084">
        <v>0</v>
      </c>
      <c r="J18" s="1100">
        <f>IF(C18="",0,HLOOKUP(C18,'Part IV-Utility Allowances'!$I$11:$M$22,12))</f>
        <v>129</v>
      </c>
      <c r="K18" s="1101"/>
      <c r="L18" s="1102">
        <f t="shared" si="1"/>
        <v>505</v>
      </c>
      <c r="M18" s="1102">
        <f t="shared" si="2"/>
        <v>5555</v>
      </c>
      <c r="N18" s="1103" t="s">
        <v>2652</v>
      </c>
      <c r="O18" s="1685" t="s">
        <v>7041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11</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7315</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11</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11</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11</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11</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4.1" customHeight="1">
      <c r="A19" s="86" t="str">
        <f t="shared" si="0"/>
        <v/>
      </c>
      <c r="B19" s="1119">
        <v>60</v>
      </c>
      <c r="C19" s="132">
        <v>1</v>
      </c>
      <c r="D19" s="1751">
        <v>1</v>
      </c>
      <c r="E19" s="133">
        <v>15</v>
      </c>
      <c r="F19" s="133">
        <v>665</v>
      </c>
      <c r="G19" s="133">
        <v>768</v>
      </c>
      <c r="H19" s="133">
        <v>764</v>
      </c>
      <c r="I19" s="133">
        <v>0</v>
      </c>
      <c r="J19" s="756">
        <f>IF(C19="",0,HLOOKUP(C19,'Part IV-Utility Allowances'!$I$11:$M$22,12))</f>
        <v>129</v>
      </c>
      <c r="K19" s="644"/>
      <c r="L19" s="461">
        <f t="shared" si="1"/>
        <v>635</v>
      </c>
      <c r="M19" s="461">
        <f t="shared" si="2"/>
        <v>9525</v>
      </c>
      <c r="N19" s="695" t="s">
        <v>2652</v>
      </c>
      <c r="O19" s="1683" t="s">
        <v>7041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15</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9975</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15</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15</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15</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15</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4.1" customHeight="1">
      <c r="A20" s="86" t="str">
        <f t="shared" si="0"/>
        <v/>
      </c>
      <c r="B20" s="1119">
        <v>70</v>
      </c>
      <c r="C20" s="132">
        <v>1</v>
      </c>
      <c r="D20" s="1751">
        <v>1</v>
      </c>
      <c r="E20" s="133">
        <v>4</v>
      </c>
      <c r="F20" s="133">
        <v>665</v>
      </c>
      <c r="G20" s="133">
        <v>896</v>
      </c>
      <c r="H20" s="133">
        <v>879</v>
      </c>
      <c r="I20" s="133">
        <v>0</v>
      </c>
      <c r="J20" s="756">
        <f>IF(C20="",0,HLOOKUP(C20,'Part IV-Utility Allowances'!$I$11:$M$22,12))</f>
        <v>129</v>
      </c>
      <c r="K20" s="644"/>
      <c r="L20" s="461">
        <f t="shared" si="1"/>
        <v>750</v>
      </c>
      <c r="M20" s="461">
        <f t="shared" si="2"/>
        <v>3000</v>
      </c>
      <c r="N20" s="695" t="s">
        <v>2652</v>
      </c>
      <c r="O20" s="1683" t="s">
        <v>7041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f t="shared" si="9"/>
        <v>4</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f t="shared" si="124"/>
        <v>2660</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4</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4</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4</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4</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4.1" customHeight="1">
      <c r="A21" s="86" t="str">
        <f t="shared" si="0"/>
        <v/>
      </c>
      <c r="B21" s="1119">
        <v>50</v>
      </c>
      <c r="C21" s="132">
        <v>2</v>
      </c>
      <c r="D21" s="1751">
        <v>1</v>
      </c>
      <c r="E21" s="133">
        <v>6</v>
      </c>
      <c r="F21" s="133">
        <v>850</v>
      </c>
      <c r="G21" s="133">
        <v>767</v>
      </c>
      <c r="H21" s="133">
        <v>766</v>
      </c>
      <c r="I21" s="133">
        <v>0</v>
      </c>
      <c r="J21" s="756">
        <f>IF(C21="",0,HLOOKUP(C21,'Part IV-Utility Allowances'!$I$11:$M$22,12))</f>
        <v>161</v>
      </c>
      <c r="K21" s="644"/>
      <c r="L21" s="461">
        <f t="shared" si="1"/>
        <v>605</v>
      </c>
      <c r="M21" s="461">
        <f t="shared" si="2"/>
        <v>3630</v>
      </c>
      <c r="N21" s="695" t="s">
        <v>2652</v>
      </c>
      <c r="O21" s="1683" t="s">
        <v>7041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6</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5100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6</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6</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6</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6</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4.1" customHeight="1">
      <c r="A22" s="86" t="str">
        <f t="shared" si="0"/>
        <v/>
      </c>
      <c r="B22" s="1119">
        <v>60</v>
      </c>
      <c r="C22" s="132">
        <v>2</v>
      </c>
      <c r="D22" s="1751">
        <v>1</v>
      </c>
      <c r="E22" s="133">
        <v>9</v>
      </c>
      <c r="F22" s="133">
        <v>850</v>
      </c>
      <c r="G22" s="133">
        <v>921</v>
      </c>
      <c r="H22" s="133">
        <v>916</v>
      </c>
      <c r="I22" s="133">
        <v>0</v>
      </c>
      <c r="J22" s="756">
        <f>IF(C22="",0,HLOOKUP(C22,'Part IV-Utility Allowances'!$I$11:$M$22,12))</f>
        <v>161</v>
      </c>
      <c r="K22" s="644"/>
      <c r="L22" s="461">
        <f t="shared" si="1"/>
        <v>755</v>
      </c>
      <c r="M22" s="461">
        <f t="shared" si="2"/>
        <v>6795</v>
      </c>
      <c r="N22" s="695" t="s">
        <v>2652</v>
      </c>
      <c r="O22" s="1683" t="s">
        <v>7041</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9</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7650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9</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9</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f t="shared" si="265"/>
        <v>9</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9</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4.1" customHeight="1">
      <c r="A23" s="86" t="str">
        <f t="shared" si="0"/>
        <v/>
      </c>
      <c r="B23" s="1119">
        <v>70</v>
      </c>
      <c r="C23" s="132">
        <v>2</v>
      </c>
      <c r="D23" s="1751">
        <v>1</v>
      </c>
      <c r="E23" s="133">
        <v>3</v>
      </c>
      <c r="F23" s="133">
        <v>850</v>
      </c>
      <c r="G23" s="133">
        <v>1074</v>
      </c>
      <c r="H23" s="133">
        <v>1061</v>
      </c>
      <c r="I23" s="133">
        <v>0</v>
      </c>
      <c r="J23" s="756">
        <f>IF(C23="",0,HLOOKUP(C23,'Part IV-Utility Allowances'!$I$11:$M$22,12))</f>
        <v>161</v>
      </c>
      <c r="K23" s="644"/>
      <c r="L23" s="461">
        <f t="shared" si="1"/>
        <v>900</v>
      </c>
      <c r="M23" s="461">
        <f t="shared" si="2"/>
        <v>2700</v>
      </c>
      <c r="N23" s="695" t="s">
        <v>2652</v>
      </c>
      <c r="O23" s="1683" t="s">
        <v>7041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f t="shared" si="10"/>
        <v>3</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f t="shared" si="125"/>
        <v>2550</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3</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3</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f t="shared" si="265"/>
        <v>3</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3</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4.1"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4.1"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4.1"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4.1"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4.1"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4.1"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4.1"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4.1"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4.1"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4.1"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4.1"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4.1"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4.1"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4.1"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4.1"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4.1"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4.1"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4.1"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4.1"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4.1"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4.1"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4.1"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4.1"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4.1"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4.1"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4.1" customHeight="1">
      <c r="A49" s="1432">
        <f>COUNT(A11,A12,A13,A14,A15,A16,A17,A18,A19,A20,A21,A22,A23,A24,A25,A26,A27,A28,A29,A30,A31,A32,A33,A34,A35,A36,A37,A38,A39,A40)</f>
        <v>0</v>
      </c>
      <c r="B49" s="3606" t="s">
        <v>3769</v>
      </c>
      <c r="C49" s="3607"/>
      <c r="D49" s="107" t="s">
        <v>954</v>
      </c>
      <c r="E49" s="1113">
        <f>SUM(E11:E48)</f>
        <v>48</v>
      </c>
      <c r="F49" s="1111">
        <f>(E11*F11+E12*F12+E13*F13+E14*F14+E15*F15+E16*F16+E17*F17+E18*F18+E19*F19+E20*F20+E21*F21+E22*F22+E23*F23+E24*F24+E25*F25+E26*F26+E27*F27+E28*F28+E29*F29+E30*F30+E31*F31+E32*F32+E33*F33+E34*F34+E35*F35+E36*F36+E37*F37+E38*F38+E39*F39+E40*F40+E41*F41+E42*F42+E43*F43+E44*F44+E45*F45+E46*F46+E47*F47+E48*F48)</f>
        <v>35250</v>
      </c>
      <c r="H49" s="3580" t="s">
        <v>3766</v>
      </c>
      <c r="I49" s="1114" t="s">
        <v>3767</v>
      </c>
      <c r="J49" s="1115" t="str">
        <f>IF(P67=0,"",IF(SUM(P58:P62)/P67&gt;=0.4,"Pass","Fail"))</f>
        <v>Pass</v>
      </c>
      <c r="K49" s="448"/>
      <c r="L49" s="699" t="s">
        <v>1225</v>
      </c>
      <c r="M49" s="94">
        <f>SUM(M11:M48)</f>
        <v>31205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4</v>
      </c>
      <c r="AE49" s="1749">
        <f t="shared" si="339"/>
        <v>3</v>
      </c>
      <c r="AF49" s="1749">
        <f t="shared" si="339"/>
        <v>0</v>
      </c>
      <c r="AG49" s="1749">
        <f t="shared" si="339"/>
        <v>0</v>
      </c>
      <c r="AH49" s="1749">
        <f t="shared" si="339"/>
        <v>0</v>
      </c>
      <c r="AI49" s="1749">
        <f t="shared" si="339"/>
        <v>15</v>
      </c>
      <c r="AJ49" s="1749">
        <f t="shared" si="339"/>
        <v>9</v>
      </c>
      <c r="AK49" s="1749">
        <f t="shared" si="339"/>
        <v>0</v>
      </c>
      <c r="AL49" s="1749">
        <f t="shared" si="339"/>
        <v>0</v>
      </c>
      <c r="AM49" s="1749">
        <f>SUM(AM11:AM48)</f>
        <v>0</v>
      </c>
      <c r="AN49" s="1749">
        <f>SUM(AN11:AN48)</f>
        <v>11</v>
      </c>
      <c r="AO49" s="1749">
        <f>SUM(AO11:AO48)</f>
        <v>6</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2660</v>
      </c>
      <c r="EP49" s="1749">
        <f t="shared" si="342"/>
        <v>2550</v>
      </c>
      <c r="EQ49" s="1749">
        <f t="shared" si="342"/>
        <v>0</v>
      </c>
      <c r="ER49" s="1749">
        <f t="shared" si="342"/>
        <v>0</v>
      </c>
      <c r="ES49" s="1749">
        <f t="shared" si="342"/>
        <v>0</v>
      </c>
      <c r="ET49" s="1749">
        <f t="shared" si="342"/>
        <v>9975</v>
      </c>
      <c r="EU49" s="1749">
        <f t="shared" si="342"/>
        <v>7650</v>
      </c>
      <c r="EV49" s="1749">
        <f t="shared" si="342"/>
        <v>0</v>
      </c>
      <c r="EW49" s="1749">
        <f t="shared" si="342"/>
        <v>0</v>
      </c>
      <c r="EX49" s="1749">
        <f t="shared" si="338"/>
        <v>0</v>
      </c>
      <c r="EY49" s="1749">
        <f t="shared" si="338"/>
        <v>7315</v>
      </c>
      <c r="EZ49" s="1749">
        <f t="shared" si="338"/>
        <v>5100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30</v>
      </c>
      <c r="GI49" s="1749">
        <f t="shared" si="343"/>
        <v>18</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30</v>
      </c>
      <c r="IB49" s="1749">
        <f t="shared" si="344"/>
        <v>18</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30</v>
      </c>
      <c r="JZ49" s="1749">
        <f>SUM(JZ11:JZ48)</f>
        <v>18</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30</v>
      </c>
      <c r="MM49" s="1749">
        <f t="shared" si="346"/>
        <v>18</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4.1" customHeight="1">
      <c r="B50" s="3578">
        <f>IF(SUM(E18:E48)=0,"",(B18*E18+B19*E19+B20*E20+B21*E21+B22*E22+B23*E23+B24*E24+B25*E25+B26*E26+B27*E27+B28*E28+B29*E29+B30*E30+B31*E31+B32*E32+B33*E33+B34*E34+B35*E35+B36*E36+B37*E37+B38*E38+B39*E39+B40*E40+B41*E41+B42*E42+B43*E43+B44*E44+B45*E45+B46*E46+B47*E47+B48*E48)/SUM(E18:E48))</f>
        <v>57.916666666666664</v>
      </c>
      <c r="C50" s="3579"/>
      <c r="D50" s="119" t="s">
        <v>3676</v>
      </c>
      <c r="E50" s="1110">
        <f>SUM(E18:E48)</f>
        <v>48</v>
      </c>
      <c r="F50" s="1112">
        <f>(E18*F18+E19*F19+E20*F20+E21*F21+E22*F22+E23*F23+E24*F24+E25*F25+E26*F26+E27*F27+E28*F28+E29*F29+E30*F30+E31*F31+E32*F32+E33*F33+E34*F34+E35*F35+E36*F36+E37*F37+E38*F38+E39*F39+E40*F40+E41*F41+E42*F42+E43*F43+E44*F44+E45*F45+E46*F46+E47*F47+E48*F48)</f>
        <v>35250</v>
      </c>
      <c r="H50" s="3581"/>
      <c r="I50" s="1116" t="s">
        <v>3768</v>
      </c>
      <c r="J50" s="1117" t="str">
        <f>IF(P67=0,"",IF(SUM(P59:P62)/P67&gt;=0.2,"Pass","Fail"))</f>
        <v>Pass</v>
      </c>
      <c r="K50" s="448"/>
      <c r="L50" s="107" t="s">
        <v>757</v>
      </c>
      <c r="M50" s="94">
        <f>M49*12</f>
        <v>374460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85" customHeight="1">
      <c r="A53" s="10" t="s">
        <v>689</v>
      </c>
      <c r="B53" s="10" t="s">
        <v>499</v>
      </c>
      <c r="K53" s="1891" t="s">
        <v>6642</v>
      </c>
      <c r="O53" s="3567" t="s">
        <v>3813</v>
      </c>
      <c r="P53" s="3568"/>
      <c r="S53" s="3595" t="str">
        <f>B53</f>
        <v>UNIT SUMMARY</v>
      </c>
      <c r="T53" s="3595"/>
      <c r="U53" s="3595"/>
      <c r="V53" s="3595"/>
      <c r="AY53" s="359"/>
      <c r="BD53" s="359"/>
      <c r="LO53" s="361"/>
      <c r="MD53" s="357"/>
    </row>
    <row r="54" spans="1:381" ht="14.25" customHeight="1">
      <c r="A54" s="10"/>
      <c r="B54" s="10"/>
      <c r="K54" s="144" t="s">
        <v>6644</v>
      </c>
      <c r="O54" s="3565" t="s">
        <v>7040</v>
      </c>
      <c r="P54" s="3566"/>
      <c r="S54" s="95"/>
      <c r="T54" s="95"/>
      <c r="U54" s="368"/>
      <c r="AY54" s="359"/>
      <c r="BD54" s="359"/>
      <c r="LO54" s="361"/>
      <c r="MD54" s="357"/>
    </row>
    <row r="55" spans="1:381" ht="14.8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4076</v>
      </c>
      <c r="B56" s="3659"/>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5" t="s">
        <v>3185</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3678</v>
      </c>
      <c r="I57" s="29"/>
      <c r="J57" s="62"/>
      <c r="K57" s="1127">
        <f>AC49</f>
        <v>0</v>
      </c>
      <c r="L57" s="1128">
        <f>AD49</f>
        <v>4</v>
      </c>
      <c r="M57" s="1128">
        <f>AE49</f>
        <v>3</v>
      </c>
      <c r="N57" s="1128">
        <f>AF49</f>
        <v>0</v>
      </c>
      <c r="O57" s="1129">
        <f>AG49</f>
        <v>0</v>
      </c>
      <c r="P57" s="745">
        <f t="shared" si="347"/>
        <v>7</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15</v>
      </c>
      <c r="M58" s="1128">
        <f>AJ49</f>
        <v>9</v>
      </c>
      <c r="N58" s="1128">
        <f>AK49</f>
        <v>0</v>
      </c>
      <c r="O58" s="1129">
        <f>AL49</f>
        <v>0</v>
      </c>
      <c r="P58" s="745">
        <f t="shared" si="347"/>
        <v>24</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11</v>
      </c>
      <c r="M59" s="1149">
        <f>AO49</f>
        <v>6</v>
      </c>
      <c r="N59" s="1149">
        <f>AP49</f>
        <v>0</v>
      </c>
      <c r="O59" s="1150">
        <f>AQ49</f>
        <v>0</v>
      </c>
      <c r="P59" s="466">
        <f t="shared" si="347"/>
        <v>17</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3679</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3680</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3681</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3763</v>
      </c>
      <c r="D63" s="1"/>
      <c r="E63" s="1"/>
      <c r="F63" s="1"/>
      <c r="G63" s="62"/>
      <c r="H63" s="68"/>
      <c r="I63" s="44"/>
      <c r="J63" s="62"/>
      <c r="K63" s="1092">
        <f>SUM(K56:K62)</f>
        <v>0</v>
      </c>
      <c r="L63" s="1092">
        <f>SUM(L56:L62)</f>
        <v>30</v>
      </c>
      <c r="M63" s="1092">
        <f>SUM(M56:M62)</f>
        <v>18</v>
      </c>
      <c r="N63" s="1092">
        <f>SUM(N56:N62)</f>
        <v>0</v>
      </c>
      <c r="O63" s="1092">
        <f>SUM(O56:O62)</f>
        <v>0</v>
      </c>
      <c r="P63" s="1092">
        <f t="shared" si="347"/>
        <v>48</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30</v>
      </c>
      <c r="M65" s="1099">
        <f>SUM(M63:M64)</f>
        <v>18</v>
      </c>
      <c r="N65" s="1099">
        <f>SUM(N63:N64)</f>
        <v>0</v>
      </c>
      <c r="O65" s="1099">
        <f>SUM(O63:O64)</f>
        <v>0</v>
      </c>
      <c r="P65" s="1099">
        <f t="shared" si="347"/>
        <v>48</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30</v>
      </c>
      <c r="M67" s="1091">
        <f>SUM(M65:M66)</f>
        <v>18</v>
      </c>
      <c r="N67" s="1091">
        <f>SUM(N65:N66)</f>
        <v>0</v>
      </c>
      <c r="O67" s="1091">
        <f>SUM(O65:O66)</f>
        <v>0</v>
      </c>
      <c r="P67" s="1091">
        <f t="shared" si="347"/>
        <v>48</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350000000000001"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3772</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35" customHeight="1">
      <c r="A70" s="3659"/>
      <c r="B70" s="3659"/>
      <c r="C70" s="3605"/>
      <c r="D70" s="3605"/>
      <c r="E70" s="3605"/>
      <c r="F70" s="3605"/>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4069</v>
      </c>
      <c r="E73" s="3555"/>
      <c r="F73" s="3555"/>
      <c r="G73" s="6"/>
      <c r="H73" s="81" t="s">
        <v>3678</v>
      </c>
      <c r="I73" s="29"/>
      <c r="J73" s="1"/>
      <c r="K73" s="1436" t="str">
        <f t="shared" ref="K73:P73" si="350">IF(OR(K57=0,K67=0),"",K57/K67)</f>
        <v/>
      </c>
      <c r="L73" s="1437">
        <f t="shared" si="350"/>
        <v>0.13333333333333333</v>
      </c>
      <c r="M73" s="1437">
        <f t="shared" si="350"/>
        <v>0.16666666666666666</v>
      </c>
      <c r="N73" s="1437" t="str">
        <f t="shared" si="350"/>
        <v/>
      </c>
      <c r="O73" s="1437" t="str">
        <f t="shared" si="350"/>
        <v/>
      </c>
      <c r="P73" s="1438">
        <f t="shared" si="350"/>
        <v>0.14583333333333334</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6487</v>
      </c>
      <c r="I74" s="29"/>
      <c r="J74" s="1"/>
      <c r="K74" s="1509" t="str">
        <f>IF(OR(K57=0,P73="",K67=0),"",P73*K67)</f>
        <v/>
      </c>
      <c r="L74" s="1509">
        <f>IF(OR(L57=0,P73="",L67=0),"",P73*L67)</f>
        <v>4.375</v>
      </c>
      <c r="M74" s="1509">
        <f>IF(OR(M57=0,P73="",M67=0),"",P73*M67)</f>
        <v>2.625</v>
      </c>
      <c r="N74" s="1509" t="str">
        <f>IF(OR(N57=0,P73="",N67=0),"",P73*N67)</f>
        <v/>
      </c>
      <c r="O74" s="1509" t="str">
        <f>IF(OR(O57=0,P73="",O67=0),"",P73*O67)</f>
        <v/>
      </c>
      <c r="P74" s="1510">
        <f>IF(OR(P73="",P67=0),"",P73*P67)</f>
        <v>7</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6488</v>
      </c>
      <c r="I75" s="1409"/>
      <c r="J75" s="1"/>
      <c r="K75" s="1511" t="str">
        <f t="shared" ref="K75:P75" si="351">IF(OR(K74="",K57=0),"", K57-K74)</f>
        <v/>
      </c>
      <c r="L75" s="1511">
        <f t="shared" si="351"/>
        <v>-0.375</v>
      </c>
      <c r="M75" s="1511">
        <f t="shared" si="351"/>
        <v>0.375</v>
      </c>
      <c r="N75" s="1511" t="str">
        <f t="shared" si="351"/>
        <v/>
      </c>
      <c r="O75" s="1511" t="str">
        <f t="shared" si="351"/>
        <v/>
      </c>
      <c r="P75" s="1511">
        <f t="shared" si="351"/>
        <v>0</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5"/>
      <c r="E76" s="3555"/>
      <c r="F76" s="3555"/>
      <c r="G76" s="6"/>
      <c r="H76" s="81" t="s">
        <v>1081</v>
      </c>
      <c r="I76" s="29"/>
      <c r="J76" s="1"/>
      <c r="K76" s="1436" t="str">
        <f t="shared" ref="K76:P76" si="352">IF(OR(K58=0,K67=0),"",K58/K67)</f>
        <v/>
      </c>
      <c r="L76" s="1437">
        <f t="shared" si="352"/>
        <v>0.5</v>
      </c>
      <c r="M76" s="1437">
        <f t="shared" si="352"/>
        <v>0.5</v>
      </c>
      <c r="N76" s="1437" t="str">
        <f t="shared" si="352"/>
        <v/>
      </c>
      <c r="O76" s="1437" t="str">
        <f t="shared" si="352"/>
        <v/>
      </c>
      <c r="P76" s="1438">
        <f t="shared" si="352"/>
        <v>0.5</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6487</v>
      </c>
      <c r="I77" s="29"/>
      <c r="J77" s="1"/>
      <c r="K77" s="1509" t="str">
        <f>IF(OR(K58=0,P76="",K67=0),"",P76*K67)</f>
        <v/>
      </c>
      <c r="L77" s="1509">
        <f>IF(OR(L58=0,P76="",L67=0),"",P76*L67)</f>
        <v>15</v>
      </c>
      <c r="M77" s="1509">
        <f>IF(OR(M58=0,P76="",M67=0),"",P76*M67)</f>
        <v>9</v>
      </c>
      <c r="N77" s="1509" t="str">
        <f>IF(OR(N58=0,P76="",N67=0),"",P76*N67)</f>
        <v/>
      </c>
      <c r="O77" s="1509" t="str">
        <f>IF(OR(O58=0,P76="",O67=0),"",P76*O67)</f>
        <v/>
      </c>
      <c r="P77" s="1510">
        <f>IF(OR(P76="",P67=0),"",P76*P67)</f>
        <v>24</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6488</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0.36666666666666664</v>
      </c>
      <c r="M79" s="1437">
        <f t="shared" si="354"/>
        <v>0.33333333333333331</v>
      </c>
      <c r="N79" s="1437" t="str">
        <f t="shared" si="354"/>
        <v/>
      </c>
      <c r="O79" s="1437" t="str">
        <f t="shared" si="354"/>
        <v/>
      </c>
      <c r="P79" s="1438">
        <f t="shared" si="354"/>
        <v>0.35416666666666669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10.625</v>
      </c>
      <c r="M80" s="1509">
        <f>IF(OR(M59=0,P79="",M67=0),"",P79*M67)</f>
        <v>6.375</v>
      </c>
      <c r="N80" s="1509" t="str">
        <f>IF(OR(N59=0,P79="",N67=0),"",P79*N67)</f>
        <v/>
      </c>
      <c r="O80" s="1509" t="str">
        <f>IF(OR(O59=0,P79="",O67=0),"",P79*O67)</f>
        <v/>
      </c>
      <c r="P80" s="1510">
        <f>IF(OR(P79="",P67=0),"",P79*P67)</f>
        <v>17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0.375</v>
      </c>
      <c r="M81" s="1511">
        <f t="shared" si="355"/>
        <v>-0.375</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85" customHeight="1" thickBot="1">
      <c r="A102" s="10" t="s">
        <v>689</v>
      </c>
      <c r="B102" s="10" t="s">
        <v>3875</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30</v>
      </c>
      <c r="M113" s="1125">
        <f>GI49</f>
        <v>18</v>
      </c>
      <c r="N113" s="1125">
        <f>GJ49</f>
        <v>0</v>
      </c>
      <c r="O113" s="1126">
        <f>GK49</f>
        <v>0</v>
      </c>
      <c r="P113" s="749">
        <f t="shared" ref="P113:P123" si="364">SUM(K113:O113)</f>
        <v>48</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30</v>
      </c>
      <c r="M115" s="1093">
        <f>SUM(M113:M114)+GS49</f>
        <v>18</v>
      </c>
      <c r="N115" s="1093">
        <f>SUM(N113:N114)+GT49</f>
        <v>0</v>
      </c>
      <c r="O115" s="1093">
        <f>SUM(O113:O114)+GU49</f>
        <v>0</v>
      </c>
      <c r="P115" s="1093">
        <f t="shared" si="364"/>
        <v>48</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6492</v>
      </c>
      <c r="D127" s="3557"/>
      <c r="E127" s="908" t="s">
        <v>36</v>
      </c>
      <c r="F127" s="767"/>
      <c r="G127" s="909"/>
      <c r="H127" s="1442"/>
      <c r="I127" s="910"/>
      <c r="J127" s="911"/>
      <c r="K127" s="1145">
        <f t="shared" ref="K127:P127" si="365">SUM(K128:K135)</f>
        <v>0</v>
      </c>
      <c r="L127" s="1146">
        <f t="shared" si="365"/>
        <v>30</v>
      </c>
      <c r="M127" s="1146">
        <f t="shared" si="365"/>
        <v>18</v>
      </c>
      <c r="N127" s="1146">
        <f t="shared" si="365"/>
        <v>0</v>
      </c>
      <c r="O127" s="1147">
        <f t="shared" si="365"/>
        <v>0</v>
      </c>
      <c r="P127" s="1096">
        <f t="shared" si="365"/>
        <v>48</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6479</v>
      </c>
      <c r="I130" s="33"/>
      <c r="J130" s="912"/>
      <c r="K130" s="1127">
        <f>JX49</f>
        <v>0</v>
      </c>
      <c r="L130" s="1128">
        <f>JY49</f>
        <v>30</v>
      </c>
      <c r="M130" s="1128">
        <f>JZ49</f>
        <v>18</v>
      </c>
      <c r="N130" s="1128">
        <f>KA49</f>
        <v>0</v>
      </c>
      <c r="O130" s="1129">
        <f>KB49</f>
        <v>0</v>
      </c>
      <c r="P130" s="745">
        <f t="shared" ref="P130:P135" si="367">SUM(K130:O130)</f>
        <v>48</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85" customHeight="1" thickBot="1">
      <c r="A145" s="10" t="s">
        <v>689</v>
      </c>
      <c r="B145" s="10" t="s">
        <v>3875</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6493</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30</v>
      </c>
      <c r="M153" s="1161">
        <f t="shared" si="371"/>
        <v>18</v>
      </c>
      <c r="N153" s="1161">
        <f t="shared" si="371"/>
        <v>0</v>
      </c>
      <c r="O153" s="1162">
        <f t="shared" si="371"/>
        <v>0</v>
      </c>
      <c r="P153" s="1688">
        <f t="shared" si="369"/>
        <v>48</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3891</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2660</v>
      </c>
      <c r="M158" s="1164">
        <f>EP49</f>
        <v>2550</v>
      </c>
      <c r="N158" s="1164">
        <f>EQ49</f>
        <v>0</v>
      </c>
      <c r="O158" s="1165">
        <f>ER49</f>
        <v>0</v>
      </c>
      <c r="P158" s="1088">
        <f t="shared" si="372"/>
        <v>5210</v>
      </c>
      <c r="Q158" s="1291">
        <f t="shared" si="373"/>
        <v>744.28571428571433</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9975</v>
      </c>
      <c r="M159" s="1164">
        <f>EU49</f>
        <v>7650</v>
      </c>
      <c r="N159" s="1164">
        <f>EV49</f>
        <v>0</v>
      </c>
      <c r="O159" s="1165">
        <f>EW49</f>
        <v>0</v>
      </c>
      <c r="P159" s="1088">
        <f t="shared" si="372"/>
        <v>17625</v>
      </c>
      <c r="Q159" s="1291">
        <f t="shared" si="373"/>
        <v>734.375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7315</v>
      </c>
      <c r="M160" s="1224">
        <f>EZ49</f>
        <v>5100</v>
      </c>
      <c r="N160" s="1224">
        <f>FA49</f>
        <v>0</v>
      </c>
      <c r="O160" s="1225">
        <f>FB49</f>
        <v>0</v>
      </c>
      <c r="P160" s="1226">
        <f t="shared" si="372"/>
        <v>12415</v>
      </c>
      <c r="Q160" s="1291">
        <f t="shared" si="373"/>
        <v>730.29411764705878</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19950</v>
      </c>
      <c r="M164" s="1690">
        <f>SUM(M157:M163)</f>
        <v>15300</v>
      </c>
      <c r="N164" s="1690">
        <f>SUM(N157:N163)</f>
        <v>0</v>
      </c>
      <c r="O164" s="1690">
        <f>SUM(O157:O163)</f>
        <v>0</v>
      </c>
      <c r="P164" s="1690">
        <f>SUM(K164:O164)</f>
        <v>35250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19950</v>
      </c>
      <c r="M166" s="1689">
        <f>SUM(M164:M165)</f>
        <v>15300</v>
      </c>
      <c r="N166" s="1689">
        <f>SUM(N164:N165)</f>
        <v>0</v>
      </c>
      <c r="O166" s="1689">
        <f>SUM(O164:O165)</f>
        <v>0</v>
      </c>
      <c r="P166" s="1689">
        <f>SUM(K166:O166)</f>
        <v>35250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19950</v>
      </c>
      <c r="M168" s="1094">
        <f>SUM(M166:M167)</f>
        <v>15300</v>
      </c>
      <c r="N168" s="1094">
        <f>SUM(N166:N167)</f>
        <v>0</v>
      </c>
      <c r="O168" s="1094">
        <f>SUM(O166:O167)</f>
        <v>0</v>
      </c>
      <c r="P168" s="1094">
        <f>SUM(K168:O168)</f>
        <v>35250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665</v>
      </c>
      <c r="M171" s="1290">
        <f>IF(OR(M67="",M67=0),"",M168/M67)</f>
        <v>850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4">
        <v>12000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47250</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7489.2</v>
      </c>
      <c r="I179" s="3553"/>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25920</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51100</v>
      </c>
      <c r="G221" s="3625"/>
      <c r="H221" s="1"/>
      <c r="I221" s="1" t="s">
        <v>1300</v>
      </c>
      <c r="K221" s="1"/>
      <c r="L221" s="3624"/>
      <c r="M221" s="3625"/>
      <c r="N221" s="1"/>
      <c r="O221" s="319">
        <f>+Q220/(P67*0.93)</f>
        <v>580.64516129032256</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32400</v>
      </c>
      <c r="G222" s="3600"/>
      <c r="H222" s="1"/>
      <c r="I222" s="1" t="s">
        <v>1301</v>
      </c>
      <c r="K222" s="1"/>
      <c r="L222" s="3627">
        <v>3000</v>
      </c>
      <c r="M222" s="3628"/>
      <c r="N222" s="1"/>
      <c r="O222" s="319">
        <f>+Q220/(P67*0.93)/12</f>
        <v>48.387096774193544</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3000</v>
      </c>
      <c r="M223" s="3632"/>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83500</v>
      </c>
      <c r="G227" s="3632"/>
      <c r="H227" s="1"/>
      <c r="I227" s="1" t="s">
        <v>1497</v>
      </c>
      <c r="K227" s="1"/>
      <c r="L227" s="3611">
        <v>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7000</v>
      </c>
      <c r="M228" s="3614"/>
      <c r="N228" s="3626" t="str">
        <f>IF(Q230="","",IF(Q228&lt;Q230, "WARNING! OE below required minimum.",""))</f>
        <v/>
      </c>
      <c r="O228" s="4" t="s">
        <v>2029</v>
      </c>
      <c r="P228" s="1"/>
      <c r="Q228" s="326">
        <f>F227+F236+F247+L223+L231+L241+L247+Q220</f>
        <v>268948</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500</v>
      </c>
      <c r="M229" s="3614"/>
      <c r="N229" s="3626"/>
      <c r="O229" s="42" t="s">
        <v>2486</v>
      </c>
      <c r="P229" s="319">
        <f>+Q228/P67</f>
        <v>5603.083333333333</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2000</v>
      </c>
      <c r="G230" s="3625"/>
      <c r="H230" s="1"/>
      <c r="I230" s="3617" t="s">
        <v>46</v>
      </c>
      <c r="J230" s="3618"/>
      <c r="K230" s="3619"/>
      <c r="L230" s="3629"/>
      <c r="M230" s="3630"/>
      <c r="N230" s="362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216000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8000</v>
      </c>
      <c r="G231" s="3600"/>
      <c r="H231" s="1"/>
      <c r="I231" s="4"/>
      <c r="K231" s="8" t="s">
        <v>184</v>
      </c>
      <c r="L231" s="3633">
        <f>SUM(L227:L230)</f>
        <v>8000</v>
      </c>
      <c r="M231" s="3634"/>
      <c r="N231" s="3626"/>
      <c r="O231" s="3639" t="s">
        <v>6725</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500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5150</v>
      </c>
      <c r="G234" s="3600"/>
      <c r="H234" s="1"/>
      <c r="I234" s="4" t="s">
        <v>1297</v>
      </c>
      <c r="K234" s="248" t="s">
        <v>3884</v>
      </c>
      <c r="O234" s="1312" t="s">
        <v>3085</v>
      </c>
      <c r="P234" s="4"/>
      <c r="Q234" s="917">
        <f>Q243</f>
        <v>12000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26.041666666666668</v>
      </c>
      <c r="L235" s="3611">
        <v>15000</v>
      </c>
      <c r="M235" s="3612"/>
      <c r="N235" s="3626" t="str">
        <f>IF(Q234&lt;Q243, "WARNING! RR proposed is below the DCA required minimum.","")</f>
        <v/>
      </c>
      <c r="O235" s="772" t="s">
        <v>3883</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15650</v>
      </c>
      <c r="G236" s="3632"/>
      <c r="H236" s="1"/>
      <c r="I236" s="1" t="s">
        <v>1291</v>
      </c>
      <c r="K236" s="365">
        <f>L236/12/P67</f>
        <v>0</v>
      </c>
      <c r="L236" s="3613"/>
      <c r="M236" s="3614"/>
      <c r="N236" s="3643"/>
      <c r="O236" s="3644" t="s">
        <v>3230</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5.9027777777777777</v>
      </c>
      <c r="L237" s="3613">
        <v>3400</v>
      </c>
      <c r="M237" s="3614"/>
      <c r="N237" s="3643"/>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12.5</v>
      </c>
      <c r="L238" s="3613">
        <v>7200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2400</v>
      </c>
      <c r="G239" s="3648"/>
      <c r="H239" s="1"/>
      <c r="I239" s="72" t="s">
        <v>6682</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6000</v>
      </c>
      <c r="G240" s="3636"/>
      <c r="H240" s="1"/>
      <c r="I240" s="3620" t="s">
        <v>7045</v>
      </c>
      <c r="J240" s="3621"/>
      <c r="K240" s="365">
        <f>L240/12/P67</f>
        <v>3.4722222222222219</v>
      </c>
      <c r="L240" s="3629">
        <v>2000</v>
      </c>
      <c r="M240" s="3630"/>
      <c r="N240" s="3643"/>
      <c r="O240" s="387" t="s">
        <v>3051</v>
      </c>
      <c r="P240" s="673" t="str">
        <f>CONCATENATE(SUM(MK49:MO49)," units x $",'DCA Underwriting Assumptions'!$Q$29," =")</f>
        <v>48 units x $250 =</v>
      </c>
      <c r="Q240" s="501">
        <f>SUM(MK49:MO49)*'DCA Underwriting Assumptions'!$Q$29</f>
        <v>12000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16000</v>
      </c>
      <c r="G241" s="3636"/>
      <c r="H241" s="1"/>
      <c r="K241" s="8" t="s">
        <v>184</v>
      </c>
      <c r="L241" s="3633">
        <f>SUM(L235:L240)</f>
        <v>27600</v>
      </c>
      <c r="M241" s="3634"/>
      <c r="N241" s="3643"/>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4000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1200</v>
      </c>
      <c r="G243" s="3600"/>
      <c r="H243" s="1"/>
      <c r="I243" s="4" t="s">
        <v>1298</v>
      </c>
      <c r="O243" s="769" t="s">
        <v>2467</v>
      </c>
      <c r="P243" s="770">
        <f>SUM(MF49:MJ49)+SUM(MK49:MO49)+SUM(MP49:MT49)+P125</f>
        <v>48</v>
      </c>
      <c r="Q243" s="771">
        <f>SUM(Q239:Q242)</f>
        <v>12000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3500</v>
      </c>
      <c r="G244" s="3600"/>
      <c r="H244" s="1"/>
      <c r="I244" s="72" t="s">
        <v>3930</v>
      </c>
      <c r="K244" s="1"/>
      <c r="L244" s="3611">
        <v>47037</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500</v>
      </c>
      <c r="G245" s="3600"/>
      <c r="H245" s="1"/>
      <c r="I245" s="1" t="s">
        <v>140</v>
      </c>
      <c r="K245" s="1"/>
      <c r="L245" s="3613">
        <v>24641</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33600</v>
      </c>
      <c r="G247" s="3642"/>
      <c r="H247" s="1"/>
      <c r="K247" s="8" t="s">
        <v>184</v>
      </c>
      <c r="L247" s="3633">
        <f>SUM(L243:L246)</f>
        <v>71678</v>
      </c>
      <c r="M247" s="3640"/>
      <c r="N247" s="1"/>
      <c r="O247" s="4" t="s">
        <v>2030</v>
      </c>
      <c r="P247" s="1"/>
      <c r="Q247" s="326">
        <f>Q228+Q234</f>
        <v>280948</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69"/>
      <c r="L251" s="3570"/>
      <c r="M251" s="1284" t="s">
        <v>3901</v>
      </c>
      <c r="N251" s="1222"/>
      <c r="O251" s="4" t="s">
        <v>3876</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38" t="s">
        <v>7083</v>
      </c>
      <c r="B256" s="3638"/>
      <c r="C256" s="3638"/>
      <c r="D256" s="3638"/>
      <c r="E256" s="3638"/>
      <c r="F256" s="3638"/>
      <c r="G256" s="3638"/>
      <c r="H256" s="3638"/>
      <c r="I256" s="3638"/>
      <c r="J256" s="3638"/>
      <c r="K256" s="3638"/>
      <c r="L256" s="3638"/>
      <c r="M256" s="3638"/>
      <c r="N256" s="3637"/>
      <c r="O256" s="3637"/>
      <c r="P256" s="3637"/>
      <c r="Q256" s="3637"/>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2" sqref="B32"/>
    </sheetView>
  </sheetViews>
  <sheetFormatPr defaultColWidth="8.5546875" defaultRowHeight="13.2"/>
  <cols>
    <col min="1" max="1" width="22.44140625" style="6" customWidth="1"/>
    <col min="2" max="11" width="12" style="6" customWidth="1"/>
    <col min="12" max="13" width="2.44140625" style="6" customWidth="1"/>
    <col min="14" max="14" width="19.44140625" style="6" customWidth="1"/>
    <col min="15" max="15" width="83" style="6" customWidth="1"/>
    <col min="16" max="16" width="8.5546875" style="6"/>
    <col min="17" max="17" width="5.44140625" style="6" customWidth="1"/>
    <col min="18" max="19" width="12.44140625" style="6" customWidth="1"/>
    <col min="20" max="25" width="8.5546875" style="6"/>
    <col min="26" max="26" width="10.5546875" style="1719" bestFit="1" customWidth="1"/>
    <col min="27" max="27" width="8.5546875" style="1721"/>
    <col min="28" max="16384" width="8.55468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Cusseta Crossing, Columbus, Muscogee County</v>
      </c>
      <c r="B2" s="3672"/>
      <c r="C2" s="3672"/>
      <c r="D2" s="3672"/>
      <c r="E2" s="3672"/>
      <c r="F2" s="3672"/>
      <c r="G2" s="3672"/>
      <c r="H2" s="3672"/>
      <c r="I2" s="3672"/>
      <c r="J2" s="3672"/>
      <c r="K2" s="3673"/>
      <c r="L2" s="4"/>
      <c r="M2" s="4"/>
      <c r="N2" s="3674" t="str">
        <f>A2</f>
        <v>PART SIX - OPERATING PRO FORMA  -  2023-0 Cusseta Crossing, Columbus, Muscogee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3403</v>
      </c>
      <c r="N4" s="10" t="str">
        <f>A4</f>
        <v>I.  OPERATING ASSUMPTIONS</v>
      </c>
      <c r="O4" s="10"/>
      <c r="AA4" s="1721">
        <v>4</v>
      </c>
    </row>
    <row r="5" spans="1:27" ht="2.85" customHeight="1">
      <c r="C5" s="3675"/>
      <c r="AA5" s="1721">
        <v>5</v>
      </c>
    </row>
    <row r="6" spans="1:27" ht="13.5" customHeight="1">
      <c r="A6" s="6" t="s">
        <v>2031</v>
      </c>
      <c r="B6" s="58">
        <f>'DCA Underwriting Assumptions'!$Q$99</f>
        <v>0.02</v>
      </c>
      <c r="C6" s="3675"/>
      <c r="D6" s="3558" t="s">
        <v>3404</v>
      </c>
      <c r="E6" s="3558"/>
      <c r="F6" s="3558"/>
      <c r="G6" s="59">
        <v>7500</v>
      </c>
      <c r="H6" s="75" t="s">
        <v>1768</v>
      </c>
      <c r="K6" s="80">
        <f>IF(($B$15+$B$16+$B$17+$B$18)=0,"",B31/($B$15+$B$16+$B$17+$B$18))</f>
        <v>-2.1114106611644319E-2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7.2970352449842762E-2</v>
      </c>
      <c r="N8" s="3559"/>
      <c r="O8" s="3561"/>
      <c r="AA8" s="1721">
        <v>8</v>
      </c>
    </row>
    <row r="9" spans="1:27" ht="13.35" customHeight="1">
      <c r="A9" s="6" t="s">
        <v>2033</v>
      </c>
      <c r="B9" s="186">
        <v>7.0000000000000007E-2</v>
      </c>
      <c r="C9" s="1213" t="str">
        <f>IF(B9&lt;0.07, "Must be &gt;= 7%!","")</f>
        <v/>
      </c>
      <c r="D9" s="1" t="s">
        <v>2307</v>
      </c>
      <c r="G9" s="1228" t="s">
        <v>2649</v>
      </c>
      <c r="H9" s="140" t="s">
        <v>1355</v>
      </c>
      <c r="K9" s="1230">
        <v>25920</v>
      </c>
      <c r="N9" s="3559"/>
      <c r="O9" s="3561"/>
      <c r="AA9" s="1721">
        <v>9</v>
      </c>
    </row>
    <row r="10" spans="1:27">
      <c r="A10" s="6" t="s">
        <v>1336</v>
      </c>
      <c r="B10" s="58">
        <v>0.02</v>
      </c>
      <c r="D10" s="1" t="s">
        <v>1597</v>
      </c>
      <c r="G10" s="1229"/>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85" customHeight="1">
      <c r="AA13" s="1721">
        <v>13</v>
      </c>
    </row>
    <row r="14" spans="1:27" ht="14.8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374460</v>
      </c>
      <c r="C15" s="15">
        <f t="shared" ref="C15:K15" si="1">$B$15*(1+$B$6)^(C14-1)</f>
        <v>381949.2</v>
      </c>
      <c r="D15" s="15">
        <f t="shared" si="1"/>
        <v>389588.18400000001</v>
      </c>
      <c r="E15" s="15">
        <f t="shared" si="1"/>
        <v>397379.94767999998</v>
      </c>
      <c r="F15" s="15">
        <f t="shared" si="1"/>
        <v>405327.54663359997</v>
      </c>
      <c r="G15" s="15">
        <f t="shared" si="1"/>
        <v>413434.09756627202</v>
      </c>
      <c r="H15" s="15">
        <f t="shared" si="1"/>
        <v>421702.77951759746</v>
      </c>
      <c r="I15" s="15">
        <f t="shared" si="1"/>
        <v>430136.83510794933</v>
      </c>
      <c r="J15" s="15">
        <f t="shared" si="1"/>
        <v>438739.57181010832</v>
      </c>
      <c r="K15" s="16">
        <f t="shared" si="1"/>
        <v>447514.3632463105</v>
      </c>
      <c r="N15" s="3562"/>
      <c r="O15" s="3564"/>
      <c r="S15" s="3667" t="s">
        <v>3409</v>
      </c>
      <c r="Z15" s="1719" t="s">
        <v>6461</v>
      </c>
      <c r="AA15" s="1721">
        <v>15</v>
      </c>
    </row>
    <row r="16" spans="1:27" ht="13.35" customHeight="1">
      <c r="A16" s="17" t="s">
        <v>952</v>
      </c>
      <c r="B16" s="18">
        <f>MIN(B15*B10,'Part V-Revenues &amp; Expenses'!$H$179)</f>
        <v>7489.2</v>
      </c>
      <c r="C16" s="18">
        <f t="shared" ref="C16:K16" si="2">$B$16*(1+$B$6)^(C14-1)</f>
        <v>7638.9840000000004</v>
      </c>
      <c r="D16" s="18">
        <f t="shared" si="2"/>
        <v>7791.76368</v>
      </c>
      <c r="E16" s="18">
        <f t="shared" si="2"/>
        <v>7947.5989535999988</v>
      </c>
      <c r="F16" s="18">
        <f t="shared" si="2"/>
        <v>8106.5509326719994</v>
      </c>
      <c r="G16" s="18">
        <f t="shared" si="2"/>
        <v>8268.6819513254395</v>
      </c>
      <c r="H16" s="18">
        <f t="shared" si="2"/>
        <v>8434.0555903519489</v>
      </c>
      <c r="I16" s="18">
        <f t="shared" si="2"/>
        <v>8602.7367021589871</v>
      </c>
      <c r="J16" s="18">
        <f t="shared" si="2"/>
        <v>8774.7914362021675</v>
      </c>
      <c r="K16" s="19">
        <f t="shared" si="2"/>
        <v>8950.2872649262099</v>
      </c>
      <c r="N16" s="3559"/>
      <c r="O16" s="3561"/>
      <c r="S16" s="3668"/>
      <c r="Z16" s="1719" t="s">
        <v>6461</v>
      </c>
      <c r="AA16" s="1721">
        <v>16</v>
      </c>
    </row>
    <row r="17" spans="1:27" ht="13.35" customHeight="1">
      <c r="A17" s="17" t="s">
        <v>2216</v>
      </c>
      <c r="B17" s="18">
        <f t="shared" ref="B17:K17" si="3">-(B15+B16)*$B$9</f>
        <v>-26736.444000000003</v>
      </c>
      <c r="C17" s="18">
        <f t="shared" si="3"/>
        <v>-27271.172880000002</v>
      </c>
      <c r="D17" s="18">
        <f t="shared" si="3"/>
        <v>-27816.5963376</v>
      </c>
      <c r="E17" s="18">
        <f t="shared" si="3"/>
        <v>-28372.928264352002</v>
      </c>
      <c r="F17" s="18">
        <f t="shared" si="3"/>
        <v>-28940.386829639039</v>
      </c>
      <c r="G17" s="18">
        <f t="shared" si="3"/>
        <v>-29519.194566231825</v>
      </c>
      <c r="H17" s="18">
        <f t="shared" si="3"/>
        <v>-30109.578457556461</v>
      </c>
      <c r="I17" s="18">
        <f t="shared" si="3"/>
        <v>-30711.770026707585</v>
      </c>
      <c r="J17" s="18">
        <f t="shared" si="3"/>
        <v>-31326.005427241736</v>
      </c>
      <c r="K17" s="19">
        <f t="shared" si="3"/>
        <v>-31952.525535786572</v>
      </c>
      <c r="N17" s="3559"/>
      <c r="O17" s="3561"/>
      <c r="Q17" s="3670" t="s">
        <v>3299</v>
      </c>
      <c r="R17" s="3670" t="s">
        <v>3408</v>
      </c>
      <c r="S17" s="3668"/>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355212.75599999999</v>
      </c>
      <c r="C20" s="18">
        <f t="shared" ref="C20:K20" si="4">SUM(C15:C19)</f>
        <v>362317.01111999998</v>
      </c>
      <c r="D20" s="18">
        <f t="shared" si="4"/>
        <v>369563.35134239995</v>
      </c>
      <c r="E20" s="18">
        <f t="shared" si="4"/>
        <v>376954.61836924794</v>
      </c>
      <c r="F20" s="18">
        <f t="shared" si="4"/>
        <v>384493.71073663293</v>
      </c>
      <c r="G20" s="18">
        <f t="shared" si="4"/>
        <v>392183.58495136566</v>
      </c>
      <c r="H20" s="18">
        <f t="shared" si="4"/>
        <v>400027.2566503929</v>
      </c>
      <c r="I20" s="18">
        <f t="shared" si="4"/>
        <v>408027.8017834007</v>
      </c>
      <c r="J20" s="18">
        <f t="shared" si="4"/>
        <v>416188.35781906877</v>
      </c>
      <c r="K20" s="19">
        <f t="shared" si="4"/>
        <v>424512.1249754501</v>
      </c>
      <c r="N20" s="3559"/>
      <c r="O20" s="3561"/>
      <c r="Z20" s="1719" t="s">
        <v>6461</v>
      </c>
      <c r="AA20" s="1721">
        <v>20</v>
      </c>
    </row>
    <row r="21" spans="1:27" ht="13.35" customHeight="1">
      <c r="A21" s="17" t="s">
        <v>572</v>
      </c>
      <c r="B21" s="18">
        <f>-('Part V-Revenues &amp; Expenses'!$Q$228-'Part V-Revenues &amp; Expenses'!$Q$220)</f>
        <v>-243028</v>
      </c>
      <c r="C21" s="18">
        <f t="shared" ref="C21:K21" si="5">$B$21*(1+$B$7)^(C14-1)</f>
        <v>-250318.84</v>
      </c>
      <c r="D21" s="18">
        <f t="shared" si="5"/>
        <v>-257828.40519999998</v>
      </c>
      <c r="E21" s="18">
        <f t="shared" si="5"/>
        <v>-265563.25735600002</v>
      </c>
      <c r="F21" s="18">
        <f t="shared" si="5"/>
        <v>-273530.15507668001</v>
      </c>
      <c r="G21" s="18">
        <f t="shared" si="5"/>
        <v>-281736.05972898036</v>
      </c>
      <c r="H21" s="18">
        <f t="shared" si="5"/>
        <v>-290188.14152084978</v>
      </c>
      <c r="I21" s="18">
        <f t="shared" si="5"/>
        <v>-298893.78576647531</v>
      </c>
      <c r="J21" s="18">
        <f t="shared" si="5"/>
        <v>-307860.59933946951</v>
      </c>
      <c r="K21" s="19">
        <f t="shared" si="5"/>
        <v>-317096.41731965361</v>
      </c>
      <c r="N21" s="3559"/>
      <c r="O21" s="3561"/>
      <c r="Q21" s="47">
        <v>1</v>
      </c>
      <c r="R21" s="869">
        <f>-B32</f>
        <v>37949</v>
      </c>
      <c r="S21" s="869">
        <f>B33+R21</f>
        <v>66764.755999999994</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-25920</v>
      </c>
      <c r="C22" s="18">
        <f>IF(AND('Part VI-Pro Forma'!$G$9="Yes",'Part VI-Pro Forma'!$G$10="Yes"),"Choose One!",IF('Part VI-Pro Forma'!$G$9="Yes",ROUND((-$K$9*(1+'Part VI-Pro Forma'!$B$7)^('Part VI-Pro Forma'!C14-1)),),IF('Part VI-Pro Forma'!$G$10="Yes",ROUND((-(SUM(C15:C18)*'Part VI-Pro Forma'!$K$10)),),"Choose mgt fee")))</f>
        <v>-26698</v>
      </c>
      <c r="D22" s="18">
        <f>IF(AND('Part VI-Pro Forma'!$G$9="Yes",'Part VI-Pro Forma'!$G$10="Yes"),"Choose One!",IF('Part VI-Pro Forma'!$G$9="Yes",ROUND((-$K$9*(1+'Part VI-Pro Forma'!$B$7)^('Part VI-Pro Forma'!D14-1)),),IF('Part VI-Pro Forma'!$G$10="Yes",ROUND((-(SUM(D15:D18)*'Part VI-Pro Forma'!$K$10)),),"Choose mgt fee")))</f>
        <v>-27499</v>
      </c>
      <c r="E22" s="18">
        <f>IF(AND('Part VI-Pro Forma'!$G$9="Yes",'Part VI-Pro Forma'!$G$10="Yes"),"Choose One!",IF('Part VI-Pro Forma'!$G$9="Yes",ROUND((-$K$9*(1+'Part VI-Pro Forma'!$B$7)^('Part VI-Pro Forma'!E14-1)),),IF('Part VI-Pro Forma'!$G$10="Yes",ROUND((-(SUM(E15:E18)*'Part VI-Pro Forma'!$K$10)),),"Choose mgt fee")))</f>
        <v>-28323</v>
      </c>
      <c r="F22" s="18">
        <f>IF(AND('Part VI-Pro Forma'!$G$9="Yes",'Part VI-Pro Forma'!$G$10="Yes"),"Choose One!",IF('Part VI-Pro Forma'!$G$9="Yes",ROUND((-$K$9*(1+'Part VI-Pro Forma'!$B$7)^('Part VI-Pro Forma'!F14-1)),),IF('Part VI-Pro Forma'!$G$10="Yes",ROUND((-(SUM(F15:F18)*'Part VI-Pro Forma'!$K$10)),),"Choose mgt fee")))</f>
        <v>-29173</v>
      </c>
      <c r="G22" s="18">
        <f>IF(AND('Part VI-Pro Forma'!$G$9="Yes",'Part VI-Pro Forma'!$G$10="Yes"),"Choose One!",IF('Part VI-Pro Forma'!$G$9="Yes",ROUND((-$K$9*(1+'Part VI-Pro Forma'!$B$7)^('Part VI-Pro Forma'!G14-1)),),IF('Part VI-Pro Forma'!$G$10="Yes",ROUND((-(SUM(G15:G18)*'Part VI-Pro Forma'!$K$10)),),"Choose mgt fee")))</f>
        <v>-30048</v>
      </c>
      <c r="H22" s="18">
        <f>IF(AND('Part VI-Pro Forma'!$G$9="Yes",'Part VI-Pro Forma'!$G$10="Yes"),"Choose One!",IF('Part VI-Pro Forma'!$G$9="Yes",ROUND((-$K$9*(1+'Part VI-Pro Forma'!$B$7)^('Part VI-Pro Forma'!H14-1)),),IF('Part VI-Pro Forma'!$G$10="Yes",ROUND((-(SUM(H15:H18)*'Part VI-Pro Forma'!$K$10)),),"Choose mgt fee")))</f>
        <v>-30950</v>
      </c>
      <c r="I22" s="18">
        <f>IF(AND('Part VI-Pro Forma'!$G$9="Yes",'Part VI-Pro Forma'!$G$10="Yes"),"Choose One!",IF('Part VI-Pro Forma'!$G$9="Yes",ROUND((-$K$9*(1+'Part VI-Pro Forma'!$B$7)^('Part VI-Pro Forma'!I14-1)),),IF('Part VI-Pro Forma'!$G$10="Yes",ROUND((-(SUM(I15:I18)*'Part VI-Pro Forma'!$K$10)),),"Choose mgt fee")))</f>
        <v>-31878</v>
      </c>
      <c r="J22" s="18">
        <f>IF(AND('Part VI-Pro Forma'!$G$9="Yes",'Part VI-Pro Forma'!$G$10="Yes"),"Choose One!",IF('Part VI-Pro Forma'!$G$9="Yes",ROUND((-$K$9*(1+'Part VI-Pro Forma'!$B$7)^('Part VI-Pro Forma'!J14-1)),),IF('Part VI-Pro Forma'!$G$10="Yes",ROUND((-(SUM(J15:J18)*'Part VI-Pro Forma'!$K$10)),),"Choose mgt fee")))</f>
        <v>-32835</v>
      </c>
      <c r="K22" s="19">
        <f>IF(AND('Part VI-Pro Forma'!$G$9="Yes",'Part VI-Pro Forma'!$G$10="Yes"),"Choose One!",IF('Part VI-Pro Forma'!$G$9="Yes",ROUND((-$K$9*(1+'Part VI-Pro Forma'!$B$7)^('Part VI-Pro Forma'!K14-1)),),IF('Part VI-Pro Forma'!$G$10="Yes",ROUND((-(SUM(K15:K18)*'Part VI-Pro Forma'!$K$10)),),"Choose mgt fee")))</f>
        <v>-33820</v>
      </c>
      <c r="N22" s="3559"/>
      <c r="O22" s="3561"/>
      <c r="Q22" s="47">
        <v>2</v>
      </c>
      <c r="R22" s="869">
        <f>-SUM(B32:C32)</f>
        <v>37949</v>
      </c>
      <c r="S22" s="869">
        <f>SUM(B33:C33)+R22</f>
        <v>132204.92711999998</v>
      </c>
      <c r="Z22" s="1719" t="s">
        <v>6461</v>
      </c>
      <c r="AA22" s="1721">
        <v>22</v>
      </c>
    </row>
    <row r="23" spans="1:27" ht="13.35" customHeight="1">
      <c r="A23" s="17" t="s">
        <v>1128</v>
      </c>
      <c r="B23" s="18">
        <f>-('Part V-Revenues &amp; Expenses'!$Q$234)</f>
        <v>-12000</v>
      </c>
      <c r="C23" s="18">
        <f t="shared" ref="C23:K23" si="6">$B$23*(1+$B$8)^(C14-1)</f>
        <v>-12360</v>
      </c>
      <c r="D23" s="18">
        <f t="shared" si="6"/>
        <v>-12730.8</v>
      </c>
      <c r="E23" s="18">
        <f t="shared" si="6"/>
        <v>-13112.724</v>
      </c>
      <c r="F23" s="18">
        <f t="shared" si="6"/>
        <v>-13506.10572</v>
      </c>
      <c r="G23" s="18">
        <f t="shared" si="6"/>
        <v>-13911.288891599997</v>
      </c>
      <c r="H23" s="18">
        <f t="shared" si="6"/>
        <v>-14328.627558347998</v>
      </c>
      <c r="I23" s="18">
        <f t="shared" si="6"/>
        <v>-14758.48638509844</v>
      </c>
      <c r="J23" s="18">
        <f t="shared" si="6"/>
        <v>-15201.240976651392</v>
      </c>
      <c r="K23" s="19">
        <f t="shared" si="6"/>
        <v>-15657.278205950934</v>
      </c>
      <c r="N23" s="3559"/>
      <c r="O23" s="3561"/>
      <c r="Q23" s="47">
        <v>3</v>
      </c>
      <c r="R23" s="869">
        <f>-SUM(B32:D32)</f>
        <v>37949</v>
      </c>
      <c r="S23" s="869">
        <f>SUM(B33:D33)+R23</f>
        <v>196210.07326239994</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37949</v>
      </c>
      <c r="S24" s="869">
        <f>SUM(B33:E33)+R24</f>
        <v>258665.71027564787</v>
      </c>
      <c r="Z24" s="1719" t="s">
        <v>6461</v>
      </c>
      <c r="AA24" s="1721">
        <v>24</v>
      </c>
    </row>
    <row r="25" spans="1:27" ht="13.35" customHeight="1">
      <c r="A25" s="17" t="s">
        <v>1129</v>
      </c>
      <c r="B25" s="18">
        <f>SUM(B20:B24)</f>
        <v>74264.755999999994</v>
      </c>
      <c r="C25" s="18">
        <f t="shared" ref="C25:J25" si="7">SUM(C20:C24)</f>
        <v>72940.171119999985</v>
      </c>
      <c r="D25" s="18">
        <f t="shared" si="7"/>
        <v>71505.146142399972</v>
      </c>
      <c r="E25" s="18">
        <f t="shared" si="7"/>
        <v>69955.637013247921</v>
      </c>
      <c r="F25" s="18">
        <f t="shared" si="7"/>
        <v>68284.44993995293</v>
      </c>
      <c r="G25" s="18">
        <f t="shared" si="7"/>
        <v>66488.236330785308</v>
      </c>
      <c r="H25" s="18">
        <f t="shared" si="7"/>
        <v>64560.487571195117</v>
      </c>
      <c r="I25" s="18">
        <f t="shared" si="7"/>
        <v>62497.529631826954</v>
      </c>
      <c r="J25" s="18">
        <f t="shared" si="7"/>
        <v>60291.517502947871</v>
      </c>
      <c r="K25" s="1215">
        <f>SUM(K20:K24)</f>
        <v>57938.429449845557</v>
      </c>
      <c r="N25" s="3559"/>
      <c r="O25" s="3561"/>
      <c r="Q25" s="92">
        <v>5</v>
      </c>
      <c r="R25" s="869">
        <f>-SUM(B32:F32)</f>
        <v>37949</v>
      </c>
      <c r="S25" s="869">
        <f>SUM(B33:F33)+R25</f>
        <v>319450.1602156008</v>
      </c>
      <c r="Z25" s="1719" t="s">
        <v>6461</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59"/>
      <c r="O26" s="3561"/>
      <c r="Q26" s="92">
        <v>6</v>
      </c>
      <c r="R26" s="869">
        <f>-SUM(B32:G32)</f>
        <v>37949</v>
      </c>
      <c r="S26" s="869">
        <f>SUM(B33:G33)+R26</f>
        <v>378438.39654638612</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37949</v>
      </c>
      <c r="S27" s="869">
        <f>SUM(B33:H33)+R27</f>
        <v>435498.88411758124</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37949</v>
      </c>
      <c r="S28" s="869">
        <f>SUM(B33:I33)+R28</f>
        <v>490496.41374940821</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37949</v>
      </c>
      <c r="S29" s="869">
        <f>SUM(B33:J33)+R29</f>
        <v>543287.93125235615</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37949</v>
      </c>
      <c r="S30" s="869">
        <f>SUM(B33:K33)+R30</f>
        <v>593726.36070220161</v>
      </c>
      <c r="Z30" s="1719" t="s">
        <v>6461</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37949</v>
      </c>
      <c r="S31" s="869">
        <f>SUM(B33:K33)+B65+R31</f>
        <v>641658.42178578803</v>
      </c>
      <c r="Z31" s="1719" t="s">
        <v>6461</v>
      </c>
      <c r="AA31" s="1721">
        <v>31</v>
      </c>
    </row>
    <row r="32" spans="1:27" ht="13.35" customHeight="1">
      <c r="A32" s="341" t="s">
        <v>3362</v>
      </c>
      <c r="B32" s="179">
        <v>-37949</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37949</v>
      </c>
      <c r="S32" s="869">
        <f>SUM(B33:K33) + SUM(B65:C65)+R32</f>
        <v>686923.44102713245</v>
      </c>
      <c r="Z32" s="1719" t="s">
        <v>6461</v>
      </c>
      <c r="AA32" s="1721">
        <v>32</v>
      </c>
    </row>
    <row r="33" spans="1:27" ht="13.35" customHeight="1">
      <c r="A33" s="17" t="s">
        <v>1096</v>
      </c>
      <c r="B33" s="18">
        <f t="shared" ref="B33:K33" si="9">SUM(B25:B32)</f>
        <v>28815.755999999994</v>
      </c>
      <c r="C33" s="18">
        <f t="shared" si="9"/>
        <v>65440.171119999985</v>
      </c>
      <c r="D33" s="18">
        <f t="shared" si="9"/>
        <v>64005.146142399972</v>
      </c>
      <c r="E33" s="18">
        <f t="shared" si="9"/>
        <v>62455.637013247921</v>
      </c>
      <c r="F33" s="18">
        <f t="shared" si="9"/>
        <v>60784.44993995293</v>
      </c>
      <c r="G33" s="18">
        <f t="shared" si="9"/>
        <v>58988.236330785308</v>
      </c>
      <c r="H33" s="18">
        <f t="shared" si="9"/>
        <v>57060.487571195117</v>
      </c>
      <c r="I33" s="18">
        <f t="shared" si="9"/>
        <v>54997.529631826954</v>
      </c>
      <c r="J33" s="18">
        <f t="shared" si="9"/>
        <v>52791.517502947871</v>
      </c>
      <c r="K33" s="19">
        <f t="shared" si="9"/>
        <v>50438.429449845557</v>
      </c>
      <c r="N33" s="3559"/>
      <c r="O33" s="3561"/>
      <c r="Q33" s="92">
        <v>13</v>
      </c>
      <c r="R33" s="869">
        <f>-SUM(B32:K32) - SUM(B64:D64)</f>
        <v>37949</v>
      </c>
      <c r="S33" s="869">
        <f>SUM(B33:K33) + SUM(B65:D65)+R33</f>
        <v>729354.15669747267</v>
      </c>
      <c r="Z33" s="1719" t="s">
        <v>6461</v>
      </c>
      <c r="AA33" s="1721">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559"/>
      <c r="O34" s="3561"/>
      <c r="Q34" s="92">
        <v>14</v>
      </c>
      <c r="R34" s="869">
        <f>-SUM(B32:K32) - SUM(B64:E64)</f>
        <v>37949</v>
      </c>
      <c r="S34" s="869">
        <f>SUM(B33:K33) + SUM(B65:E65)+R34</f>
        <v>768778.51720671367</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37949</v>
      </c>
      <c r="S35" s="869">
        <f>SUM(B33:K33) + SUM(B65:F65)+R35</f>
        <v>805015.47276739823</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37949</v>
      </c>
      <c r="S36" s="869">
        <f>SUM(B33:K33) + SUM(B65:G65)+R36</f>
        <v>837876.76011579274</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37949</v>
      </c>
      <c r="S37" s="869">
        <f>SUM(B33:K33) + SUM(B65:H65)+R37</f>
        <v>867168.6800679469</v>
      </c>
      <c r="Z37" s="1719" t="s">
        <v>6461</v>
      </c>
      <c r="AA37" s="1721">
        <v>37</v>
      </c>
    </row>
    <row r="38" spans="1:27" ht="13.35" customHeight="1">
      <c r="A38" s="341" t="s">
        <v>3214</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559"/>
      <c r="O38" s="3561"/>
      <c r="Q38" s="47">
        <v>18</v>
      </c>
      <c r="R38" s="869">
        <f>-SUM(B32:K32) - SUM(B64:I64)</f>
        <v>37949</v>
      </c>
      <c r="S38" s="869">
        <f>SUM(B33:K33) + SUM(B65:I65)+R38</f>
        <v>892687.86768163927</v>
      </c>
      <c r="Z38" s="1719" t="s">
        <v>6461</v>
      </c>
      <c r="AA38" s="1721">
        <v>38</v>
      </c>
    </row>
    <row r="39" spans="1:27" ht="13.35" customHeight="1">
      <c r="A39" s="17" t="s">
        <v>718</v>
      </c>
      <c r="B39" s="220">
        <f t="shared" ref="B39:K39" si="15">IF(OR(B22="Choose mgt fee",B22="Choose One!"),"",(B15+B16+B17+B18+B19) / -(B21+B22+B23))</f>
        <v>1.2643363042271167</v>
      </c>
      <c r="C39" s="220">
        <f t="shared" si="15"/>
        <v>1.2520594637774054</v>
      </c>
      <c r="D39" s="220">
        <f t="shared" si="15"/>
        <v>1.2399032970570945</v>
      </c>
      <c r="E39" s="220">
        <f t="shared" si="15"/>
        <v>1.2278692805567537</v>
      </c>
      <c r="F39" s="220">
        <f t="shared" si="15"/>
        <v>1.2159470275092901</v>
      </c>
      <c r="G39" s="220">
        <f t="shared" si="15"/>
        <v>1.2041424190194407</v>
      </c>
      <c r="H39" s="220">
        <f t="shared" si="15"/>
        <v>1.1924497253435959</v>
      </c>
      <c r="I39" s="220">
        <f t="shared" si="15"/>
        <v>1.1808742523271918</v>
      </c>
      <c r="J39" s="220">
        <f t="shared" si="15"/>
        <v>1.1694072851262032</v>
      </c>
      <c r="K39" s="221">
        <f t="shared" si="15"/>
        <v>1.1580539742950504</v>
      </c>
      <c r="N39" s="3559"/>
      <c r="O39" s="3561"/>
      <c r="Q39" s="92">
        <v>19</v>
      </c>
      <c r="R39" s="869">
        <f>-SUM(B32:K32) - SUM(B64:J64)</f>
        <v>37949</v>
      </c>
      <c r="S39" s="869">
        <f>SUM(B33:K33) + SUM(B65:J65)+R39</f>
        <v>914224.05478797527</v>
      </c>
      <c r="Z39" s="1719" t="s">
        <v>6461</v>
      </c>
      <c r="AA39" s="1721">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559"/>
      <c r="O40" s="3561"/>
      <c r="Q40" s="92">
        <v>20</v>
      </c>
      <c r="R40" s="869">
        <f>-SUM(B32:K32) - SUM(B64:K64)</f>
        <v>37949</v>
      </c>
      <c r="S40" s="869">
        <f>SUM(B33:K33) + SUM(B65:K65)+R40</f>
        <v>931557.82464901917</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6461</v>
      </c>
      <c r="AA44" s="1721">
        <v>44</v>
      </c>
    </row>
    <row r="45" spans="1:27" ht="4.3499999999999996" customHeight="1">
      <c r="B45" s="13"/>
      <c r="C45" s="13"/>
      <c r="D45" s="13"/>
      <c r="E45" s="13"/>
      <c r="F45" s="13"/>
      <c r="G45" s="13"/>
      <c r="H45" s="13"/>
      <c r="I45" s="13"/>
      <c r="J45" s="13"/>
      <c r="K45" s="13"/>
      <c r="AA45" s="1721">
        <v>45</v>
      </c>
    </row>
    <row r="46" spans="1:27" ht="14.8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456464.65051123674</v>
      </c>
      <c r="C47" s="15">
        <f t="shared" si="17"/>
        <v>465593.94352146139</v>
      </c>
      <c r="D47" s="15">
        <f t="shared" si="17"/>
        <v>474905.82239189069</v>
      </c>
      <c r="E47" s="15">
        <f t="shared" si="17"/>
        <v>484403.93883972848</v>
      </c>
      <c r="F47" s="15">
        <f t="shared" si="17"/>
        <v>494092.01761652308</v>
      </c>
      <c r="G47" s="15">
        <f t="shared" si="17"/>
        <v>503973.85796885344</v>
      </c>
      <c r="H47" s="15">
        <f t="shared" si="17"/>
        <v>514053.33512823057</v>
      </c>
      <c r="I47" s="15">
        <f t="shared" si="17"/>
        <v>524334.40183079522</v>
      </c>
      <c r="J47" s="15">
        <f t="shared" si="17"/>
        <v>534821.08986741106</v>
      </c>
      <c r="K47" s="16">
        <f t="shared" si="17"/>
        <v>545517.51166475925</v>
      </c>
      <c r="N47" s="3562"/>
      <c r="O47" s="3564"/>
      <c r="Z47" s="1719" t="s">
        <v>6462</v>
      </c>
      <c r="AA47" s="1721">
        <v>47</v>
      </c>
    </row>
    <row r="48" spans="1:27" ht="13.35" customHeight="1">
      <c r="A48" s="17" t="s">
        <v>952</v>
      </c>
      <c r="B48" s="18">
        <f t="shared" ref="B48:K48" si="18">$B$16*(1+$B$6)^(B46-1)</f>
        <v>9129.2930102247356</v>
      </c>
      <c r="C48" s="18">
        <f t="shared" si="18"/>
        <v>9311.8788704292274</v>
      </c>
      <c r="D48" s="18">
        <f t="shared" si="18"/>
        <v>9498.1164478378141</v>
      </c>
      <c r="E48" s="18">
        <f t="shared" si="18"/>
        <v>9688.0787767945694</v>
      </c>
      <c r="F48" s="18">
        <f t="shared" si="18"/>
        <v>9881.8403523304623</v>
      </c>
      <c r="G48" s="18">
        <f t="shared" si="18"/>
        <v>10079.477159377067</v>
      </c>
      <c r="H48" s="18">
        <f t="shared" si="18"/>
        <v>10281.066702564611</v>
      </c>
      <c r="I48" s="18">
        <f t="shared" si="18"/>
        <v>10486.688036615904</v>
      </c>
      <c r="J48" s="18">
        <f t="shared" si="18"/>
        <v>10696.421797348221</v>
      </c>
      <c r="K48" s="19">
        <f t="shared" si="18"/>
        <v>10910.350233295185</v>
      </c>
      <c r="N48" s="3559"/>
      <c r="O48" s="3561"/>
      <c r="Z48" s="1719" t="s">
        <v>6462</v>
      </c>
      <c r="AA48" s="1721">
        <v>48</v>
      </c>
    </row>
    <row r="49" spans="1:27" ht="13.35" customHeight="1">
      <c r="A49" s="17" t="s">
        <v>2216</v>
      </c>
      <c r="B49" s="18">
        <f t="shared" ref="B49:K49" si="19">-(B47+B48)*$B$9</f>
        <v>-32591.576046502309</v>
      </c>
      <c r="C49" s="18">
        <f t="shared" si="19"/>
        <v>-33243.407567432347</v>
      </c>
      <c r="D49" s="18">
        <f t="shared" si="19"/>
        <v>-33908.275718780998</v>
      </c>
      <c r="E49" s="18">
        <f t="shared" si="19"/>
        <v>-34586.441233156613</v>
      </c>
      <c r="F49" s="18">
        <f t="shared" si="19"/>
        <v>-35278.170057819749</v>
      </c>
      <c r="G49" s="18">
        <f t="shared" si="19"/>
        <v>-35983.733458976138</v>
      </c>
      <c r="H49" s="18">
        <f t="shared" si="19"/>
        <v>-36703.408128155672</v>
      </c>
      <c r="I49" s="18">
        <f t="shared" si="19"/>
        <v>-37437.476290718783</v>
      </c>
      <c r="J49" s="18">
        <f t="shared" si="19"/>
        <v>-38186.225816533151</v>
      </c>
      <c r="K49" s="19">
        <f t="shared" si="19"/>
        <v>-38949.950332863817</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433002.36747495917</v>
      </c>
      <c r="C52" s="18">
        <f t="shared" si="20"/>
        <v>441662.4148244583</v>
      </c>
      <c r="D52" s="18">
        <f t="shared" si="20"/>
        <v>450495.66312094749</v>
      </c>
      <c r="E52" s="18">
        <f t="shared" si="20"/>
        <v>459505.57638336642</v>
      </c>
      <c r="F52" s="18">
        <f t="shared" si="20"/>
        <v>468695.6879110338</v>
      </c>
      <c r="G52" s="18">
        <f t="shared" si="20"/>
        <v>478069.60166925436</v>
      </c>
      <c r="H52" s="18">
        <f t="shared" si="20"/>
        <v>487630.99370263953</v>
      </c>
      <c r="I52" s="18">
        <f t="shared" si="20"/>
        <v>497383.61357669241</v>
      </c>
      <c r="J52" s="18">
        <f t="shared" si="20"/>
        <v>507331.28584822611</v>
      </c>
      <c r="K52" s="19">
        <f t="shared" si="20"/>
        <v>517477.91156519065</v>
      </c>
      <c r="N52" s="3559"/>
      <c r="O52" s="3561"/>
      <c r="Z52" s="1719" t="s">
        <v>6462</v>
      </c>
      <c r="AA52" s="1721">
        <v>52</v>
      </c>
    </row>
    <row r="53" spans="1:27" ht="13.35" customHeight="1">
      <c r="A53" s="17" t="s">
        <v>572</v>
      </c>
      <c r="B53" s="18">
        <f t="shared" ref="B53:K53" si="21">$B$21*(1+$B$7)^(B46-1)</f>
        <v>-326609.30983924324</v>
      </c>
      <c r="C53" s="18">
        <f t="shared" si="21"/>
        <v>-336407.58913442056</v>
      </c>
      <c r="D53" s="18">
        <f t="shared" si="21"/>
        <v>-346499.81680845312</v>
      </c>
      <c r="E53" s="18">
        <f t="shared" si="21"/>
        <v>-356894.81131270668</v>
      </c>
      <c r="F53" s="18">
        <f t="shared" si="21"/>
        <v>-367601.65565208794</v>
      </c>
      <c r="G53" s="18">
        <f t="shared" si="21"/>
        <v>-378629.7053216506</v>
      </c>
      <c r="H53" s="18">
        <f t="shared" si="21"/>
        <v>-389988.59648130002</v>
      </c>
      <c r="I53" s="18">
        <f t="shared" si="21"/>
        <v>-401688.25437573902</v>
      </c>
      <c r="J53" s="18">
        <f t="shared" si="21"/>
        <v>-413738.90200701123</v>
      </c>
      <c r="K53" s="19">
        <f t="shared" si="21"/>
        <v>-426151.06906722154</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-34834</v>
      </c>
      <c r="C54" s="18">
        <f>IF(AND('Part VI-Pro Forma'!$G$9="Yes",'Part VI-Pro Forma'!$G$10="Yes"),"Choose One!",IF('Part VI-Pro Forma'!$G$9="Yes",ROUND((-$K$9*(1+'Part VI-Pro Forma'!$B$7)^('Part VI-Pro Forma'!C46-1)),),IF('Part VI-Pro Forma'!$G$10="Yes",ROUND((-(SUM(C47:C50)*'Part VI-Pro Forma'!$K$10)),),"Choose mgt fee")))</f>
        <v>-35879</v>
      </c>
      <c r="D54" s="18">
        <f>IF(AND('Part VI-Pro Forma'!$G$9="Yes",'Part VI-Pro Forma'!$G$10="Yes"),"Choose One!",IF('Part VI-Pro Forma'!$G$9="Yes",ROUND((-$K$9*(1+'Part VI-Pro Forma'!$B$7)^('Part VI-Pro Forma'!D46-1)),),IF('Part VI-Pro Forma'!$G$10="Yes",ROUND((-(SUM(D47:D50)*'Part VI-Pro Forma'!$K$10)),),"Choose mgt fee")))</f>
        <v>-36956</v>
      </c>
      <c r="E54" s="18">
        <f>IF(AND('Part VI-Pro Forma'!$G$9="Yes",'Part VI-Pro Forma'!$G$10="Yes"),"Choose One!",IF('Part VI-Pro Forma'!$G$9="Yes",ROUND((-$K$9*(1+'Part VI-Pro Forma'!$B$7)^('Part VI-Pro Forma'!E46-1)),),IF('Part VI-Pro Forma'!$G$10="Yes",ROUND((-(SUM(E47:E50)*'Part VI-Pro Forma'!$K$10)),),"Choose mgt fee")))</f>
        <v>-38064</v>
      </c>
      <c r="F54" s="18">
        <f>IF(AND('Part VI-Pro Forma'!$G$9="Yes",'Part VI-Pro Forma'!$G$10="Yes"),"Choose One!",IF('Part VI-Pro Forma'!$G$9="Yes",ROUND((-$K$9*(1+'Part VI-Pro Forma'!$B$7)^('Part VI-Pro Forma'!F46-1)),),IF('Part VI-Pro Forma'!$G$10="Yes",ROUND((-(SUM(F47:F50)*'Part VI-Pro Forma'!$K$10)),),"Choose mgt fee")))</f>
        <v>-39206</v>
      </c>
      <c r="G54" s="18">
        <f>IF(AND('Part VI-Pro Forma'!$G$9="Yes",'Part VI-Pro Forma'!$G$10="Yes"),"Choose One!",IF('Part VI-Pro Forma'!$G$9="Yes",ROUND((-$K$9*(1+'Part VI-Pro Forma'!$B$7)^('Part VI-Pro Forma'!G46-1)),),IF('Part VI-Pro Forma'!$G$10="Yes",ROUND((-(SUM(G47:G50)*'Part VI-Pro Forma'!$K$10)),),"Choose mgt fee")))</f>
        <v>-40383</v>
      </c>
      <c r="H54" s="18">
        <f>IF(AND('Part VI-Pro Forma'!$G$9="Yes",'Part VI-Pro Forma'!$G$10="Yes"),"Choose One!",IF('Part VI-Pro Forma'!$G$9="Yes",ROUND((-$K$9*(1+'Part VI-Pro Forma'!$B$7)^('Part VI-Pro Forma'!H46-1)),),IF('Part VI-Pro Forma'!$G$10="Yes",ROUND((-(SUM(H47:H50)*'Part VI-Pro Forma'!$K$10)),),"Choose mgt fee")))</f>
        <v>-41594</v>
      </c>
      <c r="I54" s="18">
        <f>IF(AND('Part VI-Pro Forma'!$G$9="Yes",'Part VI-Pro Forma'!$G$10="Yes"),"Choose One!",IF('Part VI-Pro Forma'!$G$9="Yes",ROUND((-$K$9*(1+'Part VI-Pro Forma'!$B$7)^('Part VI-Pro Forma'!I46-1)),),IF('Part VI-Pro Forma'!$G$10="Yes",ROUND((-(SUM(I47:I50)*'Part VI-Pro Forma'!$K$10)),),"Choose mgt fee")))</f>
        <v>-42842</v>
      </c>
      <c r="J54" s="18">
        <f>IF(AND('Part VI-Pro Forma'!$G$9="Yes",'Part VI-Pro Forma'!$G$10="Yes"),"Choose One!",IF('Part VI-Pro Forma'!$G$9="Yes",ROUND((-$K$9*(1+'Part VI-Pro Forma'!$B$7)^('Part VI-Pro Forma'!J46-1)),),IF('Part VI-Pro Forma'!$G$10="Yes",ROUND((-(SUM(J47:J50)*'Part VI-Pro Forma'!$K$10)),),"Choose mgt fee")))</f>
        <v>-44127</v>
      </c>
      <c r="K54" s="19">
        <f>IF(AND('Part VI-Pro Forma'!$G$9="Yes",'Part VI-Pro Forma'!$G$10="Yes"),"Choose One!",IF('Part VI-Pro Forma'!$G$9="Yes",ROUND((-$K$9*(1+'Part VI-Pro Forma'!$B$7)^('Part VI-Pro Forma'!K46-1)),),IF('Part VI-Pro Forma'!$G$10="Yes",ROUND((-(SUM(K47:K50)*'Part VI-Pro Forma'!$K$10)),),"Choose mgt fee")))</f>
        <v>-45451</v>
      </c>
      <c r="N54" s="3559"/>
      <c r="O54" s="3561"/>
      <c r="Z54" s="1719" t="s">
        <v>6462</v>
      </c>
      <c r="AA54" s="1721">
        <v>54</v>
      </c>
    </row>
    <row r="55" spans="1:27" ht="13.35" customHeight="1">
      <c r="A55" s="17" t="s">
        <v>1128</v>
      </c>
      <c r="B55" s="18">
        <f t="shared" ref="B55:K55" si="22">$B$23*(1+$B$8)^(B46-1)</f>
        <v>-16126.996552129462</v>
      </c>
      <c r="C55" s="18">
        <f t="shared" si="22"/>
        <v>-16610.806448693347</v>
      </c>
      <c r="D55" s="18">
        <f t="shared" si="22"/>
        <v>-17109.130642154145</v>
      </c>
      <c r="E55" s="18">
        <f t="shared" si="22"/>
        <v>-17622.404561418767</v>
      </c>
      <c r="F55" s="18">
        <f t="shared" si="22"/>
        <v>-18151.076698261331</v>
      </c>
      <c r="G55" s="18">
        <f t="shared" si="22"/>
        <v>-18695.608999209173</v>
      </c>
      <c r="H55" s="18">
        <f t="shared" si="22"/>
        <v>-19256.477269185445</v>
      </c>
      <c r="I55" s="18">
        <f t="shared" si="22"/>
        <v>-19834.171587261008</v>
      </c>
      <c r="J55" s="18">
        <f t="shared" si="22"/>
        <v>-20429.196734878838</v>
      </c>
      <c r="K55" s="19">
        <f t="shared" si="22"/>
        <v>-21042.072636925204</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55432.061083586465</v>
      </c>
      <c r="C57" s="18">
        <f t="shared" si="23"/>
        <v>52765.019241344402</v>
      </c>
      <c r="D57" s="18">
        <f t="shared" si="23"/>
        <v>49930.715670340222</v>
      </c>
      <c r="E57" s="18">
        <f t="shared" si="23"/>
        <v>46924.360509240985</v>
      </c>
      <c r="F57" s="18">
        <f t="shared" si="23"/>
        <v>43736.955560684539</v>
      </c>
      <c r="G57" s="18">
        <f t="shared" si="23"/>
        <v>40361.287348394588</v>
      </c>
      <c r="H57" s="18">
        <f t="shared" si="23"/>
        <v>36791.919952154072</v>
      </c>
      <c r="I57" s="18">
        <f t="shared" si="23"/>
        <v>33019.187613692382</v>
      </c>
      <c r="J57" s="18">
        <f t="shared" si="23"/>
        <v>29036.187106336038</v>
      </c>
      <c r="K57" s="1215">
        <f t="shared" si="23"/>
        <v>24833.7698610439</v>
      </c>
      <c r="N57" s="3559"/>
      <c r="O57" s="3561"/>
      <c r="Z57" s="1719" t="s">
        <v>6462</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59"/>
      <c r="O58" s="356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47932.061083586465</v>
      </c>
      <c r="C65" s="18">
        <f t="shared" si="25"/>
        <v>45265.019241344402</v>
      </c>
      <c r="D65" s="18">
        <f t="shared" si="25"/>
        <v>42430.715670340222</v>
      </c>
      <c r="E65" s="18">
        <f t="shared" si="25"/>
        <v>39424.360509240985</v>
      </c>
      <c r="F65" s="18">
        <f t="shared" si="25"/>
        <v>36236.955560684539</v>
      </c>
      <c r="G65" s="18">
        <f t="shared" si="25"/>
        <v>32861.287348394588</v>
      </c>
      <c r="H65" s="18">
        <f t="shared" si="25"/>
        <v>29291.919952154072</v>
      </c>
      <c r="I65" s="18">
        <f t="shared" si="25"/>
        <v>25519.187613692382</v>
      </c>
      <c r="J65" s="18">
        <f t="shared" si="25"/>
        <v>21536.187106336038</v>
      </c>
      <c r="K65" s="497">
        <f t="shared" si="25"/>
        <v>17333.7698610439</v>
      </c>
      <c r="N65" s="3559"/>
      <c r="O65" s="3561"/>
      <c r="Z65" s="1719" t="s">
        <v>6462</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59"/>
      <c r="O66" s="356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59"/>
      <c r="O70" s="3561"/>
      <c r="Z70" s="1719" t="s">
        <v>6462</v>
      </c>
      <c r="AA70" s="1721">
        <v>70</v>
      </c>
    </row>
    <row r="71" spans="1:27" ht="13.35" customHeight="1">
      <c r="A71" s="17" t="s">
        <v>718</v>
      </c>
      <c r="B71" s="220">
        <f t="shared" ref="B71:K71" si="31">IF(OR(B54="Choose mgt fee",B54="Choose One!"),"",(B47+B48+B49+B50+B51) / -(B53+B54+B55))</f>
        <v>1.146812554232292</v>
      </c>
      <c r="C71" s="220">
        <f t="shared" si="31"/>
        <v>1.1356785101690599</v>
      </c>
      <c r="D71" s="220">
        <f t="shared" si="31"/>
        <v>1.1246507363865059</v>
      </c>
      <c r="E71" s="220">
        <f t="shared" si="31"/>
        <v>1.113733632806873</v>
      </c>
      <c r="F71" s="220">
        <f t="shared" si="31"/>
        <v>1.1029204772867838</v>
      </c>
      <c r="G71" s="220">
        <f t="shared" si="31"/>
        <v>1.0922104653438407</v>
      </c>
      <c r="H71" s="220">
        <f t="shared" si="31"/>
        <v>1.0816076558007401</v>
      </c>
      <c r="I71" s="220">
        <f t="shared" si="31"/>
        <v>1.0711061954093859</v>
      </c>
      <c r="J71" s="220">
        <f t="shared" si="31"/>
        <v>1.0607076827312532</v>
      </c>
      <c r="K71" s="221">
        <f t="shared" si="31"/>
        <v>1.0504091447736277</v>
      </c>
      <c r="N71" s="3559"/>
      <c r="O71" s="3561"/>
      <c r="Z71" s="1719" t="s">
        <v>6462</v>
      </c>
      <c r="AA71" s="1721">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559"/>
      <c r="O72" s="356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6462</v>
      </c>
      <c r="AA76" s="1721">
        <v>76</v>
      </c>
    </row>
    <row r="77" spans="1:27" ht="4.3499999999999996" customHeight="1">
      <c r="B77" s="13"/>
      <c r="C77" s="13"/>
      <c r="D77" s="13"/>
      <c r="E77" s="13"/>
      <c r="F77" s="13"/>
      <c r="G77" s="13"/>
      <c r="H77" s="13"/>
      <c r="I77" s="13"/>
      <c r="J77" s="13"/>
      <c r="K77" s="13"/>
      <c r="AA77" s="1721">
        <v>77</v>
      </c>
    </row>
    <row r="78" spans="1:27" ht="14.8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556427.86189805449</v>
      </c>
      <c r="C79" s="15">
        <f t="shared" si="33"/>
        <v>567556.41913601558</v>
      </c>
      <c r="D79" s="15">
        <f t="shared" si="33"/>
        <v>578907.54751873587</v>
      </c>
      <c r="E79" s="15">
        <f t="shared" si="33"/>
        <v>590485.69846911053</v>
      </c>
      <c r="F79" s="15">
        <f t="shared" si="33"/>
        <v>602295.41243849276</v>
      </c>
      <c r="G79" s="15">
        <f t="shared" si="33"/>
        <v>614341.32068726257</v>
      </c>
      <c r="H79" s="15">
        <f t="shared" si="33"/>
        <v>626628.14710100798</v>
      </c>
      <c r="I79" s="15">
        <f t="shared" si="33"/>
        <v>639160.710043028</v>
      </c>
      <c r="J79" s="15">
        <f t="shared" si="33"/>
        <v>651943.9242438887</v>
      </c>
      <c r="K79" s="16">
        <f t="shared" si="33"/>
        <v>664982.80272876634</v>
      </c>
      <c r="N79" s="3562"/>
      <c r="O79" s="3564"/>
      <c r="Z79" s="1719" t="s">
        <v>6463</v>
      </c>
      <c r="AA79" s="1721">
        <v>79</v>
      </c>
    </row>
    <row r="80" spans="1:27" ht="13.35" customHeight="1">
      <c r="A80" s="17" t="s">
        <v>952</v>
      </c>
      <c r="B80" s="18">
        <f t="shared" ref="B80:K80" si="34">$B$16*(1+$B$6)^(B78-1)</f>
        <v>11128.557237961089</v>
      </c>
      <c r="C80" s="18">
        <f t="shared" si="34"/>
        <v>11351.128382720311</v>
      </c>
      <c r="D80" s="18">
        <f t="shared" si="34"/>
        <v>11578.150950374718</v>
      </c>
      <c r="E80" s="18">
        <f t="shared" si="34"/>
        <v>11809.71396938221</v>
      </c>
      <c r="F80" s="18">
        <f t="shared" si="34"/>
        <v>12045.908248769854</v>
      </c>
      <c r="G80" s="18">
        <f t="shared" si="34"/>
        <v>12286.826413745252</v>
      </c>
      <c r="H80" s="18">
        <f t="shared" si="34"/>
        <v>12532.562942020159</v>
      </c>
      <c r="I80" s="18">
        <f t="shared" si="34"/>
        <v>12783.214200860559</v>
      </c>
      <c r="J80" s="18">
        <f t="shared" si="34"/>
        <v>13038.878484877774</v>
      </c>
      <c r="K80" s="19">
        <f t="shared" si="34"/>
        <v>13299.656054575327</v>
      </c>
      <c r="N80" s="3559"/>
      <c r="O80" s="3561"/>
      <c r="Z80" s="1719" t="s">
        <v>6463</v>
      </c>
      <c r="AA80" s="1721">
        <v>80</v>
      </c>
    </row>
    <row r="81" spans="1:27" ht="13.35" customHeight="1">
      <c r="A81" s="17" t="s">
        <v>2216</v>
      </c>
      <c r="B81" s="18">
        <f t="shared" ref="B81:K81" si="35">-(B79+B80)*$B$9</f>
        <v>-39728.949339521096</v>
      </c>
      <c r="C81" s="18">
        <f t="shared" si="35"/>
        <v>-40523.528326311513</v>
      </c>
      <c r="D81" s="18">
        <f t="shared" si="35"/>
        <v>-41333.998892837742</v>
      </c>
      <c r="E81" s="18">
        <f t="shared" si="35"/>
        <v>-42160.678870694494</v>
      </c>
      <c r="F81" s="18">
        <f t="shared" si="35"/>
        <v>-43003.892448108381</v>
      </c>
      <c r="G81" s="18">
        <f t="shared" si="35"/>
        <v>-43863.970297070555</v>
      </c>
      <c r="H81" s="18">
        <f t="shared" si="35"/>
        <v>-44741.24970301197</v>
      </c>
      <c r="I81" s="18">
        <f t="shared" si="35"/>
        <v>-45636.074697072203</v>
      </c>
      <c r="J81" s="18">
        <f t="shared" si="35"/>
        <v>-46548.796191013658</v>
      </c>
      <c r="K81" s="19">
        <f t="shared" si="35"/>
        <v>-47479.772114833926</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527827.46979649446</v>
      </c>
      <c r="C84" s="18">
        <f t="shared" si="36"/>
        <v>538384.01919242437</v>
      </c>
      <c r="D84" s="18">
        <f t="shared" si="36"/>
        <v>549151.69957627275</v>
      </c>
      <c r="E84" s="18">
        <f t="shared" si="36"/>
        <v>560134.73356779828</v>
      </c>
      <c r="F84" s="18">
        <f t="shared" si="36"/>
        <v>571337.42823915416</v>
      </c>
      <c r="G84" s="18">
        <f t="shared" si="36"/>
        <v>582764.1768039373</v>
      </c>
      <c r="H84" s="18">
        <f t="shared" si="36"/>
        <v>594419.46034001617</v>
      </c>
      <c r="I84" s="18">
        <f t="shared" si="36"/>
        <v>606307.84954681643</v>
      </c>
      <c r="J84" s="18">
        <f t="shared" si="36"/>
        <v>618434.00653775281</v>
      </c>
      <c r="K84" s="19">
        <f t="shared" si="36"/>
        <v>630802.68666850775</v>
      </c>
      <c r="N84" s="3559"/>
      <c r="O84" s="3561"/>
      <c r="Z84" s="1719" t="s">
        <v>6463</v>
      </c>
      <c r="AA84" s="1721">
        <v>84</v>
      </c>
    </row>
    <row r="85" spans="1:27" ht="13.35" customHeight="1">
      <c r="A85" s="17" t="s">
        <v>572</v>
      </c>
      <c r="B85" s="18">
        <f t="shared" ref="B85:K85" si="37">$B$21*(1+$B$7)^(B78-1)</f>
        <v>-438935.60113923816</v>
      </c>
      <c r="C85" s="18">
        <f t="shared" si="37"/>
        <v>-452103.66917341523</v>
      </c>
      <c r="D85" s="18">
        <f t="shared" si="37"/>
        <v>-465666.77924861776</v>
      </c>
      <c r="E85" s="18">
        <f t="shared" si="37"/>
        <v>-479636.78262607631</v>
      </c>
      <c r="F85" s="18">
        <f t="shared" si="37"/>
        <v>-494025.88610485854</v>
      </c>
      <c r="G85" s="18">
        <f t="shared" si="37"/>
        <v>-508846.66268800426</v>
      </c>
      <c r="H85" s="18">
        <f t="shared" si="37"/>
        <v>-524112.06256864447</v>
      </c>
      <c r="I85" s="18">
        <f t="shared" si="37"/>
        <v>-539835.42444570374</v>
      </c>
      <c r="J85" s="18">
        <f t="shared" si="37"/>
        <v>-556030.4871790749</v>
      </c>
      <c r="K85" s="19">
        <f t="shared" si="37"/>
        <v>-572711.4017944471</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-46814</v>
      </c>
      <c r="C86" s="18">
        <f>IF(AND('Part VI-Pro Forma'!$G$9="Yes",'Part VI-Pro Forma'!$G$10="Yes"),"Choose One!",IF('Part VI-Pro Forma'!$G$9="Yes",ROUND((-$K$9*(1+'Part VI-Pro Forma'!$B$7)^('Part VI-Pro Forma'!C78-1)),),IF('Part VI-Pro Forma'!$G$10="Yes",ROUND((-(SUM(C79:C82)*'Part VI-Pro Forma'!$K$10)),),"Choose mgt fee")))</f>
        <v>-48219</v>
      </c>
      <c r="D86" s="18">
        <f>IF(AND('Part VI-Pro Forma'!$G$9="Yes",'Part VI-Pro Forma'!$G$10="Yes"),"Choose One!",IF('Part VI-Pro Forma'!$G$9="Yes",ROUND((-$K$9*(1+'Part VI-Pro Forma'!$B$7)^('Part VI-Pro Forma'!D78-1)),),IF('Part VI-Pro Forma'!$G$10="Yes",ROUND((-(SUM(D79:D82)*'Part VI-Pro Forma'!$K$10)),),"Choose mgt fee")))</f>
        <v>-49665</v>
      </c>
      <c r="E86" s="18">
        <f>IF(AND('Part VI-Pro Forma'!$G$9="Yes",'Part VI-Pro Forma'!$G$10="Yes"),"Choose One!",IF('Part VI-Pro Forma'!$G$9="Yes",ROUND((-$K$9*(1+'Part VI-Pro Forma'!$B$7)^('Part VI-Pro Forma'!E78-1)),),IF('Part VI-Pro Forma'!$G$10="Yes",ROUND((-(SUM(E79:E82)*'Part VI-Pro Forma'!$K$10)),),"Choose mgt fee")))</f>
        <v>-51155</v>
      </c>
      <c r="F86" s="18">
        <f>IF(AND('Part VI-Pro Forma'!$G$9="Yes",'Part VI-Pro Forma'!$G$10="Yes"),"Choose One!",IF('Part VI-Pro Forma'!$G$9="Yes",ROUND((-$K$9*(1+'Part VI-Pro Forma'!$B$7)^('Part VI-Pro Forma'!F78-1)),),IF('Part VI-Pro Forma'!$G$10="Yes",ROUND((-(SUM(F79:F82)*'Part VI-Pro Forma'!$K$10)),),"Choose mgt fee")))</f>
        <v>-52690</v>
      </c>
      <c r="G86" s="18">
        <f>IF(AND('Part VI-Pro Forma'!$G$9="Yes",'Part VI-Pro Forma'!$G$10="Yes"),"Choose One!",IF('Part VI-Pro Forma'!$G$9="Yes",ROUND((-$K$9*(1+'Part VI-Pro Forma'!$B$7)^('Part VI-Pro Forma'!G78-1)),),IF('Part VI-Pro Forma'!$G$10="Yes",ROUND((-(SUM(G79:G82)*'Part VI-Pro Forma'!$K$10)),),"Choose mgt fee")))</f>
        <v>-54271</v>
      </c>
      <c r="H86" s="18">
        <f>IF(AND('Part VI-Pro Forma'!$G$9="Yes",'Part VI-Pro Forma'!$G$10="Yes"),"Choose One!",IF('Part VI-Pro Forma'!$G$9="Yes",ROUND((-$K$9*(1+'Part VI-Pro Forma'!$B$7)^('Part VI-Pro Forma'!H78-1)),),IF('Part VI-Pro Forma'!$G$10="Yes",ROUND((-(SUM(H79:H82)*'Part VI-Pro Forma'!$K$10)),),"Choose mgt fee")))</f>
        <v>-55899</v>
      </c>
      <c r="I86" s="18">
        <f>IF(AND('Part VI-Pro Forma'!$G$9="Yes",'Part VI-Pro Forma'!$G$10="Yes"),"Choose One!",IF('Part VI-Pro Forma'!$G$9="Yes",ROUND((-$K$9*(1+'Part VI-Pro Forma'!$B$7)^('Part VI-Pro Forma'!I78-1)),),IF('Part VI-Pro Forma'!$G$10="Yes",ROUND((-(SUM(I79:I82)*'Part VI-Pro Forma'!$K$10)),),"Choose mgt fee")))</f>
        <v>-57576</v>
      </c>
      <c r="J86" s="18">
        <f>IF(AND('Part VI-Pro Forma'!$G$9="Yes",'Part VI-Pro Forma'!$G$10="Yes"),"Choose One!",IF('Part VI-Pro Forma'!$G$9="Yes",ROUND((-$K$9*(1+'Part VI-Pro Forma'!$B$7)^('Part VI-Pro Forma'!J78-1)),),IF('Part VI-Pro Forma'!$G$10="Yes",ROUND((-(SUM(J79:J82)*'Part VI-Pro Forma'!$K$10)),),"Choose mgt fee")))</f>
        <v>-59303</v>
      </c>
      <c r="K86" s="19">
        <f>IF(AND('Part VI-Pro Forma'!$G$9="Yes",'Part VI-Pro Forma'!$G$10="Yes"),"Choose One!",IF('Part VI-Pro Forma'!$G$9="Yes",ROUND((-$K$9*(1+'Part VI-Pro Forma'!$B$7)^('Part VI-Pro Forma'!K78-1)),),IF('Part VI-Pro Forma'!$G$10="Yes",ROUND((-(SUM(K79:K82)*'Part VI-Pro Forma'!$K$10)),),"Choose mgt fee")))</f>
        <v>-61082</v>
      </c>
      <c r="N86" s="3559"/>
      <c r="O86" s="3561"/>
      <c r="Z86" s="1719" t="s">
        <v>6463</v>
      </c>
      <c r="AA86" s="1721">
        <v>86</v>
      </c>
    </row>
    <row r="87" spans="1:27" ht="13.35" customHeight="1">
      <c r="A87" s="17" t="s">
        <v>1128</v>
      </c>
      <c r="B87" s="18">
        <f t="shared" ref="B87:K87" si="38">$B$23*(1+$B$8)^(B78-1)</f>
        <v>-21673.334816032959</v>
      </c>
      <c r="C87" s="18">
        <f t="shared" si="38"/>
        <v>-22323.534860513944</v>
      </c>
      <c r="D87" s="18">
        <f t="shared" si="38"/>
        <v>-22993.240906329367</v>
      </c>
      <c r="E87" s="18">
        <f t="shared" si="38"/>
        <v>-23683.038133519247</v>
      </c>
      <c r="F87" s="18">
        <f t="shared" si="38"/>
        <v>-24393.529277524824</v>
      </c>
      <c r="G87" s="18">
        <f t="shared" si="38"/>
        <v>-25125.335155850567</v>
      </c>
      <c r="H87" s="18">
        <f t="shared" si="38"/>
        <v>-25879.095210526088</v>
      </c>
      <c r="I87" s="18">
        <f t="shared" si="38"/>
        <v>-26655.468066841866</v>
      </c>
      <c r="J87" s="18">
        <f t="shared" si="38"/>
        <v>-27455.132108847123</v>
      </c>
      <c r="K87" s="19">
        <f t="shared" si="38"/>
        <v>-28278.786072112533</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20404.533841223343</v>
      </c>
      <c r="C89" s="18">
        <f t="shared" si="39"/>
        <v>15737.815158495199</v>
      </c>
      <c r="D89" s="18">
        <f t="shared" si="39"/>
        <v>10826.679421325614</v>
      </c>
      <c r="E89" s="18">
        <f t="shared" si="39"/>
        <v>5659.91280820272</v>
      </c>
      <c r="F89" s="18">
        <f t="shared" si="39"/>
        <v>228.01285677080159</v>
      </c>
      <c r="G89" s="18">
        <f t="shared" si="39"/>
        <v>-5478.8210399175296</v>
      </c>
      <c r="H89" s="18">
        <f t="shared" si="39"/>
        <v>-11470.697439154384</v>
      </c>
      <c r="I89" s="18">
        <f t="shared" si="39"/>
        <v>-17759.042965729175</v>
      </c>
      <c r="J89" s="18">
        <f t="shared" si="39"/>
        <v>-24354.612750169217</v>
      </c>
      <c r="K89" s="1215">
        <f t="shared" si="39"/>
        <v>-31269.501198051876</v>
      </c>
      <c r="N89" s="3559"/>
      <c r="O89" s="3561"/>
      <c r="Z89" s="1719" t="s">
        <v>6463</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59"/>
      <c r="O90" s="356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6463</v>
      </c>
      <c r="AA95" s="1721">
        <v>95</v>
      </c>
    </row>
    <row r="96" spans="1:27" ht="13.35" customHeight="1">
      <c r="A96" s="17" t="s">
        <v>1096</v>
      </c>
      <c r="B96" s="18">
        <f t="shared" ref="B96:K96" si="41">SUM(B89:B95)</f>
        <v>12904.533841223343</v>
      </c>
      <c r="C96" s="18">
        <f t="shared" si="41"/>
        <v>8237.8151584951993</v>
      </c>
      <c r="D96" s="18">
        <f t="shared" si="41"/>
        <v>3326.6794213256144</v>
      </c>
      <c r="E96" s="18">
        <f t="shared" si="41"/>
        <v>-1840.08719179728</v>
      </c>
      <c r="F96" s="18">
        <f t="shared" si="41"/>
        <v>-7271.9871432291984</v>
      </c>
      <c r="G96" s="18">
        <f t="shared" si="41"/>
        <v>-12978.82103991753</v>
      </c>
      <c r="H96" s="18">
        <f t="shared" si="41"/>
        <v>-18970.697439154384</v>
      </c>
      <c r="I96" s="18">
        <f t="shared" si="41"/>
        <v>-25259.042965729175</v>
      </c>
      <c r="J96" s="18">
        <f t="shared" si="41"/>
        <v>-31854.612750169217</v>
      </c>
      <c r="K96" s="19">
        <f t="shared" si="41"/>
        <v>-38769.501198051876</v>
      </c>
      <c r="N96" s="3559"/>
      <c r="O96" s="3561"/>
      <c r="Z96" s="1719" t="s">
        <v>6463</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59"/>
      <c r="O97" s="356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59"/>
      <c r="O101" s="3561"/>
      <c r="Z101" s="1719" t="s">
        <v>6463</v>
      </c>
      <c r="AA101" s="1721">
        <v>101</v>
      </c>
    </row>
    <row r="102" spans="1:27" ht="13.35" customHeight="1">
      <c r="A102" s="17" t="s">
        <v>718</v>
      </c>
      <c r="B102" s="220">
        <f>IF(OR(B86="Choose mgt fee",B86="Choose One!"),"",(B79+B80+B81+B82+B83) / -(B85+B86+B87))</f>
        <v>1.0402120842307017</v>
      </c>
      <c r="C102" s="220">
        <f t="shared" ref="C102:K102" si="47">IF(OR(C86="Choose mgt fee",C86="Choose One!"),"",(C79+C80+C81+C82+C83) / -(C85+C86+C87))</f>
        <v>1.030111794627085</v>
      </c>
      <c r="D102" s="220">
        <f t="shared" si="47"/>
        <v>1.020111789376257</v>
      </c>
      <c r="E102" s="220">
        <f t="shared" si="47"/>
        <v>1.0102077003252357</v>
      </c>
      <c r="F102" s="220">
        <f t="shared" si="47"/>
        <v>1.0003992454871686</v>
      </c>
      <c r="G102" s="220">
        <f t="shared" si="47"/>
        <v>0.99068612620974739</v>
      </c>
      <c r="H102" s="220">
        <f t="shared" si="47"/>
        <v>0.98106802480304489</v>
      </c>
      <c r="I102" s="220">
        <f t="shared" si="47"/>
        <v>0.97154304581960793</v>
      </c>
      <c r="J102" s="220">
        <f t="shared" si="47"/>
        <v>0.9621110081613623</v>
      </c>
      <c r="K102" s="221">
        <f t="shared" si="47"/>
        <v>0.95277025410353866</v>
      </c>
      <c r="N102" s="3559"/>
      <c r="O102" s="3561"/>
      <c r="Z102" s="1719" t="s">
        <v>6463</v>
      </c>
      <c r="AA102" s="1721">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559"/>
      <c r="O103" s="356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6463</v>
      </c>
      <c r="AA106" s="1721">
        <v>106</v>
      </c>
    </row>
    <row r="107" spans="1:27" ht="4.3499999999999996" customHeight="1">
      <c r="B107" s="13"/>
      <c r="C107" s="13"/>
      <c r="D107" s="13"/>
      <c r="E107" s="13"/>
      <c r="F107" s="13"/>
      <c r="G107" s="13"/>
      <c r="H107" s="13"/>
      <c r="I107" s="13"/>
      <c r="J107" s="13"/>
      <c r="K107" s="13"/>
      <c r="AA107" s="1721">
        <v>107</v>
      </c>
    </row>
    <row r="108" spans="1:27" ht="14.8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678282.45878334169</v>
      </c>
      <c r="C109" s="15">
        <f>$B$15*(1+$B$6)^(C108-1)</f>
        <v>691848.10795900843</v>
      </c>
      <c r="D109" s="15">
        <f>$B$15*(1+$B$6)^(D108-1)</f>
        <v>705685.07011818874</v>
      </c>
      <c r="E109" s="15">
        <f>$B$15*(1+$B$6)^(E108-1)</f>
        <v>719798.77152055257</v>
      </c>
      <c r="F109" s="497">
        <f>$B$15*(1+$B$6)^(F108-1)</f>
        <v>734194.74695096351</v>
      </c>
      <c r="G109" s="13"/>
      <c r="H109" s="13"/>
      <c r="I109" s="13"/>
      <c r="J109" s="13"/>
      <c r="K109" s="13"/>
      <c r="N109" s="3562"/>
      <c r="O109" s="3564"/>
      <c r="Z109" s="1719" t="s">
        <v>6464</v>
      </c>
      <c r="AA109" s="1721">
        <v>109</v>
      </c>
    </row>
    <row r="110" spans="1:27" ht="13.35" customHeight="1">
      <c r="A110" s="17" t="s">
        <v>952</v>
      </c>
      <c r="B110" s="18">
        <f>$B$16*(1+$B$6)^(B108-1)</f>
        <v>13565.649175666835</v>
      </c>
      <c r="C110" s="18">
        <f>$B$16*(1+$B$6)^(C108-1)</f>
        <v>13836.962159180168</v>
      </c>
      <c r="D110" s="18">
        <f>$B$16*(1+$B$6)^(D108-1)</f>
        <v>14113.701402363775</v>
      </c>
      <c r="E110" s="18">
        <f>$B$16*(1+$B$6)^(E108-1)</f>
        <v>14395.97543041105</v>
      </c>
      <c r="F110" s="19">
        <f>$B$16*(1+$B$6)^(F108-1)</f>
        <v>14683.89493901927</v>
      </c>
      <c r="G110" s="13"/>
      <c r="H110" s="13"/>
      <c r="I110" s="13"/>
      <c r="J110" s="13"/>
      <c r="K110" s="13"/>
      <c r="N110" s="3559"/>
      <c r="O110" s="3561"/>
      <c r="Z110" s="1719" t="s">
        <v>6464</v>
      </c>
      <c r="AA110" s="1721">
        <v>110</v>
      </c>
    </row>
    <row r="111" spans="1:27" ht="13.35" customHeight="1">
      <c r="A111" s="17" t="s">
        <v>2216</v>
      </c>
      <c r="B111" s="18">
        <f>-(B109+B110)*$B$9</f>
        <v>-48429.367557130601</v>
      </c>
      <c r="C111" s="18">
        <f>-(C109+C110)*$B$9</f>
        <v>-49397.954908273212</v>
      </c>
      <c r="D111" s="18">
        <f>-(D109+D110)*$B$9</f>
        <v>-50385.914006438674</v>
      </c>
      <c r="E111" s="18">
        <f>-(E109+E110)*$B$9</f>
        <v>-51393.632286567459</v>
      </c>
      <c r="F111" s="19">
        <f>-(F109+F110)*$B$9</f>
        <v>-52421.504932298798</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643418.74040187791</v>
      </c>
      <c r="C114" s="18">
        <f>SUM(C109:C113)</f>
        <v>656287.11520991544</v>
      </c>
      <c r="D114" s="18">
        <f>SUM(D109:D113)</f>
        <v>669412.85751411377</v>
      </c>
      <c r="E114" s="18">
        <f>SUM(E109:E113)</f>
        <v>682801.11466439615</v>
      </c>
      <c r="F114" s="19">
        <f>SUM(F109:F113)</f>
        <v>696457.13695768395</v>
      </c>
      <c r="G114" s="13"/>
      <c r="H114" s="13"/>
      <c r="I114" s="13"/>
      <c r="J114" s="13"/>
      <c r="K114" s="13"/>
      <c r="N114" s="3559"/>
      <c r="O114" s="3561"/>
      <c r="Z114" s="1719" t="s">
        <v>6464</v>
      </c>
      <c r="AA114" s="1721">
        <v>114</v>
      </c>
    </row>
    <row r="115" spans="1:27" ht="13.35" customHeight="1">
      <c r="A115" s="17" t="s">
        <v>572</v>
      </c>
      <c r="B115" s="18">
        <f>$B$21*(1+$B$7)^(B108-1)</f>
        <v>-589892.74384828052</v>
      </c>
      <c r="C115" s="18">
        <f>$B$21*(1+$B$7)^(C108-1)</f>
        <v>-607589.52616372902</v>
      </c>
      <c r="D115" s="18">
        <f>$B$21*(1+$B$7)^(D108-1)</f>
        <v>-625817.21194864076</v>
      </c>
      <c r="E115" s="18">
        <f>$B$21*(1+$B$7)^(E108-1)</f>
        <v>-644591.72830710001</v>
      </c>
      <c r="F115" s="19">
        <f>$B$21*(1+$B$7)^(F108-1)</f>
        <v>-663929.48015631293</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-62915</v>
      </c>
      <c r="C116" s="18">
        <f>IF(AND('Part VI-Pro Forma'!$G$9="Yes",'Part VI-Pro Forma'!$G$10="Yes"),"Choose One!",IF('Part VI-Pro Forma'!$G$9="Yes",ROUND((-$K$9*(1+'Part VI-Pro Forma'!$B$7)^('Part VI-Pro Forma'!C108-1)),),IF('Part VI-Pro Forma'!$G$10="Yes",ROUND((-(SUM(C109:C112)*'Part VI-Pro Forma'!$K$10)),),"Choose mgt fee")))</f>
        <v>-64802</v>
      </c>
      <c r="D116" s="18">
        <f>IF(AND('Part VI-Pro Forma'!$G$9="Yes",'Part VI-Pro Forma'!$G$10="Yes"),"Choose One!",IF('Part VI-Pro Forma'!$G$9="Yes",ROUND((-$K$9*(1+'Part VI-Pro Forma'!$B$7)^('Part VI-Pro Forma'!D108-1)),),IF('Part VI-Pro Forma'!$G$10="Yes",ROUND((-(SUM(D109:D112)*'Part VI-Pro Forma'!$K$10)),),"Choose mgt fee")))</f>
        <v>-66746</v>
      </c>
      <c r="E116" s="18">
        <f>IF(AND('Part VI-Pro Forma'!$G$9="Yes",'Part VI-Pro Forma'!$G$10="Yes"),"Choose One!",IF('Part VI-Pro Forma'!$G$9="Yes",ROUND((-$K$9*(1+'Part VI-Pro Forma'!$B$7)^('Part VI-Pro Forma'!E108-1)),),IF('Part VI-Pro Forma'!$G$10="Yes",ROUND((-(SUM(E109:E112)*'Part VI-Pro Forma'!$K$10)),),"Choose mgt fee")))</f>
        <v>-68749</v>
      </c>
      <c r="F116" s="19">
        <f>IF(AND('Part VI-Pro Forma'!$G$9="Yes",'Part VI-Pro Forma'!$G$10="Yes"),"Choose One!",IF('Part VI-Pro Forma'!$G$9="Yes",ROUND((-$K$9*(1+'Part VI-Pro Forma'!$B$7)^('Part VI-Pro Forma'!F108-1)),),IF('Part VI-Pro Forma'!$G$10="Yes",ROUND((-(SUM(F109:F112)*'Part VI-Pro Forma'!$K$10)),),"Choose mgt fee")))</f>
        <v>-70811</v>
      </c>
      <c r="G116" s="13"/>
      <c r="H116" s="13"/>
      <c r="I116" s="13"/>
      <c r="J116" s="13"/>
      <c r="K116" s="13"/>
      <c r="N116" s="3559"/>
      <c r="O116" s="3561"/>
      <c r="Z116" s="1719" t="s">
        <v>6464</v>
      </c>
      <c r="AA116" s="1721">
        <v>116</v>
      </c>
    </row>
    <row r="117" spans="1:27" ht="13.35" customHeight="1">
      <c r="A117" s="17" t="s">
        <v>1128</v>
      </c>
      <c r="B117" s="18">
        <f>$B$23*(1+$B$8)^(B108-1)</f>
        <v>-29127.149654275909</v>
      </c>
      <c r="C117" s="18">
        <f>$B$23*(1+$B$8)^(C108-1)</f>
        <v>-30000.964143904192</v>
      </c>
      <c r="D117" s="18">
        <f>$B$23*(1+$B$8)^(D108-1)</f>
        <v>-30900.993068221313</v>
      </c>
      <c r="E117" s="18">
        <f>$B$23*(1+$B$8)^(E108-1)</f>
        <v>-31828.022860267953</v>
      </c>
      <c r="F117" s="19">
        <f>$B$23*(1+$B$8)^(F108-1)</f>
        <v>-32782.863546075983</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-38516.153100678523</v>
      </c>
      <c r="C119" s="18">
        <f>SUM(C114:C118)</f>
        <v>-46105.37509771777</v>
      </c>
      <c r="D119" s="18">
        <f>SUM(D114:D118)</f>
        <v>-54051.347502748307</v>
      </c>
      <c r="E119" s="18">
        <f>SUM(E114:E118)</f>
        <v>-62367.636502971814</v>
      </c>
      <c r="F119" s="1215">
        <f>SUM(F114:F118)</f>
        <v>-71066.206744704963</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6464</v>
      </c>
      <c r="AA125" s="1721">
        <v>125</v>
      </c>
    </row>
    <row r="126" spans="1:27" ht="13.35" customHeight="1">
      <c r="A126" s="17" t="s">
        <v>1096</v>
      </c>
      <c r="B126" s="18">
        <f>SUM(B119:B125)</f>
        <v>-46016.153100678523</v>
      </c>
      <c r="C126" s="18">
        <f>SUM(C119:C125)</f>
        <v>-53605.37509771777</v>
      </c>
      <c r="D126" s="18">
        <f>SUM(D119:D125)</f>
        <v>-61551.347502748307</v>
      </c>
      <c r="E126" s="18">
        <f>SUM(E119:E125)</f>
        <v>-69867.636502971814</v>
      </c>
      <c r="F126" s="19">
        <f>SUM(F119:F125)</f>
        <v>-78566.206744704963</v>
      </c>
      <c r="G126" s="13"/>
      <c r="H126" s="13"/>
      <c r="I126" s="13"/>
      <c r="J126" s="13"/>
      <c r="K126" s="13"/>
      <c r="N126" s="3559"/>
      <c r="O126" s="3561"/>
      <c r="Z126" s="1719" t="s">
        <v>6464</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9"/>
      <c r="O127" s="356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0.9435193103217645</v>
      </c>
      <c r="C132" s="220">
        <f>IF(OR(C116="Choose mgt fee",C116="Choose One!"),"",(C109+C110+C111+C112+C113) / -(C115+C116+C117))</f>
        <v>0.93435952728149962</v>
      </c>
      <c r="D132" s="220">
        <f>IF(OR(D116="Choose mgt fee",D116="Choose One!"),"",(D109+D110+D111+D112+D113) / -(D115+D116+D117))</f>
        <v>0.92528815229844241</v>
      </c>
      <c r="E132" s="220">
        <f>IF(OR(E116="Choose mgt fee",E116="Choose One!"),"",(E109+E110+E111+E112+E113) / -(E115+E116+E117))</f>
        <v>0.91630400978936954</v>
      </c>
      <c r="F132" s="498">
        <f>IF(OR(F116="Choose mgt fee",F116="Choose One!"),"",(F109+F110+F111+F112+F113) / -(F115+F116+F117))</f>
        <v>0.90740841001409167</v>
      </c>
      <c r="G132" s="13"/>
      <c r="H132" s="13"/>
      <c r="I132" s="13"/>
      <c r="J132" s="13"/>
      <c r="K132" s="13"/>
      <c r="N132" s="3559"/>
      <c r="O132" s="3561"/>
      <c r="Z132" s="1719" t="s">
        <v>6464</v>
      </c>
      <c r="AA132" s="1721">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559"/>
      <c r="O133" s="356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37"/>
  <sheetViews>
    <sheetView showGridLines="0" topLeftCell="A276" zoomScale="70" zoomScaleNormal="70" workbookViewId="0">
      <selection activeCell="A57" sqref="A57:XFD57"/>
    </sheetView>
  </sheetViews>
  <sheetFormatPr defaultColWidth="9.109375" defaultRowHeight="20.25" customHeight="1"/>
  <cols>
    <col min="1" max="1" width="5.88671875" style="2030" customWidth="1"/>
    <col min="2" max="2" width="3.554687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681" t="str">
        <f>CONCATENATE("PART SEVEN - THRESHOLD CRITERIA","  -  ",'Part I-Project Identification'!$O$7," ",'Part I-Project Identification'!$F$25,", ",'Part I-Project Identification'!F26,", ",'Part I-Project Identification'!J26," County")</f>
        <v>PART SEVEN - THRESHOLD CRITERIA  -  2023-0 Cusseta Crossing, Columbus, Muscogee County</v>
      </c>
      <c r="B1" s="3681"/>
      <c r="C1" s="3681"/>
      <c r="D1" s="3681"/>
      <c r="E1" s="3681"/>
      <c r="F1" s="3681"/>
      <c r="G1" s="3681"/>
      <c r="H1" s="3681"/>
      <c r="I1" s="3681"/>
      <c r="J1" s="3681"/>
      <c r="K1" s="3681"/>
      <c r="L1" s="3681"/>
      <c r="M1" s="3681"/>
      <c r="N1" s="3681"/>
      <c r="O1" s="3681"/>
      <c r="P1" s="3681"/>
      <c r="Q1" s="3681"/>
    </row>
    <row r="2" spans="1:17" s="2011" customFormat="1" ht="13.2"/>
    <row r="3" spans="1:17" s="2011" customFormat="1" ht="13.2">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6771</v>
      </c>
      <c r="Q3" s="3685" t="s">
        <v>6531</v>
      </c>
    </row>
    <row r="4" spans="1:17" s="2011" customFormat="1" ht="13.2">
      <c r="A4" s="2013"/>
      <c r="B4" s="3687"/>
      <c r="C4" s="3687"/>
      <c r="D4" s="3687"/>
      <c r="E4" s="2013"/>
      <c r="F4" s="2013"/>
      <c r="G4" s="2013"/>
      <c r="H4" s="2013"/>
      <c r="I4" s="2012"/>
      <c r="J4" s="2014"/>
      <c r="K4" s="2013"/>
      <c r="L4" s="2013"/>
      <c r="M4" s="2013"/>
      <c r="N4" s="2013"/>
      <c r="O4" s="2012"/>
      <c r="P4" s="3683"/>
      <c r="Q4" s="3685"/>
    </row>
    <row r="5" spans="1:17" s="2011" customFormat="1" ht="13.2">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6772</v>
      </c>
      <c r="B7" s="3692"/>
      <c r="C7" s="3692"/>
      <c r="D7" s="3692"/>
      <c r="E7" s="3692"/>
      <c r="F7" s="3692"/>
      <c r="G7" s="3692"/>
      <c r="H7" s="3692"/>
      <c r="I7" s="3692"/>
      <c r="J7" s="3692"/>
      <c r="K7" s="3692"/>
      <c r="L7" s="3692"/>
      <c r="M7" s="3692"/>
      <c r="N7" s="3692"/>
      <c r="O7" s="3692"/>
      <c r="P7" s="3692"/>
      <c r="Q7" s="3692"/>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693"/>
      <c r="Q9" s="3694"/>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695" t="s">
        <v>1329</v>
      </c>
      <c r="B11" s="3696"/>
      <c r="C11" s="3696"/>
      <c r="D11" s="3696"/>
      <c r="E11" s="3696"/>
      <c r="F11" s="3696"/>
      <c r="G11" s="3696"/>
      <c r="H11" s="3696"/>
      <c r="I11" s="3696"/>
      <c r="J11" s="3696"/>
      <c r="K11" s="3696"/>
      <c r="L11" s="3696"/>
      <c r="M11" s="3696"/>
      <c r="N11" s="3696"/>
      <c r="O11" s="3696"/>
      <c r="P11" s="3696"/>
      <c r="Q11" s="3697"/>
    </row>
    <row r="12" spans="1:17" s="2022" customFormat="1" ht="13.8">
      <c r="A12" s="3689" t="s">
        <v>218</v>
      </c>
      <c r="B12" s="3690"/>
      <c r="C12" s="3690"/>
      <c r="D12" s="3690"/>
      <c r="E12" s="3690"/>
      <c r="F12" s="3690"/>
      <c r="G12" s="3690"/>
      <c r="H12" s="3690"/>
      <c r="I12" s="3690"/>
      <c r="J12" s="3690"/>
      <c r="K12" s="3690"/>
      <c r="L12" s="3690"/>
      <c r="M12" s="3690"/>
      <c r="N12" s="3690"/>
      <c r="O12" s="3690"/>
      <c r="P12" s="3690"/>
      <c r="Q12" s="3691"/>
    </row>
    <row r="13" spans="1:17" s="2022" customFormat="1" ht="13.8">
      <c r="A13" s="3689" t="s">
        <v>1325</v>
      </c>
      <c r="B13" s="3690"/>
      <c r="C13" s="3690"/>
      <c r="D13" s="3690"/>
      <c r="E13" s="3690"/>
      <c r="F13" s="3690"/>
      <c r="G13" s="3690"/>
      <c r="H13" s="3690"/>
      <c r="I13" s="3690"/>
      <c r="J13" s="3690"/>
      <c r="K13" s="3690"/>
      <c r="L13" s="3690"/>
      <c r="M13" s="3690"/>
      <c r="N13" s="3690"/>
      <c r="O13" s="3690"/>
      <c r="P13" s="3690"/>
      <c r="Q13" s="3691"/>
    </row>
    <row r="14" spans="1:17" s="2022" customFormat="1" ht="13.8">
      <c r="A14" s="3689" t="s">
        <v>1326</v>
      </c>
      <c r="B14" s="3690"/>
      <c r="C14" s="3690"/>
      <c r="D14" s="3690"/>
      <c r="E14" s="3690"/>
      <c r="F14" s="3690"/>
      <c r="G14" s="3690"/>
      <c r="H14" s="3690"/>
      <c r="I14" s="3690"/>
      <c r="J14" s="3690"/>
      <c r="K14" s="3690"/>
      <c r="L14" s="3690"/>
      <c r="M14" s="3690"/>
      <c r="N14" s="3690"/>
      <c r="O14" s="3690"/>
      <c r="P14" s="3690"/>
      <c r="Q14" s="3691"/>
    </row>
    <row r="15" spans="1:17" s="2022" customFormat="1" ht="13.8">
      <c r="A15" s="3689" t="s">
        <v>1327</v>
      </c>
      <c r="B15" s="3690"/>
      <c r="C15" s="3690"/>
      <c r="D15" s="3690"/>
      <c r="E15" s="3690"/>
      <c r="F15" s="3690"/>
      <c r="G15" s="3690"/>
      <c r="H15" s="3690"/>
      <c r="I15" s="3690"/>
      <c r="J15" s="3690"/>
      <c r="K15" s="3690"/>
      <c r="L15" s="3690"/>
      <c r="M15" s="3690"/>
      <c r="N15" s="3690"/>
      <c r="O15" s="3690"/>
      <c r="P15" s="3690"/>
      <c r="Q15" s="3691"/>
    </row>
    <row r="16" spans="1:17" s="2022" customFormat="1" ht="13.8">
      <c r="A16" s="3689" t="s">
        <v>1328</v>
      </c>
      <c r="B16" s="3690"/>
      <c r="C16" s="3690"/>
      <c r="D16" s="3690"/>
      <c r="E16" s="3690"/>
      <c r="F16" s="3690"/>
      <c r="G16" s="3690"/>
      <c r="H16" s="3690"/>
      <c r="I16" s="3690"/>
      <c r="J16" s="3690"/>
      <c r="K16" s="3690"/>
      <c r="L16" s="3690"/>
      <c r="M16" s="3690"/>
      <c r="N16" s="3690"/>
      <c r="O16" s="3690"/>
      <c r="P16" s="3690"/>
      <c r="Q16" s="3691"/>
    </row>
    <row r="17" spans="1:17" s="2022" customFormat="1" ht="13.8">
      <c r="A17" s="3689" t="s">
        <v>1330</v>
      </c>
      <c r="B17" s="3690"/>
      <c r="C17" s="3690"/>
      <c r="D17" s="3690"/>
      <c r="E17" s="3690"/>
      <c r="F17" s="3690"/>
      <c r="G17" s="3690"/>
      <c r="H17" s="3690"/>
      <c r="I17" s="3690"/>
      <c r="J17" s="3690"/>
      <c r="K17" s="3690"/>
      <c r="L17" s="3690"/>
      <c r="M17" s="3690"/>
      <c r="N17" s="3690"/>
      <c r="O17" s="3690"/>
      <c r="P17" s="3690"/>
      <c r="Q17" s="3691"/>
    </row>
    <row r="18" spans="1:17" s="2022" customFormat="1" ht="13.8">
      <c r="A18" s="3689" t="s">
        <v>1872</v>
      </c>
      <c r="B18" s="3690"/>
      <c r="C18" s="3690"/>
      <c r="D18" s="3690"/>
      <c r="E18" s="3690"/>
      <c r="F18" s="3690"/>
      <c r="G18" s="3690"/>
      <c r="H18" s="3690"/>
      <c r="I18" s="3690"/>
      <c r="J18" s="3690"/>
      <c r="K18" s="3690"/>
      <c r="L18" s="3690"/>
      <c r="M18" s="3690"/>
      <c r="N18" s="3690"/>
      <c r="O18" s="3690"/>
      <c r="P18" s="3690"/>
      <c r="Q18" s="3691"/>
    </row>
    <row r="19" spans="1:17" s="2022" customFormat="1" ht="13.8">
      <c r="A19" s="3689" t="s">
        <v>1873</v>
      </c>
      <c r="B19" s="3690"/>
      <c r="C19" s="3690"/>
      <c r="D19" s="3690"/>
      <c r="E19" s="3690"/>
      <c r="F19" s="3690"/>
      <c r="G19" s="3690"/>
      <c r="H19" s="3690"/>
      <c r="I19" s="3690"/>
      <c r="J19" s="3690"/>
      <c r="K19" s="3690"/>
      <c r="L19" s="3690"/>
      <c r="M19" s="3690"/>
      <c r="N19" s="3690"/>
      <c r="O19" s="3690"/>
      <c r="P19" s="3690"/>
      <c r="Q19" s="3691"/>
    </row>
    <row r="20" spans="1:17" s="2022" customFormat="1" ht="13.8">
      <c r="A20" s="3689" t="s">
        <v>1874</v>
      </c>
      <c r="B20" s="3690"/>
      <c r="C20" s="3690"/>
      <c r="D20" s="3690"/>
      <c r="E20" s="3690"/>
      <c r="F20" s="3690"/>
      <c r="G20" s="3690"/>
      <c r="H20" s="3690"/>
      <c r="I20" s="3690"/>
      <c r="J20" s="3690"/>
      <c r="K20" s="3690"/>
      <c r="L20" s="3690"/>
      <c r="M20" s="3690"/>
      <c r="N20" s="3690"/>
      <c r="O20" s="3690"/>
      <c r="P20" s="3690"/>
      <c r="Q20" s="3691"/>
    </row>
    <row r="21" spans="1:17" s="2022" customFormat="1" ht="13.8">
      <c r="A21" s="3689" t="s">
        <v>1875</v>
      </c>
      <c r="B21" s="3690"/>
      <c r="C21" s="3690"/>
      <c r="D21" s="3690"/>
      <c r="E21" s="3690"/>
      <c r="F21" s="3690"/>
      <c r="G21" s="3690"/>
      <c r="H21" s="3690"/>
      <c r="I21" s="3690"/>
      <c r="J21" s="3690"/>
      <c r="K21" s="3690"/>
      <c r="L21" s="3690"/>
      <c r="M21" s="3690"/>
      <c r="N21" s="3690"/>
      <c r="O21" s="3690"/>
      <c r="P21" s="3690"/>
      <c r="Q21" s="3691"/>
    </row>
    <row r="22" spans="1:17" s="2022" customFormat="1" ht="13.8">
      <c r="A22" s="3689" t="s">
        <v>1876</v>
      </c>
      <c r="B22" s="3690"/>
      <c r="C22" s="3690"/>
      <c r="D22" s="3690"/>
      <c r="E22" s="3690"/>
      <c r="F22" s="3690"/>
      <c r="G22" s="3690"/>
      <c r="H22" s="3690"/>
      <c r="I22" s="3690"/>
      <c r="J22" s="3690"/>
      <c r="K22" s="3690"/>
      <c r="L22" s="3690"/>
      <c r="M22" s="3690"/>
      <c r="N22" s="3690"/>
      <c r="O22" s="3690"/>
      <c r="P22" s="3690"/>
      <c r="Q22" s="3691"/>
    </row>
    <row r="23" spans="1:17" s="2022" customFormat="1" ht="13.8">
      <c r="A23" s="3689" t="s">
        <v>1877</v>
      </c>
      <c r="B23" s="3690"/>
      <c r="C23" s="3690"/>
      <c r="D23" s="3690"/>
      <c r="E23" s="3690"/>
      <c r="F23" s="3690"/>
      <c r="G23" s="3690"/>
      <c r="H23" s="3690"/>
      <c r="I23" s="3690"/>
      <c r="J23" s="3690"/>
      <c r="K23" s="3690"/>
      <c r="L23" s="3690"/>
      <c r="M23" s="3690"/>
      <c r="N23" s="3690"/>
      <c r="O23" s="3690"/>
      <c r="P23" s="3690"/>
      <c r="Q23" s="3691"/>
    </row>
    <row r="24" spans="1:17" s="2022" customFormat="1" ht="13.8">
      <c r="A24" s="3689" t="s">
        <v>1878</v>
      </c>
      <c r="B24" s="3690"/>
      <c r="C24" s="3690"/>
      <c r="D24" s="3690"/>
      <c r="E24" s="3690"/>
      <c r="F24" s="3690"/>
      <c r="G24" s="3690"/>
      <c r="H24" s="3690"/>
      <c r="I24" s="3690"/>
      <c r="J24" s="3690"/>
      <c r="K24" s="3690"/>
      <c r="L24" s="3690"/>
      <c r="M24" s="3690"/>
      <c r="N24" s="3690"/>
      <c r="O24" s="3690"/>
      <c r="P24" s="3690"/>
      <c r="Q24" s="3691"/>
    </row>
    <row r="25" spans="1:17" s="2022" customFormat="1" ht="13.8">
      <c r="A25" s="3689" t="s">
        <v>1879</v>
      </c>
      <c r="B25" s="3690"/>
      <c r="C25" s="3690"/>
      <c r="D25" s="3690"/>
      <c r="E25" s="3690"/>
      <c r="F25" s="3690"/>
      <c r="G25" s="3690"/>
      <c r="H25" s="3690"/>
      <c r="I25" s="3690"/>
      <c r="J25" s="3690"/>
      <c r="K25" s="3690"/>
      <c r="L25" s="3690"/>
      <c r="M25" s="3690"/>
      <c r="N25" s="3690"/>
      <c r="O25" s="3690"/>
      <c r="P25" s="3690"/>
      <c r="Q25" s="3691"/>
    </row>
    <row r="26" spans="1:17" s="2022" customFormat="1" ht="13.8">
      <c r="A26" s="3689" t="s">
        <v>1880</v>
      </c>
      <c r="B26" s="3690"/>
      <c r="C26" s="3690"/>
      <c r="D26" s="3690"/>
      <c r="E26" s="3690"/>
      <c r="F26" s="3690"/>
      <c r="G26" s="3690"/>
      <c r="H26" s="3690"/>
      <c r="I26" s="3690"/>
      <c r="J26" s="3690"/>
      <c r="K26" s="3690"/>
      <c r="L26" s="3690"/>
      <c r="M26" s="3690"/>
      <c r="N26" s="3690"/>
      <c r="O26" s="3690"/>
      <c r="P26" s="3690"/>
      <c r="Q26" s="3691"/>
    </row>
    <row r="27" spans="1:17" s="2022" customFormat="1" ht="13.8">
      <c r="A27" s="3689" t="s">
        <v>1881</v>
      </c>
      <c r="B27" s="3690"/>
      <c r="C27" s="3690"/>
      <c r="D27" s="3690"/>
      <c r="E27" s="3690"/>
      <c r="F27" s="3690"/>
      <c r="G27" s="3690"/>
      <c r="H27" s="3690"/>
      <c r="I27" s="3690"/>
      <c r="J27" s="3690"/>
      <c r="K27" s="3690"/>
      <c r="L27" s="3690"/>
      <c r="M27" s="3690"/>
      <c r="N27" s="3690"/>
      <c r="O27" s="3690"/>
      <c r="P27" s="3690"/>
      <c r="Q27" s="3691"/>
    </row>
    <row r="28" spans="1:17" s="2022" customFormat="1" ht="13.8">
      <c r="A28" s="3698" t="s">
        <v>1882</v>
      </c>
      <c r="B28" s="3699"/>
      <c r="C28" s="3699"/>
      <c r="D28" s="3699"/>
      <c r="E28" s="3699"/>
      <c r="F28" s="3699"/>
      <c r="G28" s="3699"/>
      <c r="H28" s="3699"/>
      <c r="I28" s="3699"/>
      <c r="J28" s="3699"/>
      <c r="K28" s="3699"/>
      <c r="L28" s="3699"/>
      <c r="M28" s="3699"/>
      <c r="N28" s="3699"/>
      <c r="O28" s="3699"/>
      <c r="P28" s="3699"/>
      <c r="Q28" s="3700"/>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701"/>
      <c r="Q31" s="3702"/>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703" t="s">
        <v>7060</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6775</v>
      </c>
      <c r="C39" s="3719"/>
      <c r="D39" s="3719"/>
      <c r="E39" s="3719"/>
      <c r="F39" s="3719"/>
      <c r="G39" s="3719"/>
      <c r="H39" s="3719"/>
      <c r="I39" s="3719"/>
      <c r="J39" s="3719"/>
      <c r="K39" s="3719"/>
      <c r="L39" s="3719"/>
      <c r="M39" s="3719"/>
      <c r="N39" s="3719"/>
      <c r="O39" s="3719"/>
      <c r="P39" s="3720" t="s">
        <v>2649</v>
      </c>
      <c r="Q39" s="3721"/>
    </row>
    <row r="40" spans="1:17" ht="20.25" customHeight="1">
      <c r="B40" s="2045" t="s">
        <v>3240</v>
      </c>
      <c r="D40" s="2045"/>
      <c r="E40" s="2045"/>
      <c r="F40" s="2045"/>
      <c r="G40" s="2045"/>
      <c r="H40" s="2043"/>
      <c r="I40" s="2031"/>
      <c r="J40" s="2031"/>
    </row>
    <row r="41" spans="1:17" ht="20.25" customHeight="1">
      <c r="A41" s="3722" t="s">
        <v>7084</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6776</v>
      </c>
      <c r="C47" s="2042"/>
      <c r="D47" s="2036"/>
      <c r="E47" s="2036"/>
      <c r="F47" s="2036"/>
      <c r="G47" s="2036"/>
      <c r="H47" s="2036"/>
      <c r="I47" s="2036"/>
      <c r="J47" s="2036"/>
      <c r="L47" s="2051"/>
      <c r="M47" s="2052"/>
      <c r="O47" s="2032"/>
      <c r="P47" s="3720" t="s">
        <v>2649</v>
      </c>
      <c r="Q47" s="372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703" t="s">
        <v>7085</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7061</v>
      </c>
      <c r="J53" s="3714"/>
      <c r="K53" s="3714"/>
      <c r="L53" s="3714"/>
      <c r="M53" s="3714"/>
      <c r="N53" s="3714"/>
      <c r="O53" s="3714"/>
      <c r="P53" s="3714"/>
      <c r="Q53" s="3715"/>
    </row>
    <row r="54" spans="1:17" ht="20.25" customHeight="1">
      <c r="A54" s="2053"/>
      <c r="B54" s="2030" t="s">
        <v>6777</v>
      </c>
      <c r="D54" s="2056"/>
      <c r="E54" s="2056"/>
      <c r="F54" s="2056"/>
      <c r="I54" s="3716">
        <v>0.95699999999999996</v>
      </c>
      <c r="J54" s="3717"/>
      <c r="K54" s="3718"/>
      <c r="L54" s="2044"/>
      <c r="M54" s="2057"/>
      <c r="N54" s="2057"/>
      <c r="O54" s="2057"/>
      <c r="P54" s="2057"/>
      <c r="Q54" s="2026"/>
    </row>
    <row r="55" spans="1:17" ht="20.25" customHeight="1">
      <c r="A55" s="2053"/>
      <c r="B55" s="2030" t="s">
        <v>6778</v>
      </c>
      <c r="D55" s="2056"/>
      <c r="E55" s="2056"/>
      <c r="F55" s="2056"/>
      <c r="H55" s="2044" t="s">
        <v>6779</v>
      </c>
      <c r="I55" s="3716">
        <v>0.10100000000000001</v>
      </c>
      <c r="J55" s="3717"/>
      <c r="K55" s="3718"/>
      <c r="L55" s="2058"/>
      <c r="M55" s="2059" t="s">
        <v>6780</v>
      </c>
      <c r="N55" s="3734" t="s">
        <v>2813</v>
      </c>
      <c r="O55" s="3718"/>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703" t="s">
        <v>7116</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6781</v>
      </c>
      <c r="I63" s="2062"/>
      <c r="J63" s="3734"/>
      <c r="K63" s="3734"/>
      <c r="L63" s="3734"/>
      <c r="M63" s="3734"/>
      <c r="N63" s="3734"/>
      <c r="O63" s="3734"/>
      <c r="P63" s="3734"/>
      <c r="Q63" s="3737"/>
    </row>
    <row r="64" spans="1:17" ht="20.25" customHeight="1">
      <c r="A64" s="2053"/>
      <c r="B64" s="2030" t="s">
        <v>3948</v>
      </c>
      <c r="O64" s="2044"/>
      <c r="P64" s="2065" t="s">
        <v>2652</v>
      </c>
      <c r="Q64" s="2066"/>
    </row>
    <row r="65" spans="1:17" ht="33" customHeight="1">
      <c r="B65" s="2042"/>
      <c r="C65" s="3711" t="s">
        <v>6782</v>
      </c>
      <c r="D65" s="3711"/>
      <c r="E65" s="3711"/>
      <c r="F65" s="3711"/>
      <c r="G65" s="3711"/>
      <c r="H65" s="3711"/>
      <c r="I65" s="3711"/>
      <c r="J65" s="3711"/>
      <c r="K65" s="3711"/>
      <c r="L65" s="3711"/>
      <c r="M65" s="3711"/>
      <c r="N65" s="3711"/>
      <c r="O65" s="3711"/>
      <c r="P65" s="2065"/>
      <c r="Q65" s="2066"/>
    </row>
    <row r="66" spans="1:17" ht="33" customHeight="1">
      <c r="A66" s="2053"/>
      <c r="B66" s="2042"/>
      <c r="C66" s="3711" t="s">
        <v>6783</v>
      </c>
      <c r="D66" s="3711"/>
      <c r="E66" s="3711"/>
      <c r="F66" s="3711"/>
      <c r="G66" s="3711"/>
      <c r="H66" s="3711"/>
      <c r="I66" s="3711"/>
      <c r="J66" s="3711"/>
      <c r="K66" s="3711"/>
      <c r="L66" s="3711"/>
      <c r="M66" s="3711"/>
      <c r="N66" s="3711"/>
      <c r="O66" s="3711"/>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22" t="s">
        <v>7062</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6784</v>
      </c>
      <c r="C74" s="3711"/>
      <c r="D74" s="3711"/>
      <c r="E74" s="3711"/>
      <c r="F74" s="3711"/>
      <c r="G74" s="3711"/>
      <c r="H74" s="3711"/>
      <c r="I74" s="3711"/>
      <c r="J74" s="3711"/>
      <c r="K74" s="3712"/>
      <c r="L74" s="3730" t="s">
        <v>7063</v>
      </c>
      <c r="M74" s="3731"/>
      <c r="N74" s="3731"/>
      <c r="O74" s="3731"/>
      <c r="P74" s="3732"/>
      <c r="Q74" s="3733"/>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2649</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739" t="s">
        <v>6791</v>
      </c>
      <c r="C82" s="3739"/>
      <c r="D82" s="3739"/>
      <c r="E82" s="3739"/>
      <c r="F82" s="3739"/>
      <c r="G82" s="3739"/>
      <c r="H82" s="3739"/>
      <c r="I82" s="3739"/>
      <c r="J82" s="3739"/>
      <c r="K82" s="3739"/>
      <c r="L82" s="3739"/>
      <c r="M82" s="3739"/>
      <c r="N82" s="3739"/>
      <c r="O82" s="3739"/>
      <c r="P82" s="3739"/>
      <c r="Q82" s="3739"/>
    </row>
    <row r="83" spans="1:23" ht="20.25" customHeight="1">
      <c r="B83" s="3734"/>
      <c r="C83" s="3734"/>
      <c r="D83" s="3734"/>
      <c r="E83" s="3734"/>
      <c r="F83" s="3734"/>
      <c r="G83" s="3734"/>
      <c r="H83" s="3734"/>
      <c r="I83" s="3734"/>
      <c r="J83" s="3734"/>
      <c r="K83" s="3734"/>
      <c r="L83" s="3734"/>
      <c r="M83" s="3734"/>
      <c r="N83" s="3734"/>
      <c r="O83" s="3734"/>
      <c r="P83" s="3734"/>
      <c r="Q83" s="3737"/>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703" t="s">
        <v>7086</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7064</v>
      </c>
      <c r="M91" s="3741"/>
      <c r="N91" s="3742"/>
      <c r="O91" s="3706" t="s">
        <v>1646</v>
      </c>
      <c r="P91" s="3743"/>
      <c r="Q91" s="3744"/>
    </row>
    <row r="92" spans="1:23" ht="20.25" customHeight="1">
      <c r="A92" s="2053"/>
      <c r="B92" s="2030" t="s">
        <v>636</v>
      </c>
      <c r="G92" s="3734" t="s">
        <v>7087</v>
      </c>
      <c r="H92" s="3734"/>
      <c r="I92" s="3734"/>
      <c r="J92" s="3734"/>
      <c r="K92" s="3734"/>
      <c r="L92" s="3734"/>
      <c r="M92" s="3734"/>
      <c r="N92" s="3734"/>
      <c r="O92" s="3734"/>
      <c r="P92" s="3734"/>
      <c r="Q92" s="3737"/>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703" t="s">
        <v>7088</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703" t="s">
        <v>7113</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703" t="s">
        <v>7114</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6792</v>
      </c>
      <c r="H114" s="2030" t="s">
        <v>6793</v>
      </c>
      <c r="J114" s="3749"/>
      <c r="K114" s="3750"/>
      <c r="L114" s="3750"/>
      <c r="M114" s="3750"/>
      <c r="N114" s="3750"/>
      <c r="O114" s="3750"/>
      <c r="P114" s="3750"/>
      <c r="Q114" s="3751"/>
    </row>
    <row r="115" spans="1:21" ht="20.25" customHeight="1">
      <c r="A115" s="2053"/>
      <c r="B115" s="2053"/>
      <c r="H115" s="2030" t="s">
        <v>6794</v>
      </c>
      <c r="J115" s="3746" t="s">
        <v>7065</v>
      </c>
      <c r="K115" s="3747"/>
      <c r="L115" s="3747"/>
      <c r="M115" s="3747"/>
      <c r="N115" s="3747"/>
      <c r="O115" s="3747"/>
      <c r="P115" s="3747"/>
      <c r="Q115" s="3748"/>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703" t="s">
        <v>7089</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6796</v>
      </c>
      <c r="H123" s="2030" t="s">
        <v>6797</v>
      </c>
      <c r="J123" s="3749" t="s">
        <v>7066</v>
      </c>
      <c r="K123" s="3750"/>
      <c r="L123" s="3750"/>
      <c r="M123" s="3750"/>
      <c r="N123" s="3750"/>
      <c r="O123" s="3750"/>
      <c r="P123" s="3750"/>
      <c r="Q123" s="3751"/>
      <c r="R123" s="2084"/>
    </row>
    <row r="124" spans="1:21" ht="20.25" customHeight="1">
      <c r="A124" s="2083"/>
      <c r="B124" s="2053"/>
      <c r="H124" s="2030" t="s">
        <v>6798</v>
      </c>
      <c r="J124" s="3746" t="s">
        <v>7066</v>
      </c>
      <c r="K124" s="3747"/>
      <c r="L124" s="3747"/>
      <c r="M124" s="3747"/>
      <c r="N124" s="3747"/>
      <c r="O124" s="3747"/>
      <c r="P124" s="3747"/>
      <c r="Q124" s="3748"/>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703" t="s">
        <v>7090</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6799</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52" t="s">
        <v>7074</v>
      </c>
      <c r="N134" s="3753"/>
      <c r="O134" s="3753"/>
      <c r="P134" s="3753"/>
      <c r="Q134" s="3754"/>
    </row>
    <row r="135" spans="1:17" ht="20.25" customHeight="1">
      <c r="A135" s="2053"/>
      <c r="B135" s="2043"/>
      <c r="C135" s="2043" t="s">
        <v>6718</v>
      </c>
      <c r="E135" s="2043"/>
      <c r="F135" s="2043"/>
      <c r="G135" s="2043"/>
      <c r="H135" s="2043"/>
      <c r="J135" s="2044"/>
      <c r="K135" s="2033"/>
      <c r="L135" s="2033"/>
      <c r="M135" s="3755" t="s">
        <v>7075</v>
      </c>
      <c r="N135" s="3756"/>
      <c r="O135" s="3756"/>
      <c r="P135" s="3756"/>
      <c r="Q135" s="3757"/>
    </row>
    <row r="136" spans="1:17" ht="20.25" customHeight="1">
      <c r="A136" s="2053"/>
      <c r="B136" s="2043"/>
      <c r="C136" s="3758" t="s">
        <v>6193</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3786</v>
      </c>
      <c r="E137" s="2043"/>
      <c r="F137" s="2043"/>
      <c r="G137" s="2043"/>
      <c r="H137" s="2043"/>
      <c r="J137" s="2044"/>
      <c r="K137" s="2033"/>
      <c r="L137" s="2033"/>
      <c r="M137" s="3746" t="s">
        <v>7076</v>
      </c>
      <c r="N137" s="3747"/>
      <c r="O137" s="3747"/>
      <c r="P137" s="3747"/>
      <c r="Q137" s="3748"/>
    </row>
    <row r="138" spans="1:17" ht="20.25" customHeight="1">
      <c r="A138" s="2053" t="s">
        <v>1843</v>
      </c>
      <c r="B138" s="3711" t="s">
        <v>6801</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6802</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3900</v>
      </c>
      <c r="D140" s="3768"/>
      <c r="E140" s="3768"/>
      <c r="F140" s="3768"/>
      <c r="G140" s="3768"/>
      <c r="H140" s="3769"/>
      <c r="I140" s="2033"/>
      <c r="J140" s="3779" t="s">
        <v>6803</v>
      </c>
      <c r="K140" s="3780"/>
      <c r="L140" s="3780"/>
      <c r="M140" s="3780"/>
      <c r="N140" s="3780"/>
      <c r="O140" s="3780"/>
      <c r="P140" s="3780"/>
      <c r="Q140" s="3781"/>
    </row>
    <row r="141" spans="1:17" ht="15.75" customHeight="1">
      <c r="A141" s="2026"/>
      <c r="B141" s="2078" t="s">
        <v>1615</v>
      </c>
      <c r="C141" s="3770" t="s">
        <v>3851</v>
      </c>
      <c r="D141" s="3771"/>
      <c r="E141" s="3771"/>
      <c r="F141" s="3771"/>
      <c r="G141" s="3771"/>
      <c r="H141" s="3772"/>
      <c r="I141" s="2033"/>
      <c r="J141" s="3776" t="s">
        <v>6803</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6803</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6803</v>
      </c>
      <c r="K143" s="3774"/>
      <c r="L143" s="3774"/>
      <c r="M143" s="3774"/>
      <c r="N143" s="3774"/>
      <c r="O143" s="3774"/>
      <c r="P143" s="3774"/>
      <c r="Q143" s="377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703" t="s">
        <v>7077</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6804</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703" t="s">
        <v>7091</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703" t="s">
        <v>7078</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6198</v>
      </c>
      <c r="G168" s="2033"/>
      <c r="J168" s="2033"/>
      <c r="K168" s="2033"/>
      <c r="L168" s="2033"/>
      <c r="M168" s="2033"/>
      <c r="N168" s="2033"/>
      <c r="O168" s="2044"/>
      <c r="P168" s="2033"/>
      <c r="Q168" s="2033"/>
    </row>
    <row r="169" spans="1:17" ht="33" customHeight="1">
      <c r="B169" s="3786" t="s">
        <v>6805</v>
      </c>
      <c r="C169" s="3786"/>
      <c r="D169" s="3786"/>
      <c r="E169" s="3786"/>
      <c r="F169" s="3786"/>
      <c r="G169" s="3786"/>
      <c r="H169" s="3786"/>
      <c r="I169" s="3786"/>
      <c r="J169" s="3786"/>
      <c r="K169" s="3786"/>
      <c r="L169" s="3786"/>
      <c r="M169" s="3786"/>
      <c r="N169" s="3786"/>
      <c r="O169" s="3796"/>
      <c r="P169" s="3782" t="s">
        <v>7079</v>
      </c>
      <c r="Q169" s="3783"/>
    </row>
    <row r="170" spans="1:17" ht="20.25" customHeight="1">
      <c r="A170" s="2053" t="s">
        <v>1843</v>
      </c>
      <c r="B170" s="2029" t="s">
        <v>297</v>
      </c>
      <c r="G170" s="2033"/>
      <c r="H170" s="3784" t="s">
        <v>3254</v>
      </c>
      <c r="I170" s="3784"/>
      <c r="J170" s="3784"/>
      <c r="K170" s="3784"/>
      <c r="L170" s="3784"/>
      <c r="M170" s="3784"/>
      <c r="N170" s="3784"/>
      <c r="O170" s="3784"/>
      <c r="P170" s="3785"/>
      <c r="Q170" s="378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786" t="s">
        <v>6199</v>
      </c>
      <c r="C172" s="3786"/>
      <c r="D172" s="3786"/>
      <c r="E172" s="3786"/>
      <c r="F172" s="3786"/>
      <c r="G172" s="3786"/>
      <c r="H172" s="3786"/>
      <c r="I172" s="3786"/>
      <c r="J172" s="3786"/>
      <c r="K172" s="3786"/>
      <c r="L172" s="3786"/>
      <c r="M172" s="3786"/>
      <c r="N172" s="2439" t="s">
        <v>6200</v>
      </c>
      <c r="O172" s="2078" t="s">
        <v>698</v>
      </c>
      <c r="P172" s="3787" t="s">
        <v>7079</v>
      </c>
      <c r="Q172" s="3788"/>
    </row>
    <row r="173" spans="1:17" ht="20.25" customHeight="1">
      <c r="B173" s="2060" t="s">
        <v>3240</v>
      </c>
      <c r="M173" s="2031"/>
      <c r="N173" s="2031"/>
      <c r="O173" s="2088"/>
      <c r="P173" s="2026"/>
    </row>
    <row r="174" spans="1:17" ht="20.25" customHeight="1">
      <c r="A174" s="3703" t="s">
        <v>7092</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6804</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6806</v>
      </c>
      <c r="C181" s="3711"/>
      <c r="D181" s="3711"/>
      <c r="E181" s="3711"/>
      <c r="F181" s="3711"/>
      <c r="G181" s="3711"/>
      <c r="H181" s="3711"/>
      <c r="I181" s="3711"/>
      <c r="J181" s="3711"/>
      <c r="K181" s="3711"/>
      <c r="L181" s="3711"/>
      <c r="M181" s="3711"/>
      <c r="N181" s="3711"/>
      <c r="O181" s="3711"/>
      <c r="P181" s="3801" t="s">
        <v>7079</v>
      </c>
      <c r="Q181" s="3804"/>
    </row>
    <row r="182" spans="1:17" ht="12" customHeight="1">
      <c r="A182" s="2033"/>
      <c r="C182" s="2033"/>
      <c r="D182" s="2033"/>
      <c r="E182" s="2033"/>
      <c r="F182" s="2033"/>
      <c r="G182" s="2033"/>
      <c r="H182" s="2033"/>
      <c r="I182" s="2033"/>
      <c r="J182" s="2033"/>
      <c r="K182" s="2033"/>
      <c r="L182" s="3797" t="s">
        <v>6807</v>
      </c>
      <c r="M182" s="3797"/>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6811</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6812</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3" t="s">
        <v>7093</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6804</v>
      </c>
      <c r="P194" s="3765" t="s">
        <v>2652</v>
      </c>
      <c r="Q194" s="3798"/>
    </row>
    <row r="195" spans="1:17" ht="36" customHeight="1">
      <c r="B195" s="3711" t="s">
        <v>6813</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6912</v>
      </c>
      <c r="D197" s="3786"/>
      <c r="E197" s="3786"/>
      <c r="F197" s="3713" t="s">
        <v>6305</v>
      </c>
      <c r="G197" s="3714"/>
      <c r="H197" s="3714"/>
      <c r="I197" s="3714"/>
      <c r="J197" s="3714"/>
      <c r="K197" s="3714"/>
      <c r="L197" s="3714"/>
      <c r="M197" s="3714"/>
      <c r="N197" s="3714"/>
      <c r="O197" s="3714"/>
      <c r="P197" s="3714"/>
      <c r="Q197" s="3715"/>
    </row>
    <row r="198" spans="1:17" ht="30" customHeight="1">
      <c r="B198" s="2078" t="s">
        <v>1615</v>
      </c>
      <c r="C198" s="3786" t="s">
        <v>6913</v>
      </c>
      <c r="D198" s="3786"/>
      <c r="E198" s="3786"/>
      <c r="F198" s="3786"/>
      <c r="G198" s="3796"/>
      <c r="H198" s="3713" t="s">
        <v>3249</v>
      </c>
      <c r="I198" s="3714"/>
      <c r="J198" s="3714"/>
      <c r="K198" s="3714"/>
      <c r="L198" s="3714"/>
      <c r="M198" s="3714"/>
      <c r="N198" s="3714"/>
      <c r="O198" s="3714"/>
      <c r="P198" s="3714"/>
      <c r="Q198" s="3715"/>
    </row>
    <row r="199" spans="1:17" ht="20.25" customHeight="1">
      <c r="A199" s="2053"/>
      <c r="B199" s="2078" t="s">
        <v>1616</v>
      </c>
      <c r="C199" s="3711" t="s">
        <v>6814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3" t="s">
        <v>7094</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35"/>
      <c r="Q208" s="3803"/>
    </row>
    <row r="209" spans="1:17" ht="20.25" customHeight="1">
      <c r="A209" s="2053"/>
      <c r="B209" s="2030" t="s">
        <v>6815</v>
      </c>
      <c r="O209" s="2044"/>
      <c r="P209" s="3811" t="s">
        <v>7080</v>
      </c>
      <c r="Q209" s="3812"/>
    </row>
    <row r="210" spans="1:17" ht="20.25" customHeight="1">
      <c r="A210" s="2053"/>
      <c r="B210" s="2030" t="s">
        <v>6816</v>
      </c>
      <c r="O210" s="2044"/>
      <c r="P210" s="3806" t="s">
        <v>7080</v>
      </c>
      <c r="Q210" s="3807"/>
    </row>
    <row r="211" spans="1:17" ht="22.5" customHeight="1">
      <c r="A211" s="2053"/>
      <c r="B211" s="2030" t="s">
        <v>6817</v>
      </c>
      <c r="C211" s="2033"/>
      <c r="K211" s="2031"/>
      <c r="M211" s="2044"/>
      <c r="O211" s="2100"/>
      <c r="P211" s="3806" t="s">
        <v>2652</v>
      </c>
      <c r="Q211" s="3807"/>
    </row>
    <row r="212" spans="1:17" ht="31.5" customHeight="1">
      <c r="A212" s="2053"/>
      <c r="B212" s="3711" t="s">
        <v>6818</v>
      </c>
      <c r="C212" s="3711"/>
      <c r="D212" s="3711"/>
      <c r="E212" s="3711"/>
      <c r="F212" s="3711"/>
      <c r="G212" s="3711"/>
      <c r="H212" s="3711"/>
      <c r="I212" s="3711"/>
      <c r="J212" s="3711"/>
      <c r="K212" s="3711"/>
      <c r="L212" s="3711"/>
      <c r="M212" s="3711"/>
      <c r="N212" s="3711"/>
      <c r="O212" s="3711"/>
      <c r="P212" s="3808" t="s">
        <v>7080</v>
      </c>
      <c r="Q212" s="3809"/>
    </row>
    <row r="213" spans="1:17" ht="20.25" customHeight="1">
      <c r="A213" s="2053"/>
      <c r="B213" s="2030" t="s">
        <v>6819</v>
      </c>
      <c r="M213" s="2033"/>
      <c r="N213" s="2033"/>
      <c r="O213" s="3813" t="s">
        <v>4048</v>
      </c>
      <c r="P213" s="3814"/>
      <c r="Q213" s="3815"/>
    </row>
    <row r="214" spans="1:17" ht="20.25" customHeight="1">
      <c r="A214" s="2053"/>
      <c r="B214" s="2029" t="s">
        <v>6820</v>
      </c>
      <c r="G214" s="3706"/>
      <c r="H214" s="3743"/>
      <c r="I214" s="3743"/>
      <c r="J214" s="3743"/>
      <c r="K214" s="3743"/>
      <c r="L214" s="3744"/>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22" t="s">
        <v>7115</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6821</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1841</v>
      </c>
      <c r="B223" s="3825" t="s">
        <v>6822</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6823</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6824</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6825</v>
      </c>
      <c r="C226" s="3786"/>
      <c r="D226" s="3786"/>
      <c r="E226" s="3786"/>
      <c r="F226" s="3786"/>
      <c r="G226" s="3786"/>
      <c r="H226" s="3786"/>
      <c r="I226" s="3786"/>
      <c r="J226" s="3786"/>
      <c r="K226" s="3786"/>
      <c r="L226" s="3786"/>
      <c r="M226" s="3786"/>
      <c r="N226" s="3786"/>
      <c r="O226" s="3786"/>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2" t="s">
        <v>7091</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3359</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3360</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6826</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6827</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6828</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6829</v>
      </c>
      <c r="D239" s="3786"/>
      <c r="E239" s="3786"/>
      <c r="F239" s="3786"/>
      <c r="G239" s="3786"/>
      <c r="H239" s="3786"/>
      <c r="I239" s="3786"/>
      <c r="J239" s="3786"/>
      <c r="K239" s="3786"/>
      <c r="L239" s="3786"/>
      <c r="M239" s="3786"/>
      <c r="N239" s="3786"/>
      <c r="O239" s="3786"/>
      <c r="P239" s="3786"/>
      <c r="Q239" s="3786"/>
    </row>
    <row r="240" spans="1:17" ht="29.25" customHeight="1">
      <c r="A240" s="2053"/>
      <c r="B240" s="2104" t="s">
        <v>3865</v>
      </c>
      <c r="C240" s="3786" t="s">
        <v>6830</v>
      </c>
      <c r="D240" s="3786"/>
      <c r="E240" s="3786"/>
      <c r="F240" s="3786"/>
      <c r="G240" s="3786"/>
      <c r="H240" s="3786"/>
      <c r="I240" s="3786"/>
      <c r="J240" s="3786"/>
      <c r="K240" s="3786"/>
      <c r="L240" s="3786"/>
      <c r="M240" s="3786"/>
      <c r="N240" s="3786"/>
      <c r="O240" s="3786"/>
      <c r="P240" s="3786"/>
      <c r="Q240" s="3786"/>
    </row>
    <row r="241" spans="1:17" ht="15.75" customHeight="1">
      <c r="A241" s="2053"/>
      <c r="B241" s="2104" t="s">
        <v>6831</v>
      </c>
      <c r="C241" s="3786" t="s">
        <v>6832</v>
      </c>
      <c r="D241" s="3786"/>
      <c r="E241" s="3786"/>
      <c r="F241" s="3786"/>
      <c r="G241" s="3786"/>
      <c r="H241" s="3786"/>
      <c r="I241" s="3786"/>
      <c r="J241" s="3786"/>
      <c r="K241" s="3786"/>
      <c r="L241" s="3786"/>
      <c r="M241" s="3786"/>
      <c r="N241" s="3786"/>
      <c r="O241" s="3786"/>
      <c r="P241" s="3786"/>
      <c r="Q241" s="3786"/>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3" t="s">
        <v>7091</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c r="Q250" s="3766"/>
    </row>
    <row r="251" spans="1:17" ht="20.25" customHeight="1">
      <c r="A251" s="2053"/>
      <c r="B251" s="2030" t="s">
        <v>3143</v>
      </c>
      <c r="D251" s="2056"/>
      <c r="E251" s="2056"/>
      <c r="O251" s="2044"/>
      <c r="P251" s="3799"/>
      <c r="Q251" s="3837"/>
    </row>
    <row r="252" spans="1:17" ht="20.25" customHeight="1">
      <c r="A252" s="2053"/>
      <c r="B252" s="2030" t="s">
        <v>4031</v>
      </c>
      <c r="D252" s="2056"/>
      <c r="E252" s="2056"/>
      <c r="O252" s="2044"/>
      <c r="P252" s="3838"/>
      <c r="Q252" s="3839"/>
    </row>
    <row r="253" spans="1:17" ht="20.25" customHeight="1">
      <c r="A253" s="2053"/>
      <c r="B253" s="2030" t="s">
        <v>3144</v>
      </c>
      <c r="O253" s="2044"/>
      <c r="P253" s="3799"/>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3" t="s">
        <v>7091</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706"/>
      <c r="Q261" s="3744"/>
    </row>
    <row r="262" spans="1:17" ht="20.25" customHeight="1">
      <c r="B262" s="2030" t="s">
        <v>6251</v>
      </c>
      <c r="O262" s="2044"/>
      <c r="P262" s="3720" t="s">
        <v>2652</v>
      </c>
      <c r="Q262" s="3721"/>
    </row>
    <row r="263" spans="1:17" ht="20.25" customHeight="1">
      <c r="A263" s="2053" t="s">
        <v>1841</v>
      </c>
      <c r="B263" s="2029" t="s">
        <v>3938</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2652</v>
      </c>
      <c r="Q264" s="3766"/>
    </row>
    <row r="265" spans="1:17" ht="20.25" customHeight="1">
      <c r="B265" s="3836" t="s">
        <v>4033</v>
      </c>
      <c r="C265" s="3836"/>
      <c r="D265" s="3836"/>
      <c r="E265" s="3836"/>
      <c r="F265" s="3836"/>
      <c r="G265" s="3836"/>
      <c r="H265" s="3836"/>
      <c r="I265" s="3836"/>
      <c r="J265" s="3836"/>
      <c r="K265" s="3836"/>
      <c r="L265" s="3836"/>
      <c r="M265" s="3836"/>
      <c r="N265" s="3836"/>
      <c r="O265" s="3836"/>
      <c r="P265" s="3799" t="s">
        <v>2652</v>
      </c>
      <c r="Q265" s="3837"/>
    </row>
    <row r="266" spans="1:17" ht="32.25" customHeight="1">
      <c r="A266" s="2053"/>
      <c r="B266" s="3844" t="s">
        <v>6835</v>
      </c>
      <c r="C266" s="3844"/>
      <c r="D266" s="3844"/>
      <c r="E266" s="3844"/>
      <c r="F266" s="3844"/>
      <c r="G266" s="3844"/>
      <c r="H266" s="3844"/>
      <c r="I266" s="3844"/>
      <c r="J266" s="3844"/>
      <c r="K266" s="3844"/>
      <c r="L266" s="3844"/>
      <c r="M266" s="3844"/>
      <c r="N266" s="3844"/>
      <c r="O266" s="3844"/>
      <c r="P266" s="3801" t="s">
        <v>2652</v>
      </c>
      <c r="Q266" s="3804"/>
    </row>
    <row r="267" spans="1:17" ht="20.25" customHeight="1">
      <c r="B267" s="2060" t="s">
        <v>3240</v>
      </c>
      <c r="D267" s="2060"/>
      <c r="E267" s="2060"/>
      <c r="F267" s="2060"/>
      <c r="G267" s="2060"/>
      <c r="H267" s="2043"/>
      <c r="I267" s="2031"/>
      <c r="J267" s="2031"/>
      <c r="K267" s="2031"/>
    </row>
    <row r="268" spans="1:17" ht="20.25" customHeight="1">
      <c r="A268" s="3703" t="s">
        <v>7095</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710"/>
      <c r="Q273" s="3710"/>
    </row>
    <row r="274" spans="1:17" ht="33" customHeight="1">
      <c r="A274" s="2033"/>
      <c r="B274" s="3711" t="s">
        <v>6836</v>
      </c>
      <c r="C274" s="3711"/>
      <c r="D274" s="3711"/>
      <c r="E274" s="3711"/>
      <c r="F274" s="3711"/>
      <c r="G274" s="3711"/>
      <c r="H274" s="3711"/>
      <c r="I274" s="3711"/>
      <c r="J274" s="3711"/>
      <c r="K274" s="3711"/>
      <c r="L274" s="3711"/>
      <c r="M274" s="3711"/>
      <c r="N274" s="3711"/>
      <c r="O274" s="2105"/>
      <c r="P274" s="3720" t="s">
        <v>7079</v>
      </c>
      <c r="Q274" s="3721"/>
    </row>
    <row r="275" spans="1:17" ht="34.5" customHeight="1">
      <c r="A275" s="2033"/>
      <c r="B275" s="2078" t="s">
        <v>1841</v>
      </c>
      <c r="C275" s="3786" t="s">
        <v>3312</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6837</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3867</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3868</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3869</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3870</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3313</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3918</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3919</v>
      </c>
      <c r="D283" s="3786"/>
      <c r="E283" s="3786"/>
      <c r="F283" s="3786"/>
      <c r="G283" s="3786"/>
      <c r="H283" s="3786"/>
      <c r="I283" s="3786"/>
      <c r="J283" s="3786"/>
      <c r="K283" s="3786"/>
      <c r="L283" s="3786"/>
      <c r="M283" s="3786"/>
      <c r="N283" s="3786"/>
      <c r="O283" s="3786"/>
      <c r="P283" s="2076"/>
      <c r="Q283" s="2026"/>
    </row>
    <row r="284" spans="1:17" ht="47.25" customHeight="1">
      <c r="A284" s="2071"/>
      <c r="B284" s="3786" t="s">
        <v>6838</v>
      </c>
      <c r="C284" s="3786"/>
      <c r="D284" s="3786"/>
      <c r="E284" s="3786"/>
      <c r="F284" s="3786"/>
      <c r="G284" s="3786"/>
      <c r="H284" s="3786"/>
      <c r="I284" s="3786"/>
      <c r="J284" s="3786"/>
      <c r="K284" s="3786"/>
      <c r="L284" s="3786"/>
      <c r="M284" s="3786"/>
      <c r="N284" s="3786"/>
      <c r="O284" s="3796"/>
      <c r="P284" s="3784" t="s">
        <v>7079</v>
      </c>
      <c r="Q284" s="3784"/>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7096</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3" t="s">
        <v>7097</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800"/>
  <sheetViews>
    <sheetView showGridLines="0" zoomScale="80" zoomScaleNormal="80" workbookViewId="0">
      <selection activeCell="I244" sqref="I244"/>
    </sheetView>
  </sheetViews>
  <sheetFormatPr defaultColWidth="9.441406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5546875" style="2120" customWidth="1"/>
    <col min="13" max="13" width="6.5546875" style="2120" customWidth="1"/>
    <col min="14" max="14" width="2.5546875" style="2139" customWidth="1"/>
    <col min="15" max="15" width="7.5546875" style="2132" customWidth="1"/>
    <col min="16" max="16" width="8" style="2132" customWidth="1"/>
    <col min="17" max="17" width="6" style="2120" customWidth="1"/>
    <col min="18" max="20" width="9.441406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44140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Cusseta Crossing, Columbus, Muscogee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4052" t="s">
        <v>6842</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69</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4054" t="s">
        <v>6496</v>
      </c>
      <c r="G12" s="4054"/>
      <c r="H12" s="4054"/>
      <c r="I12" s="4054"/>
      <c r="J12" s="4054"/>
      <c r="K12" s="4054"/>
      <c r="L12" s="4054"/>
      <c r="M12" s="4054"/>
      <c r="N12" s="4054"/>
      <c r="O12" s="2148" t="s">
        <v>3810</v>
      </c>
      <c r="P12" s="2149">
        <f>SUM(P13:P31)</f>
        <v>0</v>
      </c>
      <c r="Q12" s="4055"/>
      <c r="R12" s="4055"/>
      <c r="S12" s="4055"/>
      <c r="T12" s="4055"/>
      <c r="U12" s="4055"/>
      <c r="V12" s="2150"/>
    </row>
    <row r="13" spans="1:25" s="2121" customFormat="1" ht="14.4" customHeight="1">
      <c r="A13" s="2151" t="s">
        <v>1668</v>
      </c>
      <c r="B13" s="2152" t="s">
        <v>3394</v>
      </c>
      <c r="C13" s="2153"/>
      <c r="D13" s="2154"/>
      <c r="E13" s="2155">
        <f>$O$77</f>
        <v>20</v>
      </c>
      <c r="F13" s="4056" t="str">
        <f>$A$81</f>
        <v>The project is within one mile of a child care service, place of worship, community center, department store, high school, fire station and post office. Within 1.30 miles of a public park, federally insured banking institution, national big box general merchandise, grocery store and medical care provider. For a total of 23 available desirable points and therefore eligible for the maximum 20 desirable activities points. There are no undesirables. Please see Tab 26 for the Desirable Activities worksheet and documentation.</v>
      </c>
      <c r="G13" s="4057"/>
      <c r="H13" s="4057"/>
      <c r="I13" s="4057"/>
      <c r="J13" s="4057"/>
      <c r="K13" s="4057"/>
      <c r="L13" s="4057"/>
      <c r="M13" s="4057"/>
      <c r="N13" s="4057"/>
      <c r="O13" s="4057"/>
      <c r="P13" s="2156"/>
      <c r="Q13" s="4055"/>
      <c r="R13" s="4055"/>
      <c r="S13" s="4055"/>
      <c r="T13" s="4055"/>
      <c r="U13" s="4055"/>
      <c r="V13" s="2150"/>
    </row>
    <row r="14" spans="1:25" s="2121" customFormat="1" ht="14.4" customHeight="1">
      <c r="A14" s="2151" t="s">
        <v>496</v>
      </c>
      <c r="B14" s="2157" t="s">
        <v>4038</v>
      </c>
      <c r="C14" s="2158"/>
      <c r="D14" s="2159"/>
      <c r="E14" s="2160">
        <f>$O$86</f>
        <v>4.5</v>
      </c>
      <c r="F14" s="4037" t="str">
        <f>$A$102</f>
        <v>MATRA bus stop #: 1159 is within 0.4 miles walking from the primary pedestrian site entrance and serves routes 2,4 &amp; 7. Bus stop 1159 meets all requirements of a transit HUB. Please see Tab 27 for the Community Transportation documentation.</v>
      </c>
      <c r="G14" s="3876"/>
      <c r="H14" s="3876"/>
      <c r="I14" s="3876"/>
      <c r="J14" s="3876"/>
      <c r="K14" s="3876"/>
      <c r="L14" s="3876"/>
      <c r="M14" s="3876"/>
      <c r="N14" s="3876"/>
      <c r="O14" s="4038"/>
      <c r="P14" s="2162"/>
      <c r="Q14" s="4055"/>
      <c r="R14" s="4055"/>
      <c r="S14" s="4055"/>
      <c r="T14" s="4055"/>
      <c r="U14" s="4055"/>
    </row>
    <row r="15" spans="1:25" s="2121" customFormat="1" ht="14.4" customHeight="1">
      <c r="A15" s="2151" t="s">
        <v>720</v>
      </c>
      <c r="B15" s="2157" t="s">
        <v>3339</v>
      </c>
      <c r="C15" s="2158"/>
      <c r="D15" s="2159"/>
      <c r="E15" s="2160">
        <f>$O$106</f>
        <v>1.5</v>
      </c>
      <c r="F15" s="4037" t="str">
        <f>$A$117</f>
        <v>Martin Luther King, Jr Elementary School received beating the odds in 2018 and serves grades K-05. Carver High School received beating the odds designation in 2018 and 2019 and serves grades 9-12. Carver High school also is eligible for points based on DCA Option C. The total grades served that qualify for points are 10. Please see Tab 28 for the Quality Education Area details.</v>
      </c>
      <c r="G15" s="3876"/>
      <c r="H15" s="3876"/>
      <c r="I15" s="3876"/>
      <c r="J15" s="3876"/>
      <c r="K15" s="3876"/>
      <c r="L15" s="3876"/>
      <c r="M15" s="3876"/>
      <c r="N15" s="3876"/>
      <c r="O15" s="4038"/>
      <c r="P15" s="2162"/>
      <c r="Q15" s="2163"/>
      <c r="R15" s="2163"/>
      <c r="S15" s="2163"/>
      <c r="T15" s="2163"/>
      <c r="U15" s="2163"/>
    </row>
    <row r="16" spans="1:25" s="2121" customFormat="1" ht="14.4" customHeight="1">
      <c r="A16" s="2164" t="s">
        <v>280</v>
      </c>
      <c r="B16" s="2157" t="s">
        <v>3395</v>
      </c>
      <c r="C16" s="2158"/>
      <c r="D16" s="2159"/>
      <c r="E16" s="2457">
        <f>$O$122</f>
        <v>7</v>
      </c>
      <c r="F16" s="4037" t="str">
        <f>$A$137</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29.  The site is located within a 2023 QCT, as shown on a map in Tab 29.  Finally, the development is within ½ mile of a Third Party Capital Investment for the Ft. Benning Road Roundabout Project.  Information about the cost of the project and the timeline is included in Tab 29 for reference. The investment in the road and streetscape are a significant improvement to the immediate area.  The enhancements will increase walkability, connectivity, pedestrian safety and access to thoroughfares for the tenant base.  </v>
      </c>
      <c r="G16" s="3876"/>
      <c r="H16" s="3876"/>
      <c r="I16" s="3876"/>
      <c r="J16" s="3876"/>
      <c r="K16" s="3876"/>
      <c r="L16" s="3876"/>
      <c r="M16" s="3876"/>
      <c r="N16" s="3876"/>
      <c r="O16" s="4038"/>
      <c r="P16" s="2162"/>
      <c r="Q16" s="2163"/>
      <c r="R16" s="2163"/>
      <c r="S16" s="2163"/>
      <c r="T16" s="2163"/>
      <c r="U16" s="2163"/>
    </row>
    <row r="17" spans="1:35" s="2121" customFormat="1" ht="14.4" customHeight="1">
      <c r="A17" s="2151" t="s">
        <v>401</v>
      </c>
      <c r="B17" s="2166" t="s">
        <v>3396</v>
      </c>
      <c r="C17" s="2167"/>
      <c r="D17" s="2168"/>
      <c r="E17" s="2169" t="s">
        <v>1610</v>
      </c>
      <c r="F17" s="4061" t="str">
        <f>$A$147</f>
        <v>The Applicant and Enrichment Services Program (ESP) have partnered to create a Community Transformation Plan for Cusseta Crossing in Columbus, Georgia. ESP is committed to increasing the awareness of the impact of poverty and implementing strategies for reducing it. They identify and remove barriers to achieve family stability and promote interdependency. Turning hope into reality, ESP motivates residents toward a desirable future and encourages them to become a healthy contributor to the life of our community. ESP has been incorporated to the ownership structure as a consultant through the provided MOU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solve the issues identified in the planning process for the Community Transformation Plan throughout the Defined Neighborhood. ESP's partnerships clearly document their ability to create change in a community though local affiliates.  Please see tab 29 for the Community Transformation documentation.</v>
      </c>
      <c r="G17" s="4062"/>
      <c r="H17" s="4062"/>
      <c r="I17" s="4062"/>
      <c r="J17" s="4062"/>
      <c r="K17" s="4062"/>
      <c r="L17" s="4062"/>
      <c r="M17" s="4062"/>
      <c r="N17" s="4062"/>
      <c r="O17" s="4063"/>
      <c r="P17" s="2162"/>
      <c r="Q17" s="2163"/>
      <c r="R17" s="2163"/>
      <c r="S17" s="2163"/>
      <c r="T17" s="2163"/>
      <c r="U17" s="2163"/>
    </row>
    <row r="18" spans="1:35" s="2121" customFormat="1" ht="14.4" customHeight="1">
      <c r="A18" s="2151" t="s">
        <v>342</v>
      </c>
      <c r="B18" s="2157" t="s">
        <v>4039</v>
      </c>
      <c r="C18" s="2158"/>
      <c r="D18" s="2159"/>
      <c r="E18" s="2170">
        <f>$O$152</f>
        <v>0</v>
      </c>
      <c r="F18" s="4037" t="str">
        <f>$A$165</f>
        <v>Applicant is not requesting points in this section.</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 customHeight="1">
      <c r="A19" s="2151" t="s">
        <v>4041</v>
      </c>
      <c r="B19" s="2157" t="s">
        <v>3262</v>
      </c>
      <c r="C19" s="2158"/>
      <c r="D19" s="2159"/>
      <c r="E19" s="2170">
        <f>$O$179</f>
        <v>0</v>
      </c>
      <c r="F19" s="4037" t="str">
        <f>$A$184</f>
        <v>Applicant is not requesting points in this section.</v>
      </c>
      <c r="G19" s="3876"/>
      <c r="H19" s="3876"/>
      <c r="I19" s="3876"/>
      <c r="J19" s="3876"/>
      <c r="K19" s="3876"/>
      <c r="L19" s="3876"/>
      <c r="M19" s="3876"/>
      <c r="N19" s="3876"/>
      <c r="O19" s="4038"/>
      <c r="P19" s="2162"/>
      <c r="Q19" s="4064"/>
      <c r="R19" s="4004"/>
      <c r="S19" s="4004"/>
    </row>
    <row r="20" spans="1:35" s="2121" customFormat="1" ht="14.4" customHeight="1">
      <c r="A20" s="2151" t="s">
        <v>4053</v>
      </c>
      <c r="B20" s="2157" t="s">
        <v>4042</v>
      </c>
      <c r="C20" s="2158"/>
      <c r="D20" s="2159"/>
      <c r="E20" s="2169">
        <f>$O$189</f>
        <v>0</v>
      </c>
      <c r="F20" s="4037" t="str">
        <f>$A$195</f>
        <v>Applicant is not requesting points in this section.</v>
      </c>
      <c r="G20" s="3876"/>
      <c r="H20" s="3876"/>
      <c r="I20" s="3876"/>
      <c r="J20" s="3876"/>
      <c r="K20" s="3876"/>
      <c r="L20" s="3876"/>
      <c r="M20" s="3876"/>
      <c r="N20" s="3876"/>
      <c r="O20" s="4038"/>
      <c r="P20" s="2162"/>
      <c r="Q20" s="4064"/>
      <c r="R20" s="4004"/>
      <c r="S20" s="4004"/>
    </row>
    <row r="21" spans="1:35" s="2121" customFormat="1" ht="14.4" customHeight="1">
      <c r="A21" s="2171" t="s">
        <v>6243</v>
      </c>
      <c r="B21" s="2166" t="s">
        <v>4043</v>
      </c>
      <c r="C21" s="2167"/>
      <c r="D21" s="2168"/>
      <c r="E21" s="2172">
        <f>$O$200</f>
        <v>3</v>
      </c>
      <c r="F21" s="4061" t="str">
        <f>$A$205</f>
        <v>There has not been a DCA awarded project within a one mile radius of the site within the last 6 years.</v>
      </c>
      <c r="G21" s="4062"/>
      <c r="H21" s="4062"/>
      <c r="I21" s="4062"/>
      <c r="J21" s="4062"/>
      <c r="K21" s="4062"/>
      <c r="L21" s="4062"/>
      <c r="M21" s="4062"/>
      <c r="N21" s="4062"/>
      <c r="O21" s="4063"/>
      <c r="P21" s="2162"/>
      <c r="Q21" s="4064"/>
      <c r="R21" s="4004"/>
      <c r="S21" s="4004"/>
    </row>
    <row r="22" spans="1:35" s="2121" customFormat="1" ht="14.4" customHeight="1">
      <c r="A22" s="2151" t="s">
        <v>6637</v>
      </c>
      <c r="B22" s="2157" t="s">
        <v>6549</v>
      </c>
      <c r="C22" s="2158"/>
      <c r="D22" s="2159"/>
      <c r="E22" s="2170">
        <f>$O$223</f>
        <v>0</v>
      </c>
      <c r="F22" s="4037" t="str">
        <f>$A$228</f>
        <v>Not applicable to this project. The proposed application is not in the Atlanta Metro Pool.</v>
      </c>
      <c r="G22" s="3876"/>
      <c r="H22" s="3876"/>
      <c r="I22" s="3876"/>
      <c r="J22" s="3876"/>
      <c r="K22" s="3876"/>
      <c r="L22" s="3876"/>
      <c r="M22" s="3876"/>
      <c r="N22" s="3876"/>
      <c r="O22" s="4038"/>
      <c r="P22" s="2162"/>
      <c r="Q22" s="4064"/>
      <c r="R22" s="4004"/>
      <c r="S22" s="4004"/>
    </row>
    <row r="23" spans="1:35" s="2121" customFormat="1" ht="14.4" customHeight="1">
      <c r="A23" s="2151" t="s">
        <v>6639</v>
      </c>
      <c r="B23" s="2157" t="s">
        <v>6638</v>
      </c>
      <c r="C23" s="2158"/>
      <c r="D23" s="2159"/>
      <c r="E23" s="2170">
        <f>$O$233</f>
        <v>2</v>
      </c>
      <c r="F23" s="4037" t="str">
        <f>$A$248</f>
        <v>Applicant commits to section A and engaging QBs in the development or operations of the proposed property in amounts equal to approximately 5% of total construction hard costs as certified by the Independent Auditor Report in the Final Allocation Application and to submitting a report with Final Allocation Application describing these efforts, which would detail successes, obstacles, and other notes pertaining to the applicant's attempts to follow this commitment.</v>
      </c>
      <c r="G23" s="3876"/>
      <c r="H23" s="3876"/>
      <c r="I23" s="3876"/>
      <c r="J23" s="3876"/>
      <c r="K23" s="3876"/>
      <c r="L23" s="3876"/>
      <c r="M23" s="3876"/>
      <c r="N23" s="3876"/>
      <c r="O23" s="4038"/>
      <c r="P23" s="2162"/>
      <c r="Q23" s="4064"/>
      <c r="R23" s="4004"/>
      <c r="S23" s="4004"/>
    </row>
    <row r="24" spans="1:35" s="2121" customFormat="1" ht="14.4" customHeight="1">
      <c r="A24" s="2164" t="s">
        <v>3369</v>
      </c>
      <c r="B24" s="2173" t="s">
        <v>6555</v>
      </c>
      <c r="C24" s="2174"/>
      <c r="D24" s="2175"/>
      <c r="E24" s="2165">
        <f>$O$253</f>
        <v>2</v>
      </c>
      <c r="F24" s="4058" t="str">
        <f>$A$257</f>
        <v>Applicant commits to accept resident services coordination from an entity certified as a "3rd Party Contractor" by CORES or other DCA-approved program, if such an entity serves the locality and has the capacity to provide services to the property.</v>
      </c>
      <c r="G24" s="4059"/>
      <c r="H24" s="4059"/>
      <c r="I24" s="4059"/>
      <c r="J24" s="4059"/>
      <c r="K24" s="4059"/>
      <c r="L24" s="4059"/>
      <c r="M24" s="4059"/>
      <c r="N24" s="4059"/>
      <c r="O24" s="4060"/>
      <c r="P24" s="2162"/>
      <c r="Q24" s="4064"/>
      <c r="R24" s="4004"/>
      <c r="S24" s="4004"/>
    </row>
    <row r="25" spans="1:35" s="2121" customFormat="1" ht="14.4" customHeight="1">
      <c r="A25" s="2151" t="s">
        <v>3373</v>
      </c>
      <c r="B25" s="2157" t="s">
        <v>3397</v>
      </c>
      <c r="C25" s="2158"/>
      <c r="D25" s="2159"/>
      <c r="E25" s="2170">
        <f>$O$271</f>
        <v>0</v>
      </c>
      <c r="F25" s="4037" t="str">
        <f>$A$275</f>
        <v xml:space="preserve">Applicant is not requesting points in this section. </v>
      </c>
      <c r="G25" s="3876"/>
      <c r="H25" s="3876"/>
      <c r="I25" s="3876"/>
      <c r="J25" s="3876"/>
      <c r="K25" s="3876"/>
      <c r="L25" s="3876"/>
      <c r="M25" s="3876"/>
      <c r="N25" s="3876"/>
      <c r="O25" s="4038"/>
      <c r="P25" s="2162"/>
      <c r="Q25" s="4064"/>
      <c r="R25" s="4004"/>
      <c r="S25" s="4004"/>
    </row>
    <row r="26" spans="1:35" s="2121" customFormat="1" ht="14.4" customHeight="1">
      <c r="A26" s="2151" t="s">
        <v>3376</v>
      </c>
      <c r="B26" s="2157" t="s">
        <v>3398</v>
      </c>
      <c r="C26" s="2158"/>
      <c r="D26" s="2159"/>
      <c r="E26" s="2170">
        <f>$O$280</f>
        <v>0</v>
      </c>
      <c r="F26" s="4037" t="str">
        <f>$A$307</f>
        <v>Applicant is not requesting points in this section.</v>
      </c>
      <c r="G26" s="3876"/>
      <c r="H26" s="3876"/>
      <c r="I26" s="3876"/>
      <c r="J26" s="3876"/>
      <c r="K26" s="3876"/>
      <c r="L26" s="3876"/>
      <c r="M26" s="3876"/>
      <c r="N26" s="3876"/>
      <c r="O26" s="4038"/>
      <c r="P26" s="2162"/>
      <c r="Q26" s="4064"/>
      <c r="R26" s="4004"/>
      <c r="S26" s="4004"/>
    </row>
    <row r="27" spans="1:35" s="2121" customFormat="1" ht="14.4" customHeight="1">
      <c r="A27" s="2151" t="s">
        <v>3377</v>
      </c>
      <c r="B27" s="2157" t="s">
        <v>3399</v>
      </c>
      <c r="C27" s="2158"/>
      <c r="D27" s="2159"/>
      <c r="E27" s="2169">
        <f>$O$312</f>
        <v>0</v>
      </c>
      <c r="F27" s="4037" t="str">
        <f>$A$318</f>
        <v>Applicant is not requesting points in this section.</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 customHeight="1">
      <c r="A28" s="2177" t="s">
        <v>3379</v>
      </c>
      <c r="B28" s="2178" t="s">
        <v>6636</v>
      </c>
      <c r="C28" s="2179"/>
      <c r="D28" s="2180"/>
      <c r="E28" s="2181">
        <f>$O$332</f>
        <v>2</v>
      </c>
      <c r="F28" s="4065" t="str">
        <f>$A$340</f>
        <v>Applicant has a controlling interest in the General Partnership and the Applicant has agreed to contract with DCA PBRA under a prior QAP. Property contacts have responded to DCA staff seeking to initiate a PBRA contract within the timeframes communicated. DCA-assisted prospective residents do not face barriers in applying for a unit above those experienced by non-DCA-assisted prospective residents.</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6132</v>
      </c>
      <c r="C29" s="2158"/>
      <c r="D29" s="2159"/>
      <c r="E29" s="2170">
        <f>$O$345</f>
        <v>0</v>
      </c>
      <c r="F29" s="4037" t="str">
        <f>$A$347</f>
        <v>Not applicable to this project.</v>
      </c>
      <c r="G29" s="3876"/>
      <c r="H29" s="3876"/>
      <c r="I29" s="3876"/>
      <c r="J29" s="3876"/>
      <c r="K29" s="3876"/>
      <c r="L29" s="3876"/>
      <c r="M29" s="3876"/>
      <c r="N29" s="3876"/>
      <c r="O29" s="4038"/>
      <c r="P29" s="2162"/>
      <c r="Q29" s="2176"/>
      <c r="R29" s="2118"/>
      <c r="S29" s="2118"/>
    </row>
    <row r="30" spans="1:35" s="2121" customFormat="1" ht="14.4" customHeight="1">
      <c r="A30" s="2151" t="s">
        <v>3803</v>
      </c>
      <c r="B30" s="2157" t="s">
        <v>6553</v>
      </c>
      <c r="C30" s="2158"/>
      <c r="D30" s="2159"/>
      <c r="E30" s="2170">
        <f>$O$358</f>
        <v>0</v>
      </c>
      <c r="F30" s="4037" t="str">
        <f>$A$360</f>
        <v>Not applicable to this project.</v>
      </c>
      <c r="G30" s="3876"/>
      <c r="H30" s="3876"/>
      <c r="I30" s="3876"/>
      <c r="J30" s="3876"/>
      <c r="K30" s="3876"/>
      <c r="L30" s="3876"/>
      <c r="M30" s="3876"/>
      <c r="N30" s="3876"/>
      <c r="O30" s="4038"/>
      <c r="P30" s="2162"/>
      <c r="Q30" s="2176"/>
    </row>
    <row r="31" spans="1:35" s="2121" customFormat="1" ht="14.4" customHeight="1">
      <c r="A31" s="2151" t="s">
        <v>6556</v>
      </c>
      <c r="B31" s="2157" t="s">
        <v>6554</v>
      </c>
      <c r="C31" s="2158"/>
      <c r="D31" s="2159"/>
      <c r="E31" s="2170">
        <f>$O$365</f>
        <v>0</v>
      </c>
      <c r="F31" s="4037" t="str">
        <f>$A$369</f>
        <v>Not applicable to this project.</v>
      </c>
      <c r="G31" s="3876"/>
      <c r="H31" s="3876"/>
      <c r="I31" s="3876"/>
      <c r="J31" s="3876"/>
      <c r="K31" s="3876"/>
      <c r="L31" s="3876"/>
      <c r="M31" s="3876"/>
      <c r="N31" s="3876"/>
      <c r="O31" s="4038"/>
      <c r="P31" s="2455"/>
      <c r="Q31" s="2176"/>
    </row>
    <row r="32" spans="1:35" s="2121" customFormat="1" ht="14.4" customHeight="1">
      <c r="A32" s="2456" t="s">
        <v>6917</v>
      </c>
      <c r="B32" s="2178" t="s">
        <v>6935</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6949</v>
      </c>
      <c r="B34" s="3848"/>
      <c r="C34" s="3848"/>
      <c r="D34" s="3848"/>
      <c r="E34" s="4083" t="str">
        <f>IF(OR((C36-A36&gt;0),(D36-A36&gt;0)),"Points Exceed Max!","")</f>
        <v/>
      </c>
      <c r="F34" s="3918" t="s">
        <v>6881</v>
      </c>
      <c r="G34" s="3919"/>
      <c r="H34" s="3919"/>
      <c r="I34" s="3920"/>
      <c r="J34" s="4068" t="s">
        <v>6140</v>
      </c>
      <c r="K34" s="4069"/>
      <c r="L34" s="4069"/>
      <c r="M34" s="4070"/>
      <c r="O34" s="3924" t="s">
        <v>6882</v>
      </c>
      <c r="P34" s="3924"/>
      <c r="Q34" s="2185"/>
    </row>
    <row r="35" spans="1:35" ht="13.5" customHeight="1">
      <c r="A35" s="4088" t="s">
        <v>6907</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6125</v>
      </c>
      <c r="G36" s="4032"/>
      <c r="H36" s="4032"/>
      <c r="I36" s="4033"/>
      <c r="J36" s="4074" t="s">
        <v>6101</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4">
      <c r="A43" s="2138"/>
      <c r="B43" s="2205" t="s">
        <v>1844</v>
      </c>
      <c r="C43" s="2121" t="s">
        <v>3808</v>
      </c>
      <c r="D43" s="2121"/>
      <c r="E43" s="2121"/>
      <c r="F43" s="2123"/>
      <c r="H43" s="2121"/>
      <c r="J43" s="2141"/>
      <c r="N43" s="2214"/>
      <c r="O43" s="2120"/>
      <c r="P43" s="2206">
        <f>F51</f>
        <v>0</v>
      </c>
    </row>
    <row r="44" spans="1:35" ht="14.4">
      <c r="A44" s="2138"/>
      <c r="B44" s="2205" t="s">
        <v>1846</v>
      </c>
      <c r="C44" s="2121" t="s">
        <v>6873</v>
      </c>
      <c r="D44" s="2121"/>
      <c r="E44" s="2121"/>
      <c r="F44" s="2123"/>
      <c r="H44" s="2121"/>
      <c r="J44" s="2141"/>
      <c r="N44" s="2214"/>
      <c r="O44" s="2120"/>
      <c r="P44" s="2207">
        <f>J51</f>
        <v>0</v>
      </c>
    </row>
    <row r="45" spans="1:35" ht="14.4">
      <c r="A45" s="2138"/>
      <c r="B45" s="2205" t="s">
        <v>2332</v>
      </c>
      <c r="C45" s="2121" t="s">
        <v>3807</v>
      </c>
      <c r="D45" s="2121"/>
      <c r="E45" s="2121"/>
      <c r="F45" s="2123"/>
      <c r="H45" s="2121"/>
      <c r="J45" s="2141"/>
      <c r="N45" s="2214"/>
      <c r="O45" s="2120"/>
      <c r="P45" s="2208"/>
    </row>
    <row r="46" spans="1:35">
      <c r="C46" s="3870" t="s">
        <v>6845</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6874</v>
      </c>
      <c r="B50" s="3922"/>
      <c r="C50" s="3922"/>
      <c r="D50" s="3922"/>
      <c r="E50" s="3922"/>
      <c r="F50" s="2216" t="s">
        <v>3179</v>
      </c>
      <c r="G50" s="3922" t="s">
        <v>6875</v>
      </c>
      <c r="H50" s="3922"/>
      <c r="I50" s="3922"/>
      <c r="J50" s="2216" t="s">
        <v>3179</v>
      </c>
      <c r="K50" s="4090" t="s">
        <v>6876</v>
      </c>
      <c r="L50" s="4090"/>
      <c r="M50" s="4090"/>
      <c r="N50" s="4090"/>
      <c r="O50" s="3858" t="s">
        <v>3179</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3818</v>
      </c>
      <c r="G67" s="2227"/>
      <c r="H67" s="2121"/>
      <c r="I67" s="2143"/>
      <c r="K67" s="2230"/>
      <c r="L67" s="2231"/>
      <c r="M67" s="2124"/>
      <c r="N67" s="2123"/>
      <c r="O67" s="2133"/>
      <c r="P67" s="2133"/>
      <c r="Q67" s="2203"/>
      <c r="R67" s="2232"/>
    </row>
    <row r="68" spans="1:19" s="2121" customFormat="1" ht="15.9" customHeight="1">
      <c r="A68" s="2138" t="s">
        <v>1841</v>
      </c>
      <c r="B68" s="2233" t="s">
        <v>6877</v>
      </c>
      <c r="C68" s="2255"/>
      <c r="D68" s="2255"/>
      <c r="E68" s="2255"/>
      <c r="F68" s="2255"/>
      <c r="G68" s="2120" t="s">
        <v>6646</v>
      </c>
      <c r="J68" s="2234" t="str">
        <f>'Part V-Revenues &amp; Expenses'!$O$53</f>
        <v>Income Averaging</v>
      </c>
      <c r="L68" s="2255"/>
      <c r="M68" s="2124">
        <v>2</v>
      </c>
      <c r="N68" s="2214"/>
      <c r="O68" s="2236">
        <f>IF($F$36="New Supply",MIN($M68,O69+O70),0)</f>
        <v>2</v>
      </c>
      <c r="P68" s="2236">
        <f>IF($F$36="New Supply",MIN($M68,P69+P70),0)</f>
        <v>0</v>
      </c>
    </row>
    <row r="69" spans="1:19" s="2121" customFormat="1" ht="15.9" customHeight="1">
      <c r="A69" s="2138"/>
      <c r="B69" s="2332"/>
      <c r="C69" s="2237" t="s">
        <v>3813</v>
      </c>
      <c r="G69" s="2121" t="s">
        <v>3814</v>
      </c>
      <c r="I69" s="2238"/>
      <c r="J69" s="2239">
        <f>'Part V-Revenues &amp; Expenses'!$B$50</f>
        <v>57.916666666666664</v>
      </c>
      <c r="L69" s="2185"/>
      <c r="M69" s="2123">
        <v>2</v>
      </c>
      <c r="N69" s="2377"/>
      <c r="O69" s="2240">
        <v>2</v>
      </c>
      <c r="P69" s="2241"/>
      <c r="Q69" s="2242" t="str">
        <f>IF(OR($O69=$M69,$O69=0,$O69=""),"","*CHECK!*")</f>
        <v/>
      </c>
      <c r="R69" s="2305"/>
    </row>
    <row r="70" spans="1:19" s="2121" customFormat="1" ht="15.9" customHeight="1">
      <c r="A70" s="2235"/>
      <c r="B70" s="2332"/>
      <c r="C70" s="2237" t="s">
        <v>3815</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6880</v>
      </c>
      <c r="G72" s="2186" t="s">
        <v>6846</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1843</v>
      </c>
      <c r="B79" s="2131" t="s">
        <v>3280</v>
      </c>
      <c r="H79" s="2254"/>
      <c r="I79" s="2118"/>
      <c r="J79" s="2118"/>
      <c r="K79" s="2118"/>
      <c r="L79" s="2118"/>
      <c r="M79" s="2123" t="s">
        <v>1164</v>
      </c>
      <c r="N79" s="2254"/>
      <c r="O79" s="2414">
        <v>0</v>
      </c>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45.6" customHeight="1" thickTop="1" thickBot="1">
      <c r="A81" s="3867" t="s">
        <v>7098</v>
      </c>
      <c r="B81" s="3868"/>
      <c r="C81" s="3868"/>
      <c r="D81" s="3868"/>
      <c r="E81" s="3868"/>
      <c r="F81" s="3868"/>
      <c r="G81" s="3868"/>
      <c r="H81" s="3868"/>
      <c r="I81" s="3868"/>
      <c r="J81" s="3868"/>
      <c r="K81" s="3868"/>
      <c r="L81" s="3868"/>
      <c r="M81" s="3868"/>
      <c r="N81" s="3868"/>
      <c r="O81" s="3868"/>
      <c r="P81" s="3869"/>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4.5</v>
      </c>
      <c r="P86" s="2266">
        <f>IF($F$36="New Supply",MAX(P94,P97),0)</f>
        <v>0</v>
      </c>
      <c r="Q86" s="2203" t="s">
        <v>416</v>
      </c>
      <c r="R86" s="2267"/>
      <c r="S86" s="2271" t="s">
        <v>6264</v>
      </c>
      <c r="T86" s="2271" t="s">
        <v>6145</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4016" t="s">
        <v>3216</v>
      </c>
      <c r="G88" s="4016"/>
      <c r="H88" s="4016"/>
      <c r="I88" s="4016"/>
      <c r="J88" s="4016" t="s">
        <v>3217</v>
      </c>
      <c r="K88" s="4016"/>
      <c r="L88" s="4016"/>
      <c r="M88" s="4016"/>
      <c r="N88" s="2254"/>
      <c r="O88" s="3860" t="s">
        <v>6847</v>
      </c>
      <c r="P88" s="3860"/>
      <c r="R88" s="2157"/>
      <c r="S88" s="2275">
        <v>0.5</v>
      </c>
      <c r="T88" s="2275">
        <v>4.5</v>
      </c>
      <c r="U88" s="2267"/>
    </row>
    <row r="89" spans="1:21" ht="15.9" customHeight="1">
      <c r="B89" s="2272"/>
      <c r="C89" s="2420" t="s">
        <v>6848</v>
      </c>
      <c r="F89" s="4008">
        <v>32.439104</v>
      </c>
      <c r="G89" s="4009"/>
      <c r="H89" s="4010"/>
      <c r="I89" s="4011"/>
      <c r="J89" s="4008">
        <v>-84.943866999999997</v>
      </c>
      <c r="K89" s="4009"/>
      <c r="L89" s="4010"/>
      <c r="M89" s="4011"/>
      <c r="N89" s="2120"/>
      <c r="O89" s="3861"/>
      <c r="P89" s="3861"/>
      <c r="R89" s="2274" t="s">
        <v>6671</v>
      </c>
      <c r="S89" s="2280">
        <v>1</v>
      </c>
      <c r="T89" s="2280">
        <v>4</v>
      </c>
      <c r="U89" s="2267"/>
    </row>
    <row r="90" spans="1:21" ht="15.9" customHeight="1">
      <c r="A90" s="2272"/>
      <c r="B90" s="2158"/>
      <c r="C90" s="2420" t="s">
        <v>6849</v>
      </c>
      <c r="F90" s="4012">
        <v>32.435056000000003</v>
      </c>
      <c r="G90" s="4013"/>
      <c r="H90" s="4014"/>
      <c r="I90" s="4015"/>
      <c r="J90" s="4012">
        <v>-84.940139000000002</v>
      </c>
      <c r="K90" s="4013"/>
      <c r="L90" s="4014"/>
      <c r="M90" s="4015"/>
      <c r="N90" s="2254"/>
      <c r="O90" s="2276">
        <v>0.4</v>
      </c>
      <c r="P90" s="2277"/>
      <c r="R90" s="2278"/>
      <c r="S90" s="2281">
        <v>0.25</v>
      </c>
      <c r="T90" s="2281">
        <v>3</v>
      </c>
      <c r="U90" s="2267"/>
    </row>
    <row r="91" spans="1:21" ht="15.9" customHeight="1">
      <c r="A91" s="2158"/>
      <c r="B91" s="4005" t="s">
        <v>6886</v>
      </c>
      <c r="C91" s="4005"/>
      <c r="D91" s="4005"/>
      <c r="E91" s="4005"/>
      <c r="F91" s="2139" t="s">
        <v>6850</v>
      </c>
      <c r="G91" s="4007" t="s">
        <v>1672</v>
      </c>
      <c r="H91" s="4007"/>
      <c r="I91" s="4007"/>
      <c r="J91" s="4007" t="s">
        <v>6883</v>
      </c>
      <c r="K91" s="4007"/>
      <c r="L91" s="4007"/>
      <c r="M91" s="4007"/>
      <c r="N91" s="4007"/>
      <c r="O91" s="4007"/>
      <c r="P91" s="4007"/>
      <c r="R91" s="2279"/>
      <c r="S91" s="2275">
        <v>0.5</v>
      </c>
      <c r="T91" s="2275">
        <v>2</v>
      </c>
      <c r="U91" s="2267"/>
    </row>
    <row r="92" spans="1:21" ht="15.9" customHeight="1">
      <c r="A92" s="2158"/>
      <c r="B92" s="3928" t="s">
        <v>7067</v>
      </c>
      <c r="C92" s="3928"/>
      <c r="D92" s="3928"/>
      <c r="E92" s="3928"/>
      <c r="F92" s="2416">
        <v>7062254581</v>
      </c>
      <c r="G92" s="4006" t="s">
        <v>7068</v>
      </c>
      <c r="H92" s="4006"/>
      <c r="I92" s="4006"/>
      <c r="J92" s="4006" t="s">
        <v>7069</v>
      </c>
      <c r="K92" s="4006"/>
      <c r="L92" s="4006"/>
      <c r="M92" s="4006"/>
      <c r="N92" s="4006"/>
      <c r="O92" s="4006"/>
      <c r="P92" s="4006"/>
      <c r="R92" s="2274" t="s">
        <v>6672</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3238</v>
      </c>
      <c r="F94" s="2260"/>
      <c r="M94" s="2124">
        <v>6</v>
      </c>
      <c r="N94" s="2214"/>
      <c r="O94" s="2284">
        <f>IF(OR($J$36="Atlanta Metro",$J$36="Other Metro"),MIN($M94,O95+O96),0)</f>
        <v>4.5</v>
      </c>
      <c r="P94" s="2284">
        <f>IF(OR($J$36="Atlanta Metro",$J$36="Other Metro"),MIN($M94,P95+P96),0)</f>
        <v>0</v>
      </c>
      <c r="Q94" s="2203"/>
    </row>
    <row r="95" spans="1:21" s="2157" customFormat="1" ht="32.1" customHeight="1">
      <c r="B95" s="2285" t="s">
        <v>1844</v>
      </c>
      <c r="C95" s="3876" t="s">
        <v>6878</v>
      </c>
      <c r="D95" s="3876"/>
      <c r="E95" s="3876"/>
      <c r="F95" s="3876"/>
      <c r="G95" s="3876"/>
      <c r="H95" s="3876"/>
      <c r="I95" s="3876"/>
      <c r="J95" s="3876"/>
      <c r="K95" s="3876"/>
      <c r="L95" s="3876"/>
      <c r="M95" s="2286">
        <v>6</v>
      </c>
      <c r="N95" s="2413"/>
      <c r="O95" s="2287"/>
      <c r="P95" s="2288"/>
      <c r="S95" s="2305"/>
    </row>
    <row r="96" spans="1:21" s="2157" customFormat="1" ht="15.9" customHeight="1">
      <c r="A96" s="2210" t="s">
        <v>1275</v>
      </c>
      <c r="B96" s="2285" t="s">
        <v>1846</v>
      </c>
      <c r="C96" s="2121" t="s">
        <v>6879</v>
      </c>
      <c r="D96" s="2121"/>
      <c r="E96" s="2121"/>
      <c r="F96" s="2121"/>
      <c r="G96" s="2121"/>
      <c r="H96" s="2121"/>
      <c r="I96" s="2121"/>
      <c r="J96" s="4004"/>
      <c r="K96" s="4004"/>
      <c r="L96" s="4004"/>
      <c r="M96" s="2123">
        <v>5</v>
      </c>
      <c r="N96" s="2144"/>
      <c r="O96" s="2258">
        <v>4.5</v>
      </c>
      <c r="P96" s="2259"/>
    </row>
    <row r="97" spans="1:21" s="2157" customFormat="1" ht="15.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6884</v>
      </c>
      <c r="D100" s="3876"/>
      <c r="E100" s="3876"/>
      <c r="F100" s="3876"/>
      <c r="G100" s="3876"/>
      <c r="H100" s="3876"/>
      <c r="I100" s="3876"/>
      <c r="J100" s="3876"/>
      <c r="K100" s="3876"/>
      <c r="L100" s="3876"/>
      <c r="M100" s="2286">
        <v>2</v>
      </c>
      <c r="N100" s="2413"/>
      <c r="O100" s="2418"/>
      <c r="P100" s="2419"/>
    </row>
    <row r="101" spans="1:21" ht="15.9" customHeight="1" thickBot="1">
      <c r="A101" s="2121"/>
      <c r="B101" s="2260" t="s">
        <v>3241</v>
      </c>
      <c r="C101" s="2121"/>
      <c r="D101" s="2121"/>
      <c r="E101" s="2121"/>
      <c r="F101" s="2121"/>
      <c r="G101" s="2121"/>
      <c r="H101" s="2121"/>
      <c r="K101" s="2121"/>
      <c r="M101" s="2123"/>
      <c r="O101" s="2133"/>
    </row>
    <row r="102" spans="1:21" ht="32.25" customHeight="1" thickTop="1" thickBot="1">
      <c r="A102" s="3867" t="s">
        <v>7111</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 customHeight="1" thickBot="1">
      <c r="A106" s="2142" t="s">
        <v>720</v>
      </c>
      <c r="B106" s="2143" t="s">
        <v>6149</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864" t="s">
        <v>6909</v>
      </c>
      <c r="G107" s="3864"/>
      <c r="H107" s="3864" t="s">
        <v>6910</v>
      </c>
      <c r="I107" s="3864"/>
      <c r="J107" s="3998" t="s">
        <v>6936</v>
      </c>
      <c r="K107" s="3999"/>
      <c r="L107" s="3862" t="s">
        <v>6889</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 customHeight="1">
      <c r="B109" s="2435" t="s">
        <v>6630</v>
      </c>
      <c r="C109" s="2436"/>
      <c r="D109" s="2433"/>
      <c r="E109" s="2433"/>
      <c r="F109" s="3865"/>
      <c r="G109" s="3865"/>
      <c r="H109" s="3865"/>
      <c r="I109" s="3865"/>
      <c r="J109" s="4002"/>
      <c r="K109" s="4003"/>
      <c r="L109" s="3865"/>
      <c r="M109" s="3865"/>
      <c r="N109" s="3865"/>
      <c r="O109" s="3866"/>
      <c r="P109" s="2304"/>
    </row>
    <row r="110" spans="1:21" ht="31.5" customHeight="1">
      <c r="B110" s="3986" t="s">
        <v>7070</v>
      </c>
      <c r="C110" s="3987"/>
      <c r="D110" s="3987"/>
      <c r="E110" s="3988"/>
      <c r="F110" s="3996" t="s">
        <v>2652</v>
      </c>
      <c r="G110" s="3997"/>
      <c r="H110" s="3996" t="s">
        <v>2649</v>
      </c>
      <c r="I110" s="3997"/>
      <c r="J110" s="3855" t="s">
        <v>2652</v>
      </c>
      <c r="K110" s="3857"/>
      <c r="L110" s="3855" t="s">
        <v>2652</v>
      </c>
      <c r="M110" s="3856"/>
      <c r="N110" s="3856"/>
      <c r="O110" s="3857"/>
      <c r="P110" s="2257"/>
    </row>
    <row r="111" spans="1:21" ht="15.9" customHeight="1">
      <c r="B111" s="3980" t="s">
        <v>7071</v>
      </c>
      <c r="C111" s="3981"/>
      <c r="D111" s="3981"/>
      <c r="E111" s="3982"/>
      <c r="F111" s="3993" t="s">
        <v>2652</v>
      </c>
      <c r="G111" s="3994"/>
      <c r="H111" s="3993" t="s">
        <v>2652</v>
      </c>
      <c r="I111" s="3994"/>
      <c r="J111" s="3852" t="s">
        <v>2652</v>
      </c>
      <c r="K111" s="3854"/>
      <c r="L111" s="3852" t="s">
        <v>2652</v>
      </c>
      <c r="M111" s="3853"/>
      <c r="N111" s="3853"/>
      <c r="O111" s="3854"/>
      <c r="P111" s="2270"/>
    </row>
    <row r="112" spans="1:21" ht="15.9" customHeight="1">
      <c r="B112" s="3980" t="s">
        <v>7072</v>
      </c>
      <c r="C112" s="3981"/>
      <c r="D112" s="3981"/>
      <c r="E112" s="3982"/>
      <c r="F112" s="3993" t="s">
        <v>2652</v>
      </c>
      <c r="G112" s="3994"/>
      <c r="H112" s="3993" t="s">
        <v>2649</v>
      </c>
      <c r="I112" s="3994"/>
      <c r="J112" s="3852" t="s">
        <v>2649</v>
      </c>
      <c r="K112" s="3854"/>
      <c r="L112" s="3852" t="s">
        <v>2649</v>
      </c>
      <c r="M112" s="3853"/>
      <c r="N112" s="3853"/>
      <c r="O112" s="3854"/>
      <c r="P112" s="2270"/>
    </row>
    <row r="113" spans="1:21" ht="15.9" customHeight="1">
      <c r="B113" s="3980"/>
      <c r="C113" s="3981"/>
      <c r="D113" s="3981"/>
      <c r="E113" s="3982"/>
      <c r="F113" s="3993"/>
      <c r="G113" s="3994"/>
      <c r="H113" s="3993"/>
      <c r="I113" s="3994"/>
      <c r="J113" s="3852"/>
      <c r="K113" s="3854"/>
      <c r="L113" s="3852"/>
      <c r="M113" s="3853"/>
      <c r="N113" s="3853"/>
      <c r="O113" s="3854"/>
      <c r="P113" s="2270"/>
    </row>
    <row r="114" spans="1:21" ht="15.9" customHeight="1">
      <c r="B114" s="3980"/>
      <c r="C114" s="3981"/>
      <c r="D114" s="3981"/>
      <c r="E114" s="3982"/>
      <c r="F114" s="3993"/>
      <c r="G114" s="3994"/>
      <c r="H114" s="3993"/>
      <c r="I114" s="3994"/>
      <c r="J114" s="3852"/>
      <c r="K114" s="3854"/>
      <c r="L114" s="3852"/>
      <c r="M114" s="3853"/>
      <c r="N114" s="3853"/>
      <c r="O114" s="3854"/>
      <c r="P114" s="2270"/>
    </row>
    <row r="115" spans="1:21" ht="15.9" customHeight="1">
      <c r="B115" s="3983"/>
      <c r="C115" s="3984"/>
      <c r="D115" s="3984"/>
      <c r="E115" s="3985"/>
      <c r="F115" s="3989"/>
      <c r="G115" s="3990"/>
      <c r="H115" s="3989"/>
      <c r="I115" s="3990"/>
      <c r="J115" s="3991"/>
      <c r="K115" s="3992"/>
      <c r="L115" s="3991"/>
      <c r="M115" s="3995"/>
      <c r="N115" s="3995"/>
      <c r="O115" s="3992"/>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69" customHeight="1" thickTop="1" thickBot="1">
      <c r="A117" s="3867" t="s">
        <v>7099</v>
      </c>
      <c r="B117" s="3868"/>
      <c r="C117" s="3868"/>
      <c r="D117" s="3868"/>
      <c r="E117" s="3868"/>
      <c r="F117" s="3868"/>
      <c r="G117" s="3868"/>
      <c r="H117" s="3868"/>
      <c r="I117" s="3868"/>
      <c r="J117" s="3868"/>
      <c r="K117" s="3868"/>
      <c r="L117" s="3868"/>
      <c r="M117" s="3868"/>
      <c r="N117" s="3868"/>
      <c r="O117" s="3868"/>
      <c r="P117" s="3869"/>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6887</v>
      </c>
      <c r="D125" s="2157"/>
      <c r="E125" s="2157"/>
      <c r="F125" s="2157"/>
      <c r="G125" s="2157"/>
      <c r="H125" s="2157"/>
      <c r="I125" s="2157"/>
      <c r="J125" s="2157"/>
      <c r="K125" s="2157"/>
      <c r="L125" s="2310"/>
      <c r="M125" s="3986">
        <v>4</v>
      </c>
      <c r="N125" s="3987"/>
      <c r="O125" s="3987"/>
      <c r="P125" s="3988"/>
      <c r="S125" s="2118"/>
      <c r="T125" s="2118"/>
      <c r="U125" s="2118"/>
    </row>
    <row r="126" spans="1:21" s="2121" customFormat="1" ht="15.9" customHeight="1">
      <c r="B126" s="2254"/>
      <c r="C126" s="2121" t="s">
        <v>6853</v>
      </c>
      <c r="L126" s="2254"/>
      <c r="M126" s="3980" t="s">
        <v>7106</v>
      </c>
      <c r="N126" s="3981"/>
      <c r="O126" s="3981"/>
      <c r="P126" s="3982"/>
      <c r="S126" s="2118"/>
      <c r="T126" s="2118"/>
      <c r="U126" s="2118"/>
    </row>
    <row r="127" spans="1:21" s="2121" customFormat="1" ht="15.9" customHeight="1">
      <c r="B127" s="2254"/>
      <c r="C127" s="2121" t="s">
        <v>6854</v>
      </c>
      <c r="L127" s="2254"/>
      <c r="M127" s="3980" t="s">
        <v>7107</v>
      </c>
      <c r="N127" s="3981"/>
      <c r="O127" s="3981"/>
      <c r="P127" s="3982"/>
      <c r="Q127" s="2312">
        <f>IF(K127="Yes",1,0)</f>
        <v>0</v>
      </c>
      <c r="S127" s="2118"/>
      <c r="T127" s="2118"/>
      <c r="U127" s="2118"/>
    </row>
    <row r="128" spans="1:21" s="2121" customFormat="1" ht="15.9" customHeight="1">
      <c r="A128" s="2254"/>
      <c r="B128" s="2254"/>
      <c r="C128" s="2121" t="s">
        <v>6855</v>
      </c>
      <c r="L128" s="2254"/>
      <c r="M128" s="3980" t="s">
        <v>7108</v>
      </c>
      <c r="N128" s="3981"/>
      <c r="O128" s="3981"/>
      <c r="P128" s="3982"/>
      <c r="Q128" s="2312">
        <f>IF(K128="Yes",1,0)</f>
        <v>0</v>
      </c>
      <c r="S128" s="2118"/>
      <c r="T128" s="2118"/>
      <c r="U128" s="2118"/>
    </row>
    <row r="129" spans="1:22" s="2121" customFormat="1" ht="15.9" customHeight="1">
      <c r="A129" s="2254"/>
      <c r="B129" s="2254"/>
      <c r="C129" s="2121" t="s">
        <v>6892</v>
      </c>
      <c r="L129" s="2254"/>
      <c r="M129" s="3983" t="s">
        <v>7109</v>
      </c>
      <c r="N129" s="3984"/>
      <c r="O129" s="3984"/>
      <c r="P129" s="3985"/>
      <c r="Q129" s="2312"/>
      <c r="S129" s="2118"/>
      <c r="T129" s="2118"/>
      <c r="U129" s="2118"/>
      <c r="V129" s="2312"/>
    </row>
    <row r="130" spans="1:22" ht="15.9" customHeight="1">
      <c r="A130" s="2311"/>
      <c r="B130" s="2307" t="s">
        <v>1844</v>
      </c>
      <c r="C130" s="2233" t="s">
        <v>6891</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76" t="s">
        <v>6856</v>
      </c>
      <c r="D132" s="3876"/>
      <c r="E132" s="3876"/>
      <c r="F132" s="3876"/>
      <c r="G132" s="3876"/>
      <c r="H132" s="3876"/>
      <c r="I132" s="3876"/>
      <c r="J132" s="3876"/>
      <c r="K132" s="3876"/>
      <c r="L132" s="3876"/>
      <c r="M132" s="2286">
        <v>1</v>
      </c>
      <c r="N132" s="2310"/>
      <c r="O132" s="2314">
        <v>1</v>
      </c>
      <c r="P132" s="2315"/>
      <c r="Q132" s="2242" t="str">
        <f>IF(OR($O132=$M132,$O132=0,$O132=""),"","*CHECK!*")</f>
        <v/>
      </c>
      <c r="R132" s="2305"/>
    </row>
    <row r="133" spans="1:22" ht="30.75" customHeight="1">
      <c r="A133" s="2235"/>
      <c r="B133" s="2310"/>
      <c r="C133" s="3876" t="s">
        <v>6900</v>
      </c>
      <c r="D133" s="3876"/>
      <c r="E133" s="3876"/>
      <c r="F133" s="3876"/>
      <c r="G133" s="3876"/>
      <c r="H133" s="3876"/>
      <c r="I133" s="3876"/>
      <c r="J133" s="3876"/>
      <c r="K133" s="3876"/>
      <c r="L133" s="3876"/>
      <c r="M133" s="2286">
        <v>1</v>
      </c>
      <c r="N133" s="2310"/>
      <c r="O133" s="2316">
        <v>1</v>
      </c>
      <c r="P133" s="2317"/>
      <c r="Q133" s="2242" t="str">
        <f>IF(OR($O133=$M133,$O133=0,$O133=""),"","*CHECK!*")</f>
        <v/>
      </c>
      <c r="R133" s="2305"/>
    </row>
    <row r="134" spans="1:22" ht="15.9" customHeight="1">
      <c r="A134" s="2235"/>
      <c r="B134" s="2230"/>
      <c r="C134" s="2120" t="s">
        <v>6857</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 customHeight="1">
      <c r="A135" s="2138" t="s">
        <v>1843</v>
      </c>
      <c r="B135" s="2131" t="s">
        <v>3822</v>
      </c>
      <c r="D135" s="2121"/>
      <c r="F135" s="2318"/>
      <c r="K135" s="2319"/>
      <c r="L135" s="2232" t="str">
        <f>IF(OR($O135=$M135,$O135=0,$O135=1,$O135=""),"","* * Check Score! * *")</f>
        <v/>
      </c>
      <c r="M135" s="2123">
        <v>2</v>
      </c>
      <c r="N135" s="2254"/>
      <c r="O135" s="2414">
        <v>2</v>
      </c>
      <c r="P135" s="2415"/>
      <c r="Q135" s="2320"/>
      <c r="R135" s="2305"/>
    </row>
    <row r="136" spans="1:22" s="2121" customFormat="1" ht="15.9" customHeight="1" thickBot="1">
      <c r="B136" s="2260" t="s">
        <v>3241</v>
      </c>
      <c r="M136" s="2123"/>
      <c r="N136" s="2123"/>
      <c r="O136" s="2133"/>
      <c r="P136" s="2124"/>
    </row>
    <row r="137" spans="1:22" ht="75.599999999999994" customHeight="1" thickTop="1" thickBot="1">
      <c r="A137" s="3867" t="s">
        <v>7105</v>
      </c>
      <c r="B137" s="3868"/>
      <c r="C137" s="3868"/>
      <c r="D137" s="3868"/>
      <c r="E137" s="3868"/>
      <c r="F137" s="3868"/>
      <c r="G137" s="3868"/>
      <c r="H137" s="3868"/>
      <c r="I137" s="3868"/>
      <c r="J137" s="3868"/>
      <c r="K137" s="3868"/>
      <c r="L137" s="3868"/>
      <c r="M137" s="3868"/>
      <c r="N137" s="3868"/>
      <c r="O137" s="3868"/>
      <c r="P137" s="3869"/>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6253</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t="s">
        <v>2649</v>
      </c>
      <c r="P144" s="2257"/>
      <c r="Q144" s="2203"/>
      <c r="R144" s="2118"/>
      <c r="S144" s="2118"/>
      <c r="T144" s="2118"/>
      <c r="U144" s="2118"/>
    </row>
    <row r="145" spans="1:27" ht="33.9" customHeight="1">
      <c r="A145" s="2142"/>
      <c r="B145" s="3941" t="s">
        <v>6899</v>
      </c>
      <c r="C145" s="3941"/>
      <c r="D145" s="3941"/>
      <c r="E145" s="3941"/>
      <c r="F145" s="3941"/>
      <c r="G145" s="3941"/>
      <c r="H145" s="3941"/>
      <c r="I145" s="3941"/>
      <c r="J145" s="3941"/>
      <c r="K145" s="3941"/>
      <c r="L145" s="3941"/>
      <c r="M145" s="3941"/>
      <c r="N145" s="2124"/>
      <c r="O145" s="2325" t="s">
        <v>2649</v>
      </c>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119.1" customHeight="1" thickTop="1" thickBot="1">
      <c r="A147" s="3867" t="s">
        <v>7110</v>
      </c>
      <c r="B147" s="3868"/>
      <c r="C147" s="3868"/>
      <c r="D147" s="3868"/>
      <c r="E147" s="3868"/>
      <c r="F147" s="3868"/>
      <c r="G147" s="3868"/>
      <c r="H147" s="3868"/>
      <c r="I147" s="3868"/>
      <c r="J147" s="3868"/>
      <c r="K147" s="3868"/>
      <c r="L147" s="3868"/>
      <c r="M147" s="3868"/>
      <c r="N147" s="3868"/>
      <c r="O147" s="3868"/>
      <c r="P147" s="3869"/>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6255</v>
      </c>
      <c r="D154" s="2121"/>
      <c r="E154" s="2143"/>
      <c r="F154" s="2143"/>
      <c r="G154" s="2121"/>
      <c r="H154" s="2121"/>
      <c r="I154" s="2121"/>
      <c r="J154" s="3972" t="s">
        <v>3205</v>
      </c>
      <c r="K154" s="3973"/>
      <c r="L154" s="3974" t="s">
        <v>3205</v>
      </c>
      <c r="M154" s="3975"/>
      <c r="N154" s="2123"/>
      <c r="R154" s="2203"/>
      <c r="S154" s="2121"/>
    </row>
    <row r="155" spans="1:27" ht="15.9" customHeight="1">
      <c r="C155" s="2331" t="s">
        <v>6893</v>
      </c>
      <c r="J155" s="3976"/>
      <c r="K155" s="3977"/>
      <c r="L155" s="3977"/>
      <c r="M155" s="3978"/>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 customHeight="1">
      <c r="C158" s="2333" t="s">
        <v>6220</v>
      </c>
      <c r="E158" s="3979" t="s">
        <v>6219</v>
      </c>
      <c r="F158" s="3979"/>
      <c r="G158" s="3979"/>
      <c r="H158" s="3979"/>
      <c r="I158" s="2139" t="s">
        <v>6894</v>
      </c>
      <c r="J158" s="3979" t="s">
        <v>6219</v>
      </c>
      <c r="K158" s="3979"/>
      <c r="L158" s="3979"/>
      <c r="M158" s="3979"/>
      <c r="N158" s="2120"/>
      <c r="O158" s="2120"/>
      <c r="P158" s="2120"/>
    </row>
    <row r="159" spans="1:27" ht="15.9" customHeight="1">
      <c r="C159" s="2121" t="s">
        <v>6218</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 customHeight="1">
      <c r="B160" s="2227"/>
      <c r="C160" s="2121" t="s">
        <v>6215</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 customHeight="1">
      <c r="C161" s="2121" t="s">
        <v>6216</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15.9" customHeight="1" thickTop="1" thickBot="1">
      <c r="A165" s="3867" t="s">
        <v>7100</v>
      </c>
      <c r="B165" s="3868"/>
      <c r="C165" s="3868"/>
      <c r="D165" s="3868"/>
      <c r="E165" s="3868"/>
      <c r="F165" s="3868"/>
      <c r="G165" s="3868"/>
      <c r="H165" s="3868"/>
      <c r="I165" s="3868"/>
      <c r="J165" s="3868"/>
      <c r="K165" s="3868"/>
      <c r="L165" s="3868"/>
      <c r="M165" s="3868"/>
      <c r="N165" s="3868"/>
      <c r="O165" s="3868"/>
      <c r="P165" s="3869"/>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4035</v>
      </c>
      <c r="G171" s="2123" t="s">
        <v>3153</v>
      </c>
      <c r="H171" s="2339">
        <f>IF('Part V-Revenues &amp; Expenses'!$P$67=0,0,'Part V-Revenues &amp; Expenses'!$P$64/'Part V-Revenues &amp; Expenses'!$P$67)</f>
        <v>0</v>
      </c>
      <c r="K171" s="3964" t="str">
        <f>'Part V-Revenues &amp; Expenses'!$O$53</f>
        <v>Income Averaging</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3958</v>
      </c>
      <c r="M172" s="2123">
        <v>1</v>
      </c>
      <c r="N172" s="2254"/>
      <c r="O172" s="2314"/>
      <c r="P172" s="2315"/>
      <c r="Q172" s="2320" t="str">
        <f>IF(OR($O172=$M172,$O172=0,$O172=""),"","*CHECK!*")</f>
        <v/>
      </c>
      <c r="R172" s="2305"/>
    </row>
    <row r="173" spans="1:27" ht="15.9" customHeight="1">
      <c r="A173" s="2124" t="s">
        <v>1843</v>
      </c>
      <c r="B173" s="2227" t="s">
        <v>3813</v>
      </c>
      <c r="M173" s="2139">
        <v>1</v>
      </c>
      <c r="N173" s="2254"/>
      <c r="O173" s="2243">
        <v>1</v>
      </c>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3263</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3264</v>
      </c>
      <c r="D182" s="2184"/>
      <c r="L182" s="2184"/>
      <c r="M182" s="3956"/>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867" t="s">
        <v>7100</v>
      </c>
      <c r="B184" s="3868"/>
      <c r="C184" s="3868"/>
      <c r="D184" s="3868"/>
      <c r="E184" s="3868"/>
      <c r="F184" s="3868"/>
      <c r="G184" s="3868"/>
      <c r="H184" s="3868"/>
      <c r="I184" s="3868"/>
      <c r="J184" s="3868"/>
      <c r="K184" s="3868"/>
      <c r="L184" s="3868"/>
      <c r="M184" s="3868"/>
      <c r="N184" s="3868"/>
      <c r="O184" s="3868"/>
      <c r="P184" s="3869"/>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6257</v>
      </c>
      <c r="C190" s="2157"/>
      <c r="D190" s="2157"/>
      <c r="E190" s="2157"/>
      <c r="F190" s="2157"/>
      <c r="G190" s="2139" t="s">
        <v>6858</v>
      </c>
      <c r="H190" s="3848" t="s">
        <v>574</v>
      </c>
      <c r="I190" s="3848"/>
      <c r="J190" s="3848"/>
      <c r="K190" s="3957" t="s">
        <v>6932</v>
      </c>
      <c r="L190" s="3957"/>
      <c r="M190" s="3957"/>
      <c r="N190" s="2310"/>
      <c r="O190" s="2346"/>
      <c r="P190" s="2347"/>
      <c r="Q190" s="2348"/>
      <c r="R190" s="2158"/>
      <c r="S190" s="2158"/>
      <c r="T190" s="2158"/>
      <c r="W190" s="2158"/>
      <c r="X190" s="2158"/>
      <c r="Y190" s="2158"/>
      <c r="Z190" s="2158"/>
      <c r="AA190" s="2158"/>
    </row>
    <row r="191" spans="1:27" ht="15.9" customHeight="1">
      <c r="A191" s="2285"/>
      <c r="B191" s="2285"/>
      <c r="D191" s="2186" t="s">
        <v>6258</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6259</v>
      </c>
      <c r="G192" s="2352"/>
      <c r="H192" s="3950"/>
      <c r="I192" s="3951"/>
      <c r="J192" s="3952"/>
      <c r="K192" s="3948"/>
      <c r="L192" s="3948"/>
      <c r="M192" s="3948"/>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15.9" customHeight="1" thickTop="1" thickBot="1">
      <c r="A195" s="3867" t="s">
        <v>7100</v>
      </c>
      <c r="B195" s="3868"/>
      <c r="C195" s="3868"/>
      <c r="D195" s="3868"/>
      <c r="E195" s="3868"/>
      <c r="F195" s="3868"/>
      <c r="G195" s="3868"/>
      <c r="H195" s="3868"/>
      <c r="I195" s="3868"/>
      <c r="J195" s="3868"/>
      <c r="K195" s="3868"/>
      <c r="L195" s="3868"/>
      <c r="M195" s="3868"/>
      <c r="N195" s="3868"/>
      <c r="O195" s="3868"/>
      <c r="P195" s="3869"/>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6940</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1843</v>
      </c>
      <c r="B202" s="2131" t="s">
        <v>6938</v>
      </c>
      <c r="M202" s="2123">
        <v>3</v>
      </c>
      <c r="N202" s="2254"/>
      <c r="O202" s="2240">
        <v>3</v>
      </c>
      <c r="P202" s="2241"/>
      <c r="Q202" s="2320" t="str">
        <f>IF(OR($O202=$M202,$O202=$M202-1,$O202=0,$O202=""),"","*CHECK!*")</f>
        <v/>
      </c>
      <c r="R202" s="2305"/>
    </row>
    <row r="203" spans="1:24" ht="15.9" customHeight="1">
      <c r="A203" s="2138" t="s">
        <v>698</v>
      </c>
      <c r="B203" s="2131" t="s">
        <v>6939</v>
      </c>
      <c r="G203" s="2226" t="s">
        <v>6230</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15.9" customHeight="1" thickTop="1" thickBot="1">
      <c r="A205" s="3867" t="s">
        <v>7039</v>
      </c>
      <c r="B205" s="3868"/>
      <c r="C205" s="3868"/>
      <c r="D205" s="3868"/>
      <c r="E205" s="3868"/>
      <c r="F205" s="3868"/>
      <c r="G205" s="3868"/>
      <c r="H205" s="3868"/>
      <c r="I205" s="3868"/>
      <c r="J205" s="3868"/>
      <c r="K205" s="3868"/>
      <c r="L205" s="3868"/>
      <c r="M205" s="3868"/>
      <c r="N205" s="3868"/>
      <c r="O205" s="3868"/>
      <c r="P205" s="3869"/>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6615</v>
      </c>
      <c r="D214" s="2282"/>
      <c r="E214" s="2282"/>
      <c r="G214" s="2120"/>
      <c r="K214" s="2254"/>
      <c r="M214" s="2123">
        <v>1</v>
      </c>
      <c r="N214" s="2377"/>
      <c r="O214" s="2246"/>
      <c r="P214" s="2247"/>
      <c r="R214" s="2120"/>
      <c r="T214" s="2355"/>
      <c r="U214" s="2355"/>
    </row>
    <row r="215" spans="1:22" ht="15.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6895</v>
      </c>
      <c r="C216" s="3941"/>
      <c r="D216" s="3941"/>
      <c r="E216" s="3941"/>
      <c r="F216" s="3941"/>
      <c r="G216" s="3941"/>
      <c r="H216" s="3941"/>
      <c r="I216" s="3941"/>
      <c r="J216" s="3941"/>
      <c r="K216" s="3941"/>
      <c r="L216" s="3941"/>
      <c r="M216" s="2123"/>
      <c r="N216" s="2254"/>
      <c r="O216" s="2358"/>
      <c r="P216" s="2359"/>
      <c r="R216" s="2232"/>
      <c r="T216" s="2355"/>
      <c r="U216" s="2355"/>
    </row>
    <row r="217" spans="1:22" ht="15.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6941</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6896</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867" t="s">
        <v>7101</v>
      </c>
      <c r="B228" s="3868"/>
      <c r="C228" s="3868"/>
      <c r="D228" s="3868"/>
      <c r="E228" s="3868"/>
      <c r="F228" s="3868"/>
      <c r="G228" s="3868"/>
      <c r="H228" s="3868"/>
      <c r="I228" s="3868"/>
      <c r="J228" s="3868"/>
      <c r="K228" s="3868"/>
      <c r="L228" s="3868"/>
      <c r="M228" s="3868"/>
      <c r="N228" s="3868"/>
      <c r="O228" s="3868"/>
      <c r="P228" s="3869"/>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6897</v>
      </c>
      <c r="D234" s="2143"/>
      <c r="E234" s="2143"/>
      <c r="J234" s="2361"/>
      <c r="M234" s="2210"/>
      <c r="O234" s="3942" t="s">
        <v>6898</v>
      </c>
      <c r="P234" s="3942" t="s">
        <v>3151</v>
      </c>
      <c r="Q234" s="2203"/>
      <c r="R234" s="2118"/>
      <c r="S234" s="2118"/>
      <c r="T234" s="2118"/>
      <c r="U234" s="2118"/>
      <c r="V234" s="2118"/>
      <c r="W234" s="2120"/>
      <c r="X234" s="2120"/>
    </row>
    <row r="235" spans="1:24" s="2121" customFormat="1" ht="15.9" customHeight="1">
      <c r="A235" s="2142"/>
      <c r="C235" s="2121" t="s">
        <v>6693</v>
      </c>
      <c r="I235" s="3932" t="s">
        <v>2852</v>
      </c>
      <c r="J235" s="3933"/>
      <c r="K235" s="3874"/>
      <c r="L235" s="3875"/>
      <c r="M235" s="2210"/>
      <c r="O235" s="3864"/>
      <c r="P235" s="3864"/>
      <c r="Q235" s="2203"/>
      <c r="R235" s="2118"/>
      <c r="S235" s="2118"/>
      <c r="T235" s="2118"/>
      <c r="U235" s="2118"/>
      <c r="V235" s="2118"/>
      <c r="W235" s="2120"/>
      <c r="X235" s="2120"/>
    </row>
    <row r="236" spans="1:24" s="2121" customFormat="1" ht="15.9" customHeight="1">
      <c r="A236" s="2142"/>
      <c r="C236" s="2121" t="s">
        <v>6692</v>
      </c>
      <c r="I236" s="3934" t="s">
        <v>2852</v>
      </c>
      <c r="J236" s="3935"/>
      <c r="M236" s="2210"/>
      <c r="O236" s="3864"/>
      <c r="P236" s="3864"/>
      <c r="Q236" s="2203"/>
      <c r="R236" s="2118"/>
      <c r="S236" s="2118"/>
      <c r="T236" s="2118"/>
      <c r="U236" s="2118"/>
      <c r="V236" s="2118"/>
      <c r="W236" s="2120"/>
      <c r="X236" s="2120"/>
    </row>
    <row r="237" spans="1:24" s="2121" customFormat="1" ht="15.9" customHeight="1">
      <c r="A237" s="2142"/>
      <c r="C237" s="2121" t="s">
        <v>6694</v>
      </c>
      <c r="I237" s="3939" t="s">
        <v>7073</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6860</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6588</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6861</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6862</v>
      </c>
      <c r="D245" s="2184"/>
      <c r="L245" s="2184"/>
      <c r="M245" s="2139"/>
      <c r="N245" s="2254"/>
      <c r="O245" s="2256" t="s">
        <v>7040</v>
      </c>
      <c r="P245" s="2257"/>
      <c r="Q245" s="2364"/>
      <c r="R245" s="2305"/>
      <c r="S245" s="2118"/>
      <c r="T245" s="2118"/>
      <c r="U245" s="2118"/>
      <c r="V245" s="2118"/>
    </row>
    <row r="246" spans="1:22" s="2157" customFormat="1" ht="30" customHeight="1">
      <c r="A246" s="2365"/>
      <c r="B246" s="2285"/>
      <c r="C246" s="3876" t="s">
        <v>6937</v>
      </c>
      <c r="D246" s="3876"/>
      <c r="E246" s="3876"/>
      <c r="F246" s="3876"/>
      <c r="G246" s="3876"/>
      <c r="H246" s="3876"/>
      <c r="I246" s="3876"/>
      <c r="J246" s="3876"/>
      <c r="K246" s="3876"/>
      <c r="L246" s="3876"/>
      <c r="M246" s="3876"/>
      <c r="N246" s="2377"/>
      <c r="O246" s="2325" t="s">
        <v>7040</v>
      </c>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49.35" customHeight="1" thickTop="1" thickBot="1">
      <c r="A248" s="3867" t="s">
        <v>7117</v>
      </c>
      <c r="B248" s="3868"/>
      <c r="C248" s="3868"/>
      <c r="D248" s="3868"/>
      <c r="E248" s="3868"/>
      <c r="F248" s="3868"/>
      <c r="G248" s="3868"/>
      <c r="H248" s="3868"/>
      <c r="I248" s="3868"/>
      <c r="J248" s="3868"/>
      <c r="K248" s="3868"/>
      <c r="L248" s="3868"/>
      <c r="M248" s="3868"/>
      <c r="N248" s="3868"/>
      <c r="O248" s="3868"/>
      <c r="P248" s="3869"/>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6585</v>
      </c>
      <c r="D254" s="2184"/>
      <c r="E254" s="2184" t="s">
        <v>6596</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6.6" customHeight="1" thickTop="1" thickBot="1">
      <c r="A257" s="3867" t="s">
        <v>7102</v>
      </c>
      <c r="B257" s="3868"/>
      <c r="C257" s="3868"/>
      <c r="D257" s="3868"/>
      <c r="E257" s="3868"/>
      <c r="F257" s="3868"/>
      <c r="G257" s="3868"/>
      <c r="H257" s="3868"/>
      <c r="I257" s="3868"/>
      <c r="J257" s="3868"/>
      <c r="K257" s="3868"/>
      <c r="L257" s="3868"/>
      <c r="M257" s="3868"/>
      <c r="N257" s="3868"/>
      <c r="O257" s="3868"/>
      <c r="P257" s="3869"/>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1841</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6901</v>
      </c>
      <c r="N264" s="2144"/>
      <c r="O264" s="2324"/>
      <c r="P264" s="2369"/>
      <c r="R264" s="2232"/>
    </row>
    <row r="265" spans="1:19" ht="15.9" customHeight="1">
      <c r="A265" s="2124" t="s">
        <v>1843</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6901</v>
      </c>
      <c r="M266" s="2124"/>
      <c r="N266" s="2144"/>
      <c r="O266" s="2324"/>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3154</v>
      </c>
      <c r="D272" s="2227"/>
      <c r="E272" s="2227"/>
      <c r="G272" s="2121"/>
      <c r="I272" s="3873" t="s">
        <v>6060</v>
      </c>
      <c r="J272" s="3874"/>
      <c r="K272" s="3874"/>
      <c r="L272" s="3875"/>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15.9" customHeight="1" thickTop="1" thickBot="1">
      <c r="A275" s="3867" t="s">
        <v>7103</v>
      </c>
      <c r="B275" s="3868"/>
      <c r="C275" s="3868"/>
      <c r="D275" s="3868"/>
      <c r="E275" s="3868"/>
      <c r="F275" s="3868"/>
      <c r="G275" s="3868"/>
      <c r="H275" s="3868"/>
      <c r="I275" s="3868"/>
      <c r="J275" s="3868"/>
      <c r="K275" s="3868"/>
      <c r="L275" s="3868"/>
      <c r="M275" s="3868"/>
      <c r="N275" s="3868"/>
      <c r="O275" s="3868"/>
      <c r="P275" s="3869"/>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 customHeight="1">
      <c r="A282" s="2313"/>
      <c r="B282" s="3929" t="s">
        <v>6863</v>
      </c>
      <c r="C282" s="3929"/>
      <c r="D282" s="3929"/>
      <c r="E282" s="3929"/>
      <c r="F282" s="3929"/>
      <c r="G282" s="3929"/>
      <c r="H282" s="3929"/>
      <c r="I282" s="3929"/>
      <c r="J282" s="3929"/>
      <c r="K282" s="3929"/>
      <c r="L282" s="3929"/>
      <c r="N282" s="2120"/>
      <c r="O282" s="2374"/>
      <c r="P282" s="2375"/>
      <c r="R282" s="2136"/>
      <c r="S282" s="2136"/>
      <c r="T282" s="2119"/>
    </row>
    <row r="283" spans="1:20" ht="15.9"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 customHeight="1">
      <c r="A284" s="2254"/>
      <c r="B284" s="2377" t="s">
        <v>1844</v>
      </c>
      <c r="C284" s="2121" t="s">
        <v>1388</v>
      </c>
      <c r="I284" s="2254"/>
      <c r="J284" s="3943"/>
      <c r="K284" s="3944"/>
      <c r="L284" s="2254"/>
      <c r="M284" s="3945"/>
      <c r="N284" s="3946"/>
      <c r="O284" s="3946"/>
      <c r="P284" s="3947"/>
      <c r="R284" s="2232"/>
    </row>
    <row r="285" spans="1:20" ht="15.9" customHeight="1">
      <c r="A285" s="2230"/>
      <c r="B285" s="2214" t="s">
        <v>1846</v>
      </c>
      <c r="C285" s="2121" t="s">
        <v>3156</v>
      </c>
      <c r="I285" s="2310"/>
      <c r="J285" s="3877"/>
      <c r="K285" s="3878"/>
      <c r="L285" s="2310"/>
      <c r="M285" s="3879"/>
      <c r="N285" s="3880"/>
      <c r="O285" s="3880"/>
      <c r="P285" s="3881"/>
      <c r="R285" s="2232"/>
    </row>
    <row r="286" spans="1:20" ht="15.9" customHeight="1">
      <c r="B286" s="2377" t="s">
        <v>2332</v>
      </c>
      <c r="C286" s="2121" t="s">
        <v>3954</v>
      </c>
      <c r="I286" s="2254"/>
      <c r="J286" s="3877"/>
      <c r="K286" s="3878"/>
      <c r="L286" s="2254"/>
      <c r="M286" s="3879"/>
      <c r="N286" s="3880"/>
      <c r="O286" s="3880"/>
      <c r="P286" s="3881"/>
      <c r="R286" s="2232"/>
    </row>
    <row r="287" spans="1:20" ht="15.9" customHeight="1">
      <c r="A287" s="2230"/>
      <c r="B287" s="2377" t="s">
        <v>1150</v>
      </c>
      <c r="C287" s="2121" t="s">
        <v>3071</v>
      </c>
      <c r="I287" s="2254"/>
      <c r="J287" s="3877"/>
      <c r="K287" s="3878"/>
      <c r="L287" s="2254"/>
      <c r="M287" s="3879"/>
      <c r="N287" s="3880"/>
      <c r="O287" s="3880"/>
      <c r="P287" s="3881"/>
      <c r="R287" s="2232"/>
    </row>
    <row r="288" spans="1:20" ht="15.9" customHeight="1">
      <c r="A288" s="2254"/>
      <c r="B288" s="2214" t="s">
        <v>1151</v>
      </c>
      <c r="C288" s="2121" t="s">
        <v>2473</v>
      </c>
      <c r="I288" s="2310"/>
      <c r="J288" s="3877"/>
      <c r="K288" s="3878"/>
      <c r="L288" s="2310"/>
      <c r="M288" s="3879"/>
      <c r="N288" s="3880"/>
      <c r="O288" s="3880"/>
      <c r="P288" s="3881"/>
      <c r="R288" s="2232"/>
    </row>
    <row r="289" spans="1:26" ht="15.9" customHeight="1">
      <c r="B289" s="2377" t="s">
        <v>1742</v>
      </c>
      <c r="C289" s="2121" t="s">
        <v>1387</v>
      </c>
      <c r="I289" s="2254"/>
      <c r="J289" s="3877"/>
      <c r="K289" s="3878"/>
      <c r="L289" s="2254"/>
      <c r="M289" s="3879"/>
      <c r="N289" s="3880"/>
      <c r="O289" s="3880"/>
      <c r="P289" s="3881"/>
      <c r="R289" s="2232"/>
    </row>
    <row r="290" spans="1:26" ht="15.9" customHeight="1">
      <c r="B290" s="2377" t="s">
        <v>473</v>
      </c>
      <c r="C290" s="2121" t="s">
        <v>6233</v>
      </c>
      <c r="I290" s="2254"/>
      <c r="J290" s="3877"/>
      <c r="K290" s="3878"/>
      <c r="L290" s="2254"/>
      <c r="M290" s="2378"/>
      <c r="N290" s="2379"/>
      <c r="O290" s="2379"/>
      <c r="P290" s="2380"/>
      <c r="R290" s="2232"/>
    </row>
    <row r="291" spans="1:26" ht="15.9" customHeight="1">
      <c r="A291" s="2230"/>
      <c r="B291" s="2377" t="s">
        <v>474</v>
      </c>
      <c r="C291" s="2121" t="s">
        <v>3155</v>
      </c>
      <c r="I291" s="2254"/>
      <c r="J291" s="3877"/>
      <c r="K291" s="3878"/>
      <c r="L291" s="2254"/>
      <c r="M291" s="3879"/>
      <c r="N291" s="3880"/>
      <c r="O291" s="3880"/>
      <c r="P291" s="3881"/>
      <c r="R291" s="2232"/>
    </row>
    <row r="292" spans="1:26" ht="15.9" customHeight="1">
      <c r="B292" s="2377" t="s">
        <v>3889</v>
      </c>
      <c r="C292" s="2121" t="s">
        <v>6864</v>
      </c>
      <c r="I292" s="2254"/>
      <c r="J292" s="3877"/>
      <c r="K292" s="3878"/>
      <c r="L292" s="2254"/>
      <c r="M292" s="3879"/>
      <c r="N292" s="3880"/>
      <c r="O292" s="3880"/>
      <c r="P292" s="3881"/>
      <c r="R292" s="2232"/>
    </row>
    <row r="293" spans="1:26" ht="15.9" customHeight="1">
      <c r="B293" s="2377" t="s">
        <v>6865</v>
      </c>
      <c r="C293" s="2121" t="s">
        <v>6902</v>
      </c>
      <c r="I293" s="2254"/>
      <c r="J293" s="3877"/>
      <c r="K293" s="3878"/>
      <c r="L293" s="2254"/>
      <c r="M293" s="3879"/>
      <c r="N293" s="3880"/>
      <c r="O293" s="3880"/>
      <c r="P293" s="3881"/>
      <c r="R293" s="2232"/>
    </row>
    <row r="294" spans="1:26" ht="15.9" customHeight="1" thickBot="1">
      <c r="B294" s="2377" t="s">
        <v>6866</v>
      </c>
      <c r="C294" s="2121" t="s">
        <v>6903</v>
      </c>
      <c r="I294" s="2254"/>
      <c r="J294" s="3877"/>
      <c r="K294" s="3878"/>
      <c r="L294" s="2254"/>
      <c r="M294" s="3905"/>
      <c r="N294" s="3906"/>
      <c r="O294" s="3906"/>
      <c r="P294" s="3907"/>
      <c r="R294" s="2232"/>
    </row>
    <row r="295" spans="1:26" ht="15.9" customHeight="1" thickBot="1">
      <c r="B295" s="2121"/>
      <c r="I295" s="2138" t="s">
        <v>2413</v>
      </c>
      <c r="J295" s="3908">
        <f>SUM(J284:K294)</f>
        <v>0</v>
      </c>
      <c r="K295" s="3909"/>
      <c r="M295" s="3908">
        <f>SUM($M284:$M294)</f>
        <v>0</v>
      </c>
      <c r="N295" s="3910"/>
      <c r="O295" s="3910"/>
      <c r="P295" s="3909"/>
      <c r="R295" s="2232"/>
    </row>
    <row r="296" spans="1:26" ht="15.9" customHeight="1">
      <c r="M296" s="2136"/>
      <c r="N296" s="2136"/>
      <c r="O296" s="2120"/>
      <c r="P296" s="2136"/>
      <c r="U296" s="3848" t="s">
        <v>6908</v>
      </c>
      <c r="V296" s="3848"/>
      <c r="W296" s="3848"/>
      <c r="X296" s="3848"/>
      <c r="Y296" s="3848"/>
      <c r="Z296" s="3848"/>
    </row>
    <row r="297" spans="1:26" ht="15.9" customHeight="1">
      <c r="A297" s="2121"/>
      <c r="B297" s="2332"/>
      <c r="C297" s="2227" t="s">
        <v>2412</v>
      </c>
      <c r="D297" s="2255"/>
      <c r="E297" s="2255"/>
      <c r="I297" s="2254" t="s">
        <v>6236</v>
      </c>
      <c r="J297" s="3897">
        <f>'Part V-Revenues &amp; Expenses'!$P$67</f>
        <v>48</v>
      </c>
      <c r="K297" s="3898"/>
      <c r="L297" s="2136"/>
      <c r="M297" s="2136"/>
      <c r="N297" s="2136"/>
      <c r="O297" s="2120"/>
      <c r="P297" s="2136"/>
      <c r="U297" s="2432" t="s">
        <v>6906</v>
      </c>
      <c r="V297" s="2432" t="s">
        <v>6907</v>
      </c>
      <c r="W297" s="2432" t="s">
        <v>6906</v>
      </c>
      <c r="X297" s="2432" t="s">
        <v>6907</v>
      </c>
      <c r="Y297" s="2432" t="s">
        <v>6906</v>
      </c>
      <c r="Z297" s="2432" t="s">
        <v>6907</v>
      </c>
    </row>
    <row r="298" spans="1:26" ht="15.9" customHeight="1">
      <c r="C298" s="2255"/>
      <c r="D298" s="2255"/>
      <c r="E298" s="2255"/>
      <c r="I298" s="2381" t="s">
        <v>6237</v>
      </c>
      <c r="J298" s="3911">
        <f>IF(J297=0,0,J295/J297)</f>
        <v>0</v>
      </c>
      <c r="K298" s="3912"/>
      <c r="M298" s="3913">
        <f>IF(J297=0,0,M295/J297)</f>
        <v>0</v>
      </c>
      <c r="N298" s="3914"/>
      <c r="O298" s="3914"/>
      <c r="P298" s="3915"/>
      <c r="S298" s="2431" t="s">
        <v>6904</v>
      </c>
      <c r="U298" s="2425">
        <v>500000</v>
      </c>
      <c r="V298" s="2426">
        <v>999999.99</v>
      </c>
      <c r="W298" s="2425">
        <v>1000000</v>
      </c>
      <c r="X298" s="2426">
        <v>1999999.99</v>
      </c>
      <c r="Y298" s="2425">
        <v>2000000</v>
      </c>
      <c r="Z298" s="2427"/>
    </row>
    <row r="299" spans="1:26" ht="15.9" customHeight="1">
      <c r="C299" s="2255"/>
      <c r="D299" s="2255"/>
      <c r="E299" s="2255"/>
      <c r="I299" s="2230" t="s">
        <v>6867</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6905</v>
      </c>
      <c r="U299" s="2428">
        <v>10000</v>
      </c>
      <c r="V299" s="2429">
        <v>19999.990000000002</v>
      </c>
      <c r="W299" s="2428">
        <v>20000</v>
      </c>
      <c r="X299" s="2429">
        <v>29999.99</v>
      </c>
      <c r="Y299" s="2428">
        <v>30000</v>
      </c>
      <c r="Z299" s="2430"/>
    </row>
    <row r="300" spans="1:26" ht="15.9" customHeight="1">
      <c r="C300" s="2255"/>
      <c r="D300" s="2255"/>
      <c r="E300" s="2255"/>
      <c r="I300" s="2230" t="s">
        <v>6238</v>
      </c>
      <c r="J300" s="3902">
        <f>IF(J298&gt;=$Y$299,$Y$300,IF(J298&gt;=$W$299,$W$300,IF(J298&gt;=$U$299,$U$300,0)))</f>
        <v>0</v>
      </c>
      <c r="K300" s="3903"/>
      <c r="L300" s="2136"/>
      <c r="M300" s="3902">
        <f>IF(M298&gt;=$Y$299,$Y$300,IF(M298&gt;=$W$299,$W$300,IF(M298&gt;=$U$299,$U$300,0)))</f>
        <v>0</v>
      </c>
      <c r="N300" s="3904"/>
      <c r="O300" s="3904"/>
      <c r="P300" s="3903"/>
      <c r="S300" s="2431" t="s">
        <v>6145</v>
      </c>
      <c r="U300" s="3858">
        <v>1</v>
      </c>
      <c r="V300" s="3859"/>
      <c r="W300" s="3858">
        <v>2</v>
      </c>
      <c r="X300" s="3859"/>
      <c r="Y300" s="3858">
        <v>3</v>
      </c>
      <c r="Z300" s="3859"/>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6868</v>
      </c>
      <c r="D303" s="3876"/>
      <c r="E303" s="3876"/>
      <c r="F303" s="3876"/>
      <c r="G303" s="3876"/>
      <c r="H303" s="3876"/>
      <c r="I303" s="3876"/>
      <c r="J303" s="3876"/>
      <c r="K303" s="3876"/>
      <c r="L303" s="3876"/>
      <c r="M303" s="3876"/>
      <c r="N303" s="2413"/>
      <c r="O303" s="2382"/>
      <c r="P303" s="2383"/>
      <c r="V303" s="2355"/>
    </row>
    <row r="304" spans="1:26" ht="15.9" customHeight="1">
      <c r="A304" s="2138"/>
      <c r="B304" s="2313"/>
      <c r="C304" s="2121" t="s">
        <v>6869</v>
      </c>
      <c r="D304" s="2121"/>
      <c r="E304" s="2121"/>
      <c r="F304" s="2121"/>
      <c r="G304" s="2121"/>
      <c r="H304" s="2121"/>
      <c r="I304" s="2121"/>
      <c r="J304" s="2121"/>
      <c r="K304" s="2121"/>
      <c r="M304" s="2121"/>
      <c r="N304" s="2144"/>
      <c r="O304" s="2269"/>
      <c r="P304" s="2270"/>
      <c r="V304" s="2355"/>
    </row>
    <row r="305" spans="1:19" ht="15.9" customHeight="1">
      <c r="B305" s="2313"/>
      <c r="C305" s="2120" t="s">
        <v>6870</v>
      </c>
      <c r="N305" s="2144"/>
      <c r="O305" s="2246"/>
      <c r="P305" s="2247"/>
    </row>
    <row r="306" spans="1:19" ht="15.9" customHeight="1" thickBot="1">
      <c r="B306" s="2260" t="s">
        <v>3241</v>
      </c>
    </row>
    <row r="307" spans="1:19" ht="15.9" customHeight="1" thickTop="1" thickBot="1">
      <c r="A307" s="3867" t="s">
        <v>7100</v>
      </c>
      <c r="B307" s="3868"/>
      <c r="C307" s="3868"/>
      <c r="D307" s="3868"/>
      <c r="E307" s="3868"/>
      <c r="F307" s="3868"/>
      <c r="G307" s="3868"/>
      <c r="H307" s="3868"/>
      <c r="I307" s="3868"/>
      <c r="J307" s="3868"/>
      <c r="K307" s="3868"/>
      <c r="L307" s="3868"/>
      <c r="M307" s="3868"/>
      <c r="N307" s="3868"/>
      <c r="O307" s="3868"/>
      <c r="P307" s="3869"/>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3873" t="s">
        <v>3886</v>
      </c>
      <c r="H313" s="3874"/>
      <c r="I313" s="3874"/>
      <c r="J313" s="3874"/>
      <c r="K313" s="3874"/>
      <c r="L313" s="3875"/>
      <c r="M313" s="2286"/>
      <c r="N313" s="2286"/>
      <c r="O313" s="2286"/>
      <c r="P313" s="2286"/>
      <c r="Q313" s="2121"/>
    </row>
    <row r="314" spans="1:19" s="2157" customFormat="1" ht="15.9" customHeight="1">
      <c r="A314" s="2211" t="s">
        <v>1841</v>
      </c>
      <c r="B314" s="2131" t="s">
        <v>3955</v>
      </c>
      <c r="M314" s="2286">
        <v>2</v>
      </c>
      <c r="N314" s="2310"/>
      <c r="O314" s="2308"/>
      <c r="P314" s="2384"/>
      <c r="Q314" s="2320" t="str">
        <f>IF(OR($O314=$M314,$O314=0,$O314=""),"","*CHECK!*")</f>
        <v/>
      </c>
      <c r="R314" s="2305"/>
    </row>
    <row r="315" spans="1:19" ht="15.9" customHeight="1">
      <c r="A315" s="2345"/>
      <c r="B315" s="3891" t="s">
        <v>3415</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 customHeight="1">
      <c r="A316" s="2385" t="s">
        <v>1843</v>
      </c>
      <c r="B316" s="2289" t="s">
        <v>3956</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867" t="s">
        <v>7100</v>
      </c>
      <c r="B318" s="3868"/>
      <c r="C318" s="3868"/>
      <c r="D318" s="3868"/>
      <c r="E318" s="3868"/>
      <c r="F318" s="3868"/>
      <c r="G318" s="3868"/>
      <c r="H318" s="3868"/>
      <c r="I318" s="3868"/>
      <c r="J318" s="3868"/>
      <c r="K318" s="3868"/>
      <c r="L318" s="3868"/>
      <c r="M318" s="3868"/>
      <c r="N318" s="3868"/>
      <c r="O318" s="3868"/>
      <c r="P318" s="3869"/>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6942</v>
      </c>
      <c r="D326" s="2143"/>
      <c r="E326" s="2143"/>
      <c r="L326" s="2232"/>
      <c r="M326" s="2124"/>
      <c r="N326" s="2123"/>
      <c r="O326" s="2387"/>
      <c r="P326" s="2354"/>
      <c r="Q326" s="2203"/>
    </row>
    <row r="327" spans="1:18" s="2121" customFormat="1" ht="15.9" customHeight="1">
      <c r="A327" s="2124" t="s">
        <v>1843</v>
      </c>
      <c r="B327" s="2131" t="s">
        <v>6943</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6609</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49.35" customHeight="1" thickTop="1" thickBot="1">
      <c r="A340" s="3867" t="s">
        <v>7104</v>
      </c>
      <c r="B340" s="3868"/>
      <c r="C340" s="3868"/>
      <c r="D340" s="3868"/>
      <c r="E340" s="3868"/>
      <c r="F340" s="3868"/>
      <c r="G340" s="3868"/>
      <c r="H340" s="3868"/>
      <c r="I340" s="3868"/>
      <c r="J340" s="3868"/>
      <c r="K340" s="3868"/>
      <c r="L340" s="3868"/>
      <c r="M340" s="3868"/>
      <c r="N340" s="3868"/>
      <c r="O340" s="3868"/>
      <c r="P340" s="3869"/>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15.9" customHeight="1" thickTop="1" thickBot="1">
      <c r="A347" s="3867" t="s">
        <v>7091</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6916</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6871</v>
      </c>
      <c r="D353" s="2143"/>
      <c r="E353" s="2143"/>
      <c r="F353" s="2136"/>
      <c r="L353" s="2320"/>
      <c r="M353" s="2124"/>
      <c r="N353" s="2123"/>
      <c r="O353" s="2324"/>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867" t="s">
        <v>7091</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15.9" customHeight="1" thickTop="1" thickBot="1">
      <c r="A369" s="3867" t="s">
        <v>7091</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6933</v>
      </c>
      <c r="E376" s="2121"/>
      <c r="F376" s="2121"/>
      <c r="G376" s="2121" t="s">
        <v>6223</v>
      </c>
      <c r="H376" s="2121"/>
      <c r="I376" s="2121"/>
      <c r="J376" s="2121" t="s">
        <v>575</v>
      </c>
      <c r="L376" s="2139" t="s">
        <v>6934</v>
      </c>
      <c r="M376" s="3848" t="s">
        <v>6944</v>
      </c>
      <c r="N376" s="3848"/>
      <c r="O376" s="3848"/>
      <c r="P376" s="3848"/>
      <c r="Q376" s="2320"/>
    </row>
    <row r="377" spans="1:18" ht="15.9"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c r="A385" s="2120">
        <v>9</v>
      </c>
      <c r="B385" s="3882"/>
      <c r="C385" s="3882"/>
      <c r="D385" s="3882"/>
      <c r="E385" s="3882"/>
      <c r="F385" s="3882"/>
      <c r="G385" s="3882"/>
      <c r="H385" s="3882"/>
      <c r="I385" s="3882"/>
      <c r="J385" s="3882"/>
      <c r="K385" s="3882"/>
      <c r="L385" s="2452"/>
      <c r="M385" s="3849"/>
      <c r="N385" s="3850"/>
      <c r="O385" s="3850"/>
      <c r="P385" s="3851"/>
    </row>
    <row r="386" spans="1:19" ht="15.9"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867" t="s">
        <v>7091</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6924</v>
      </c>
      <c r="Q395" s="2320" t="str">
        <f>IF(OR($O395=$M395,$O395=0,$O395=""),"","*CHECK!*")</f>
        <v/>
      </c>
      <c r="R395" s="2305"/>
    </row>
    <row r="396" spans="1:19" ht="147" customHeight="1">
      <c r="A396" s="2345"/>
      <c r="B396" s="3891" t="s">
        <v>6925</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 customHeight="1">
      <c r="A397" s="2385" t="s">
        <v>1843</v>
      </c>
      <c r="B397" s="2289" t="s">
        <v>6926</v>
      </c>
      <c r="Q397" s="2320" t="str">
        <f>IF(OR($O397=$M397,$O397=0,$O397=""),"","*CHECK!*")</f>
        <v/>
      </c>
      <c r="R397" s="2305"/>
    </row>
    <row r="398" spans="1:19" ht="147" customHeight="1">
      <c r="A398" s="2345"/>
      <c r="B398" s="3891" t="s">
        <v>6927</v>
      </c>
      <c r="C398" s="3892"/>
      <c r="D398" s="3892"/>
      <c r="E398" s="3892"/>
      <c r="F398" s="3892"/>
      <c r="G398" s="3892"/>
      <c r="H398" s="3892"/>
      <c r="I398" s="3892"/>
      <c r="J398" s="3892"/>
      <c r="K398" s="3892"/>
      <c r="L398" s="3892"/>
      <c r="M398" s="3892"/>
      <c r="N398" s="3892"/>
      <c r="O398" s="3892"/>
      <c r="P398" s="3893"/>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867" t="s">
        <v>7091</v>
      </c>
      <c r="B400" s="3868"/>
      <c r="C400" s="3868"/>
      <c r="D400" s="3868"/>
      <c r="E400" s="3868"/>
      <c r="F400" s="3868"/>
      <c r="G400" s="3868"/>
      <c r="H400" s="3868"/>
      <c r="I400" s="3868"/>
      <c r="J400" s="3868"/>
      <c r="K400" s="3868"/>
      <c r="L400" s="3868"/>
      <c r="M400" s="3868"/>
      <c r="N400" s="3868"/>
      <c r="O400" s="3868"/>
      <c r="P400" s="3869"/>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 customHeight="1" thickBot="1">
      <c r="Q403" s="3900" t="s">
        <v>6950</v>
      </c>
      <c r="R403" s="3900"/>
      <c r="S403" s="3900"/>
      <c r="T403" s="3900"/>
      <c r="U403" s="3900"/>
      <c r="V403" s="3900"/>
      <c r="W403" s="3900"/>
      <c r="X403" s="3900"/>
      <c r="Y403" s="3900"/>
      <c r="Z403" s="3900"/>
      <c r="AA403" s="3900"/>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69</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6872</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35" customHeight="1">
      <c r="A408" s="3891" t="s">
        <v>7112</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6563</v>
      </c>
      <c r="BC415" s="3890"/>
      <c r="BD415" s="3890"/>
      <c r="BE415" s="3890"/>
      <c r="BF415" s="3890"/>
      <c r="BG415" s="3890"/>
      <c r="BH415" s="3890"/>
      <c r="BI415" s="3890"/>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6564</v>
      </c>
      <c r="AZ416" s="3887"/>
      <c r="BA416" s="3887"/>
      <c r="BB416" s="3887"/>
      <c r="BC416" s="3887"/>
      <c r="BD416" s="3887"/>
      <c r="BE416" s="3888"/>
      <c r="BF416" s="3886" t="s">
        <v>6565</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4039" t="s">
        <v>6125</v>
      </c>
      <c r="AH418" s="4040"/>
      <c r="AI418" s="3883" t="s">
        <v>6506</v>
      </c>
      <c r="AJ418" s="3884"/>
      <c r="AK418" s="3884"/>
      <c r="AL418" s="3884"/>
      <c r="AM418" s="3885"/>
      <c r="AN418" s="4041" t="s">
        <v>6138</v>
      </c>
      <c r="AO418" s="4041"/>
      <c r="AP418" s="4041"/>
      <c r="AQ418" s="4041"/>
      <c r="AR418" s="2397"/>
      <c r="AS418" s="2466"/>
      <c r="AT418" s="2465" t="s">
        <v>6137</v>
      </c>
      <c r="AU418" s="2466"/>
      <c r="AV418" s="2466"/>
      <c r="AW418" s="2466"/>
      <c r="AX418" s="2397"/>
      <c r="AY418" s="3883" t="s">
        <v>6125</v>
      </c>
      <c r="AZ418" s="3885"/>
      <c r="BA418" s="3883" t="s">
        <v>6506</v>
      </c>
      <c r="BB418" s="3884"/>
      <c r="BC418" s="3884"/>
      <c r="BD418" s="3884"/>
      <c r="BE418" s="3885"/>
      <c r="BF418" s="3889" t="s">
        <v>6125</v>
      </c>
      <c r="BG418" s="3889"/>
      <c r="BH418" s="3889" t="s">
        <v>6506</v>
      </c>
      <c r="BI418" s="3889"/>
      <c r="BJ418" s="3889"/>
      <c r="BK418" s="3889"/>
      <c r="BL418" s="3889"/>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6914</v>
      </c>
      <c r="AK419" s="2467" t="s">
        <v>6546</v>
      </c>
      <c r="AL419" s="2467" t="s">
        <v>6547</v>
      </c>
      <c r="AM419" s="2467" t="s">
        <v>6548</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6946</v>
      </c>
      <c r="BA419" s="2467" t="s">
        <v>6946</v>
      </c>
      <c r="BB419" s="2467" t="s">
        <v>6930</v>
      </c>
      <c r="BC419" s="2467" t="s">
        <v>6546</v>
      </c>
      <c r="BD419" s="2467" t="s">
        <v>6547</v>
      </c>
      <c r="BE419" s="2467" t="s">
        <v>6548</v>
      </c>
      <c r="BF419" s="2467">
        <v>0.09</v>
      </c>
      <c r="BG419" s="2467" t="s">
        <v>6946</v>
      </c>
      <c r="BH419" s="2467" t="s">
        <v>6946</v>
      </c>
      <c r="BI419" s="2467" t="s">
        <v>6930</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4.5</v>
      </c>
      <c r="AZ424" s="2497">
        <f>O86</f>
        <v>4.5</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29" t="s">
        <v>6562</v>
      </c>
      <c r="AO425" s="4030"/>
      <c r="AP425" s="4030"/>
      <c r="AQ425" s="4030"/>
      <c r="AR425" s="2397"/>
      <c r="AS425" s="2468" t="s">
        <v>720</v>
      </c>
      <c r="AT425" s="2492" t="s">
        <v>3339</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3395</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6948</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f>'Part II-Sources of Funds'!$L$14</f>
        <v>0</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6917</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69</v>
      </c>
      <c r="AZ449" s="2542">
        <f>IF(AND($O$36="4%",($C$36-$A$36)&gt;0),(SUM(AZ420:AZ447)-($C$36-$A$36)),SUM(AZ420:AZ447))</f>
        <v>63</v>
      </c>
      <c r="BA449" s="2542">
        <f t="shared" ref="BA449:BB449" si="3">IF(AND($O$36="4%",($C$36-$A$36)&gt;0),(SUM(BA420:BA447)-($C$36-$A$36)),SUM(BA420:BA447))</f>
        <v>28</v>
      </c>
      <c r="BB449" s="2542">
        <f t="shared" si="3"/>
        <v>28</v>
      </c>
      <c r="BC449" s="2542">
        <f t="shared" ref="BC449:BL449" si="4">SUM(BC420:BC447)</f>
        <v>30</v>
      </c>
      <c r="BD449" s="2542">
        <f t="shared" si="4"/>
        <v>30</v>
      </c>
      <c r="BE449" s="2542">
        <f t="shared" si="4"/>
        <v>30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 N/A-4%"</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topLeftCell="A43" workbookViewId="0">
      <selection activeCell="A5" sqref="A5:M5"/>
    </sheetView>
  </sheetViews>
  <sheetFormatPr defaultColWidth="8.5546875" defaultRowHeight="15.6"/>
  <cols>
    <col min="1" max="1" width="2.44140625" style="809" customWidth="1"/>
    <col min="2" max="13" width="7.5546875" style="809" customWidth="1"/>
    <col min="14" max="15" width="5.5546875" style="809" customWidth="1"/>
    <col min="16" max="16384" width="8.55468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8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85" customHeight="1">
      <c r="A8" s="813"/>
      <c r="B8" s="813"/>
      <c r="C8" s="813"/>
      <c r="D8" s="813"/>
      <c r="E8" s="813"/>
      <c r="F8" s="813"/>
      <c r="G8" s="813"/>
      <c r="H8" s="813"/>
      <c r="I8" s="813"/>
      <c r="J8" s="813"/>
      <c r="K8" s="813"/>
      <c r="L8" s="813"/>
      <c r="M8" s="813"/>
    </row>
    <row r="9" spans="1:26">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6929</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3189</v>
      </c>
      <c r="C13" s="4105"/>
      <c r="D13" s="4105"/>
      <c r="E13" s="4105"/>
      <c r="F13" s="4105"/>
      <c r="G13" s="4105"/>
      <c r="H13" s="4105"/>
      <c r="I13" s="4105"/>
      <c r="J13" s="4105"/>
      <c r="K13" s="4105"/>
      <c r="L13" s="4105"/>
      <c r="M13" s="4105"/>
      <c r="U13" s="809" t="s">
        <v>6271</v>
      </c>
    </row>
    <row r="14" spans="1:26" ht="47.25" customHeight="1">
      <c r="A14" s="815" t="s">
        <v>1615</v>
      </c>
      <c r="B14" s="4105" t="s">
        <v>3190</v>
      </c>
      <c r="C14" s="4105"/>
      <c r="D14" s="4105"/>
      <c r="E14" s="4105"/>
      <c r="F14" s="4105"/>
      <c r="G14" s="4105"/>
      <c r="H14" s="4105"/>
      <c r="I14" s="4105"/>
      <c r="J14" s="4105"/>
      <c r="K14" s="4105"/>
      <c r="L14" s="4105"/>
      <c r="M14" s="4105"/>
    </row>
    <row r="15" spans="1:26" ht="117" customHeight="1">
      <c r="A15" s="815" t="s">
        <v>1616</v>
      </c>
      <c r="B15" s="4105" t="s">
        <v>3191</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3192</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3088</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3089</v>
      </c>
      <c r="C25" s="4105"/>
      <c r="D25" s="4105"/>
      <c r="E25" s="4105"/>
      <c r="F25" s="4105"/>
      <c r="G25" s="4105"/>
      <c r="H25" s="4105"/>
      <c r="I25" s="4105"/>
      <c r="J25" s="4105"/>
      <c r="K25" s="4105"/>
      <c r="L25" s="4105"/>
      <c r="M25" s="4105"/>
    </row>
    <row r="26" spans="1:13" ht="31.5" customHeight="1">
      <c r="A26" s="815" t="s">
        <v>1375</v>
      </c>
      <c r="B26" s="4105" t="s">
        <v>3090</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85" customHeight="1">
      <c r="A41" s="813"/>
      <c r="B41" s="813"/>
      <c r="C41" s="813"/>
      <c r="D41" s="813"/>
      <c r="E41" s="813"/>
      <c r="F41" s="813"/>
      <c r="G41" s="813"/>
      <c r="H41" s="4110" t="s">
        <v>868</v>
      </c>
      <c r="I41" s="4110"/>
      <c r="J41" s="4110"/>
      <c r="K41" s="4110"/>
      <c r="L41" s="4110"/>
      <c r="M41" s="4110"/>
    </row>
    <row r="42" spans="1:13" ht="11.85" customHeight="1">
      <c r="A42" s="813"/>
      <c r="B42" s="813"/>
      <c r="C42" s="813"/>
      <c r="D42" s="813"/>
      <c r="E42" s="813"/>
      <c r="F42" s="813"/>
      <c r="G42" s="813"/>
    </row>
    <row r="43" spans="1:13" ht="11.85" customHeight="1">
      <c r="A43" s="813"/>
      <c r="B43" s="813"/>
      <c r="C43" s="813"/>
      <c r="D43" s="813"/>
      <c r="E43" s="813"/>
      <c r="F43" s="813"/>
      <c r="G43" s="813"/>
      <c r="H43" s="813"/>
      <c r="I43" s="813"/>
      <c r="J43" s="813"/>
      <c r="K43" s="813"/>
      <c r="L43" s="813"/>
      <c r="M43" s="813"/>
    </row>
    <row r="44" spans="1:13" ht="11.85" customHeight="1">
      <c r="A44" s="813"/>
      <c r="B44" s="813"/>
      <c r="C44" s="813"/>
      <c r="D44" s="813"/>
      <c r="E44" s="813"/>
      <c r="F44" s="813"/>
      <c r="G44" s="813"/>
      <c r="H44" s="813"/>
      <c r="I44" s="813"/>
      <c r="J44" s="813"/>
      <c r="K44" s="813"/>
      <c r="L44" s="813"/>
      <c r="M44" s="813"/>
    </row>
    <row r="45" spans="1:13" ht="11.85" customHeight="1"/>
    <row r="46" spans="1:13" ht="11.85" customHeight="1"/>
    <row r="47" spans="1:13" ht="11.85" customHeight="1"/>
    <row r="48" spans="1:13" ht="11.85" customHeight="1"/>
    <row r="49" ht="11.8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topLeftCell="A37" zoomScaleNormal="100" workbookViewId="0">
      <selection activeCell="D4" sqref="D4:I4"/>
    </sheetView>
  </sheetViews>
  <sheetFormatPr defaultColWidth="9.44140625" defaultRowHeight="13.8"/>
  <cols>
    <col min="1" max="1" width="5.44140625" style="1327" customWidth="1"/>
    <col min="2" max="2" width="6.44140625" style="1327" customWidth="1"/>
    <col min="3" max="3" width="9.5546875" style="1327" customWidth="1"/>
    <col min="4" max="4" width="10.44140625" style="1327" customWidth="1"/>
    <col min="5" max="5" width="7.5546875" style="1331" customWidth="1"/>
    <col min="6" max="6" width="8" style="1327" customWidth="1"/>
    <col min="7" max="7" width="8.5546875" style="1327" customWidth="1"/>
    <col min="8" max="8" width="10.44140625" style="1327" customWidth="1"/>
    <col min="9" max="9" width="10.5546875" style="1327" customWidth="1"/>
    <col min="10" max="11" width="11.5546875" style="1327" customWidth="1"/>
    <col min="12" max="16384" width="9.441406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Cusseta Crossing</v>
      </c>
      <c r="E3" s="4167"/>
      <c r="F3" s="4167"/>
      <c r="G3" s="4167"/>
      <c r="H3" s="4167"/>
      <c r="I3" s="4167"/>
      <c r="J3" s="4168" t="s">
        <v>6171</v>
      </c>
      <c r="K3" s="4169"/>
    </row>
    <row r="4" spans="1:11" ht="15" customHeight="1">
      <c r="A4" s="1332" t="s">
        <v>3969</v>
      </c>
      <c r="B4" s="1333"/>
      <c r="C4" s="1334"/>
      <c r="D4" s="4170"/>
      <c r="E4" s="4171"/>
      <c r="F4" s="4171"/>
      <c r="G4" s="4171"/>
      <c r="H4" s="4171"/>
      <c r="I4" s="4171"/>
      <c r="J4" s="4172" t="s">
        <v>4010</v>
      </c>
      <c r="K4" s="4173"/>
    </row>
    <row r="5" spans="1:11" ht="15" customHeight="1" thickBot="1">
      <c r="A5" s="1335" t="s">
        <v>3970</v>
      </c>
      <c r="B5" s="1336"/>
      <c r="C5" s="1337"/>
      <c r="D5" s="4176"/>
      <c r="E5" s="4177"/>
      <c r="F5" s="4177"/>
      <c r="G5" s="4177"/>
      <c r="H5" s="4177"/>
      <c r="I5" s="4177"/>
      <c r="J5" s="4174"/>
      <c r="K5" s="4175"/>
    </row>
    <row r="6" spans="1:11" ht="9" customHeight="1" thickBot="1">
      <c r="E6" s="1327"/>
    </row>
    <row r="7" spans="1:11">
      <c r="A7" s="4184" t="s">
        <v>3972</v>
      </c>
      <c r="B7" s="4185"/>
      <c r="C7" s="4185"/>
      <c r="D7" s="4185"/>
      <c r="E7" s="4185"/>
      <c r="F7" s="4185"/>
      <c r="G7" s="4185"/>
      <c r="H7" s="4185"/>
      <c r="I7" s="4185"/>
      <c r="J7" s="4185"/>
      <c r="K7" s="4186"/>
    </row>
    <row r="8" spans="1:11" ht="14.25" customHeight="1">
      <c r="A8" s="1333"/>
      <c r="B8" s="1333"/>
      <c r="C8" s="1567">
        <v>1</v>
      </c>
      <c r="D8" s="1352" t="s">
        <v>3973</v>
      </c>
      <c r="E8" s="1352"/>
      <c r="F8" s="1352"/>
      <c r="G8" s="1352"/>
      <c r="H8" s="1352"/>
      <c r="I8" s="1352"/>
      <c r="J8" s="4182"/>
      <c r="K8" s="4183"/>
    </row>
    <row r="9" spans="1:11" ht="7.35" customHeight="1">
      <c r="A9" s="4121"/>
      <c r="B9" s="4121"/>
      <c r="C9" s="4121"/>
      <c r="D9" s="4122"/>
      <c r="E9" s="4122"/>
      <c r="F9" s="4122"/>
      <c r="G9" s="4122"/>
      <c r="H9" s="4122"/>
      <c r="I9" s="4122"/>
      <c r="J9" s="4122"/>
      <c r="K9" s="1353"/>
    </row>
    <row r="10" spans="1:11">
      <c r="A10" s="4187" t="s">
        <v>3974</v>
      </c>
      <c r="B10" s="4188"/>
      <c r="C10" s="4188"/>
      <c r="D10" s="4188"/>
      <c r="E10" s="4188"/>
      <c r="F10" s="4188"/>
      <c r="G10" s="4188"/>
      <c r="H10" s="4188"/>
      <c r="I10" s="4188"/>
      <c r="J10" s="4188"/>
      <c r="K10" s="4189"/>
    </row>
    <row r="11" spans="1:11" ht="14.25" customHeight="1">
      <c r="A11" s="1333"/>
      <c r="B11" s="1333"/>
      <c r="C11" s="1567">
        <v>2</v>
      </c>
      <c r="D11" s="1352" t="s">
        <v>3975</v>
      </c>
      <c r="E11" s="1354"/>
      <c r="F11" s="1354"/>
      <c r="G11" s="1354"/>
      <c r="H11" s="1354"/>
      <c r="I11" s="1354"/>
      <c r="J11" s="4180"/>
      <c r="K11" s="4181"/>
    </row>
    <row r="12" spans="1:11" ht="7.35" customHeight="1">
      <c r="A12" s="4121"/>
      <c r="B12" s="4121"/>
      <c r="C12" s="4121"/>
      <c r="D12" s="4122"/>
      <c r="E12" s="4122"/>
      <c r="F12" s="4122"/>
      <c r="G12" s="4122"/>
      <c r="H12" s="4122"/>
      <c r="I12" s="4122"/>
      <c r="J12" s="4122"/>
      <c r="K12" s="1355"/>
    </row>
    <row r="13" spans="1:11">
      <c r="A13" s="4187" t="s">
        <v>3976</v>
      </c>
      <c r="B13" s="4188"/>
      <c r="C13" s="4188"/>
      <c r="D13" s="4188"/>
      <c r="E13" s="4188"/>
      <c r="F13" s="4188"/>
      <c r="G13" s="4188"/>
      <c r="H13" s="4188"/>
      <c r="I13" s="4188"/>
      <c r="J13" s="4188"/>
      <c r="K13" s="4189"/>
    </row>
    <row r="14" spans="1:11" ht="14.25" customHeight="1">
      <c r="A14" s="1333"/>
      <c r="B14" s="1333"/>
      <c r="C14" s="1568">
        <v>3</v>
      </c>
      <c r="D14" s="1356" t="s">
        <v>3977</v>
      </c>
      <c r="E14" s="1356"/>
      <c r="F14" s="1356"/>
      <c r="G14" s="1356"/>
      <c r="H14" s="1356"/>
      <c r="I14" s="1356"/>
      <c r="J14" s="4178"/>
      <c r="K14" s="4179"/>
    </row>
    <row r="15" spans="1:11" ht="14.25" customHeight="1">
      <c r="A15" s="1333"/>
      <c r="B15" s="1333"/>
      <c r="C15" s="1569">
        <v>4</v>
      </c>
      <c r="D15" s="1333" t="s">
        <v>3978</v>
      </c>
      <c r="E15" s="1333"/>
      <c r="F15" s="1333"/>
      <c r="G15" s="1333"/>
      <c r="H15" s="1333"/>
      <c r="I15" s="1333"/>
      <c r="J15" s="4119"/>
      <c r="K15" s="4120"/>
    </row>
    <row r="16" spans="1:11" ht="14.25" customHeight="1">
      <c r="A16" s="1333"/>
      <c r="B16" s="1333"/>
      <c r="C16" s="1569">
        <v>5</v>
      </c>
      <c r="D16" s="1333" t="s">
        <v>3979</v>
      </c>
      <c r="E16" s="1333"/>
      <c r="F16" s="1333"/>
      <c r="G16" s="1333"/>
      <c r="H16" s="1333"/>
      <c r="I16" s="1333"/>
      <c r="J16" s="4119"/>
      <c r="K16" s="4120"/>
    </row>
    <row r="17" spans="1:13" ht="14.25" customHeight="1">
      <c r="A17" s="1333"/>
      <c r="B17" s="1333"/>
      <c r="C17" s="1570">
        <v>6</v>
      </c>
      <c r="D17" s="1336" t="s">
        <v>3980</v>
      </c>
      <c r="E17" s="1336"/>
      <c r="F17" s="1336"/>
      <c r="G17" s="1336"/>
      <c r="H17" s="1336"/>
      <c r="I17" s="1336"/>
      <c r="J17" s="4117"/>
      <c r="K17" s="4118"/>
    </row>
    <row r="18" spans="1:13" ht="7.35" customHeight="1">
      <c r="A18" s="4121"/>
      <c r="B18" s="4121"/>
      <c r="C18" s="4121"/>
      <c r="D18" s="4122"/>
      <c r="E18" s="4122"/>
      <c r="F18" s="4122"/>
      <c r="G18" s="4122"/>
      <c r="H18" s="4122"/>
      <c r="I18" s="4122"/>
      <c r="J18" s="4122"/>
      <c r="K18" s="1355"/>
    </row>
    <row r="19" spans="1:13" ht="14.25" customHeight="1">
      <c r="A19" s="1333"/>
      <c r="B19" s="1333"/>
      <c r="C19" s="1568">
        <v>7</v>
      </c>
      <c r="D19" s="1356" t="s">
        <v>3981</v>
      </c>
      <c r="E19" s="1356"/>
      <c r="F19" s="1356"/>
      <c r="G19" s="1356"/>
      <c r="H19" s="1356"/>
      <c r="I19" s="1356"/>
      <c r="J19" s="4115" t="str">
        <f>IF(J17="No",J14-J15,IF(J17="Yes",J14-J15-J16,"Error"))</f>
        <v>Error</v>
      </c>
      <c r="K19" s="4116"/>
    </row>
    <row r="20" spans="1:13" ht="14.25" customHeight="1">
      <c r="A20" s="1333"/>
      <c r="B20" s="1333"/>
      <c r="C20" s="1570">
        <v>8</v>
      </c>
      <c r="D20" s="1336" t="s">
        <v>3982</v>
      </c>
      <c r="E20" s="1336"/>
      <c r="F20" s="1336"/>
      <c r="G20" s="1336"/>
      <c r="H20" s="1336"/>
      <c r="I20" s="1336"/>
      <c r="J20" s="4113" t="e">
        <f>ROUNDDOWN(J19/J8,2)</f>
        <v>#VALUE!</v>
      </c>
      <c r="K20" s="4114"/>
    </row>
    <row r="21" spans="1:13" ht="7.35" customHeight="1">
      <c r="A21" s="4121"/>
      <c r="B21" s="4121"/>
      <c r="C21" s="4121"/>
      <c r="D21" s="4122"/>
      <c r="E21" s="4122"/>
      <c r="F21" s="4122"/>
      <c r="G21" s="4122"/>
      <c r="H21" s="4122"/>
      <c r="I21" s="4122"/>
      <c r="J21" s="4122"/>
      <c r="K21" s="1355"/>
    </row>
    <row r="22" spans="1:13" ht="14.25" customHeight="1" thickBot="1">
      <c r="A22" s="1333"/>
      <c r="B22" s="1333"/>
      <c r="C22" s="1567">
        <v>9</v>
      </c>
      <c r="D22" s="1357" t="s">
        <v>3983</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4014</v>
      </c>
      <c r="B30" s="4155"/>
      <c r="C30" s="4155"/>
      <c r="D30" s="4155"/>
      <c r="E30" s="4155"/>
      <c r="F30" s="4155"/>
      <c r="G30" s="4155"/>
      <c r="H30" s="4155"/>
      <c r="I30" s="4155"/>
      <c r="J30" s="4155"/>
      <c r="K30" s="4156"/>
    </row>
    <row r="31" spans="1:13">
      <c r="B31" s="4157" t="s">
        <v>6171</v>
      </c>
      <c r="C31" s="4157"/>
      <c r="D31" s="4157"/>
      <c r="E31" s="4157"/>
      <c r="F31" s="4157"/>
      <c r="G31" s="4158" t="s">
        <v>3985</v>
      </c>
      <c r="H31" s="4159"/>
      <c r="I31" s="4159"/>
      <c r="J31" s="4159"/>
      <c r="K31" s="4160"/>
    </row>
    <row r="32" spans="1:13" ht="56.25" customHeight="1">
      <c r="A32" s="1351"/>
      <c r="B32" s="1369" t="s">
        <v>4013</v>
      </c>
      <c r="C32" s="1370" t="s">
        <v>4009</v>
      </c>
      <c r="D32" s="1370" t="s">
        <v>4008</v>
      </c>
      <c r="E32" s="4161" t="s">
        <v>6099</v>
      </c>
      <c r="F32" s="4162"/>
      <c r="G32" s="1371" t="s">
        <v>3986</v>
      </c>
      <c r="H32" s="1371" t="s">
        <v>3987</v>
      </c>
      <c r="J32" s="1371" t="s">
        <v>3988</v>
      </c>
      <c r="K32" s="1371" t="s">
        <v>3989</v>
      </c>
      <c r="L32" s="4163" t="s">
        <v>3990</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3991</v>
      </c>
      <c r="H52" s="1372" t="e">
        <f>SUM(H33:H51)</f>
        <v>#VALUE!</v>
      </c>
      <c r="I52" s="1356"/>
      <c r="J52" s="1362" t="s">
        <v>3992</v>
      </c>
      <c r="K52" s="1358" t="e">
        <f>SUM(K33:K51)</f>
        <v>#VALUE!</v>
      </c>
      <c r="L52" s="4163"/>
      <c r="M52" s="4163"/>
    </row>
    <row r="53" spans="1:13" ht="15" customHeight="1">
      <c r="B53" s="1363"/>
      <c r="C53" s="4149" t="s">
        <v>3993</v>
      </c>
      <c r="D53" s="4149"/>
      <c r="E53" s="4149"/>
      <c r="F53" s="4149"/>
      <c r="G53" s="4149"/>
      <c r="H53" s="4149"/>
      <c r="I53" s="4149"/>
      <c r="J53" s="4150"/>
      <c r="K53" s="1364" t="str">
        <f>IF(J17="no",0,IF(J17="yes",J16,"Error"))</f>
        <v>Error</v>
      </c>
      <c r="L53" s="4163"/>
      <c r="M53" s="4163"/>
    </row>
    <row r="54" spans="1:13" ht="15" customHeight="1" thickBot="1">
      <c r="B54" s="1363"/>
      <c r="C54" s="4151" t="s">
        <v>3994</v>
      </c>
      <c r="D54" s="4151"/>
      <c r="E54" s="4151"/>
      <c r="F54" s="4151"/>
      <c r="G54" s="4151"/>
      <c r="H54" s="4151"/>
      <c r="I54" s="4151"/>
      <c r="J54" s="4152"/>
      <c r="K54" s="1375" t="e">
        <f>K52+K53</f>
        <v>#VALUE!</v>
      </c>
    </row>
    <row r="55" spans="1:13" ht="8.1" customHeight="1">
      <c r="A55" s="4153"/>
      <c r="B55" s="4123"/>
      <c r="C55" s="4123"/>
      <c r="D55" s="4123"/>
      <c r="E55" s="4123"/>
      <c r="F55" s="4123"/>
      <c r="G55" s="4123"/>
      <c r="H55" s="4123"/>
      <c r="I55" s="4123"/>
      <c r="J55" s="4123"/>
      <c r="K55" s="1386"/>
    </row>
    <row r="56" spans="1:13" ht="15" customHeight="1">
      <c r="A56" s="4124" t="s">
        <v>3995</v>
      </c>
      <c r="B56" s="4125"/>
      <c r="C56" s="4125"/>
      <c r="D56" s="4125"/>
      <c r="E56" s="4125"/>
      <c r="F56" s="4125"/>
      <c r="G56" s="4125"/>
      <c r="H56" s="4125"/>
      <c r="I56" s="4125"/>
      <c r="J56" s="4125"/>
      <c r="K56" s="4126"/>
    </row>
    <row r="57" spans="1:13" ht="48" customHeight="1">
      <c r="A57" s="1348"/>
      <c r="B57" s="1339"/>
      <c r="C57" s="1350" t="s">
        <v>3996</v>
      </c>
      <c r="D57" s="1483" t="s">
        <v>6064</v>
      </c>
      <c r="E57" s="4136" t="s">
        <v>4012</v>
      </c>
      <c r="F57" s="4137"/>
      <c r="G57" s="4138" t="s">
        <v>3997</v>
      </c>
      <c r="H57" s="4139"/>
      <c r="I57" s="4136" t="s">
        <v>4011</v>
      </c>
      <c r="J57" s="4137"/>
      <c r="K57" s="4140"/>
    </row>
    <row r="58" spans="1:13" ht="15" customHeight="1">
      <c r="A58" s="1465"/>
      <c r="B58" s="1381"/>
      <c r="C58" s="1359">
        <f>SUMIF(C33:C51, "0", H33:H51)</f>
        <v>0</v>
      </c>
      <c r="D58" s="1484">
        <f t="shared" ref="D58:D63" si="4">ROUNDUP(C58*1.1,0)</f>
        <v>0</v>
      </c>
      <c r="E58" s="4142" t="s">
        <v>3998</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3999</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4000</v>
      </c>
      <c r="F63" s="4134"/>
      <c r="G63" s="4130">
        <f>'DCA Underwriting Assumptions'!H133</f>
        <v>316236</v>
      </c>
      <c r="H63" s="4131"/>
      <c r="I63" s="4135">
        <f t="shared" si="5"/>
        <v>0</v>
      </c>
      <c r="J63" s="4135"/>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27" t="s">
        <v>4007</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44140625" defaultRowHeight="13.2"/>
  <cols>
    <col min="1" max="1" width="5.44140625" style="28" customWidth="1"/>
    <col min="2" max="2" width="2.5546875" style="28" customWidth="1"/>
    <col min="3" max="3" width="2.44140625" style="28" customWidth="1"/>
    <col min="4" max="10" width="8.5546875" style="28" customWidth="1"/>
    <col min="11" max="11" width="7.5546875" style="28" customWidth="1"/>
    <col min="12" max="15" width="9.44140625" style="28" customWidth="1"/>
    <col min="16" max="16" width="8.5546875" style="28" customWidth="1"/>
    <col min="17" max="17" width="9.44140625" style="28" customWidth="1"/>
    <col min="18" max="16384" width="9.44140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Cusseta Crossing, Columbus, Muscogee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6531</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6530</v>
      </c>
      <c r="M5" s="1807" t="str">
        <f>'Part I-Project Identification'!$F$12</f>
        <v>9% Credit Competitive Round only</v>
      </c>
      <c r="N5" s="1808"/>
      <c r="O5" s="1809"/>
      <c r="P5" s="4322"/>
      <c r="Q5" s="4368"/>
      <c r="R5" s="1604"/>
      <c r="S5" s="1604"/>
    </row>
    <row r="6" spans="1:19" ht="17.25" customHeight="1">
      <c r="A6" s="96" t="s">
        <v>6529</v>
      </c>
      <c r="I6" s="490"/>
      <c r="J6" s="490"/>
      <c r="K6" s="4317" t="s">
        <v>3281</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199"/>
      <c r="Q27" s="420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6641</v>
      </c>
      <c r="C35" s="4"/>
      <c r="D35" s="4"/>
      <c r="E35" s="887"/>
      <c r="F35" s="887"/>
      <c r="H35" s="887"/>
      <c r="J35" s="3040" t="s">
        <v>6465</v>
      </c>
      <c r="K35" s="3041"/>
      <c r="L35" s="3042"/>
      <c r="M35" s="147" t="s">
        <v>1647</v>
      </c>
      <c r="N35" s="4190"/>
      <c r="O35" s="4191"/>
      <c r="P35" s="4191"/>
      <c r="Q35" s="4192"/>
    </row>
    <row r="36" spans="1:31" ht="12.75" customHeight="1">
      <c r="A36" s="2"/>
      <c r="B36" s="108" t="s">
        <v>6640</v>
      </c>
      <c r="C36" s="4"/>
      <c r="D36" s="4"/>
      <c r="E36" s="887"/>
      <c r="F36" s="887"/>
      <c r="G36" s="1664"/>
      <c r="H36" s="887"/>
      <c r="J36" s="3040" t="s">
        <v>6466</v>
      </c>
      <c r="K36" s="3041"/>
      <c r="L36" s="3042"/>
      <c r="M36" s="147" t="s">
        <v>1647</v>
      </c>
      <c r="N36" s="4190"/>
      <c r="O36" s="4191"/>
      <c r="P36" s="4191"/>
      <c r="Q36" s="419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199"/>
      <c r="Q40" s="4200"/>
    </row>
    <row r="41" spans="1:31" ht="1.5" customHeight="1"/>
    <row r="42" spans="1:31" ht="12" customHeight="1">
      <c r="A42" s="110" t="s">
        <v>1841</v>
      </c>
      <c r="B42" s="4193" t="s">
        <v>3784</v>
      </c>
      <c r="C42" s="4193"/>
      <c r="D42" s="4193"/>
      <c r="E42" s="4193"/>
      <c r="F42" s="4193"/>
      <c r="G42" s="4193"/>
      <c r="H42" s="4193"/>
      <c r="I42" s="4193"/>
      <c r="J42" s="4193"/>
      <c r="K42" s="115"/>
      <c r="L42" s="347" t="s">
        <v>2580</v>
      </c>
      <c r="M42" s="1203">
        <v>2</v>
      </c>
      <c r="N42" s="108" t="s">
        <v>4021</v>
      </c>
      <c r="P42" s="4345"/>
      <c r="Q42" s="4355"/>
    </row>
    <row r="43" spans="1:31" ht="12" customHeight="1">
      <c r="A43" s="110"/>
      <c r="B43" s="4193"/>
      <c r="C43" s="4193"/>
      <c r="D43" s="4193"/>
      <c r="E43" s="4193"/>
      <c r="F43" s="4193"/>
      <c r="G43" s="4193"/>
      <c r="H43" s="4193"/>
      <c r="I43" s="4193"/>
      <c r="J43" s="4193"/>
      <c r="K43" s="115"/>
      <c r="L43" s="347" t="s">
        <v>3788</v>
      </c>
      <c r="M43" s="1204">
        <v>4</v>
      </c>
      <c r="O43" s="111"/>
      <c r="P43" s="4346"/>
      <c r="Q43" s="4356"/>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6"/>
      <c r="M50" s="4217"/>
      <c r="N50" s="4217"/>
      <c r="O50" s="4217"/>
      <c r="P50" s="4217"/>
      <c r="Q50" s="4295"/>
    </row>
    <row r="51" spans="1:31" ht="12.75" customHeight="1">
      <c r="A51" s="112"/>
      <c r="B51" s="372" t="s">
        <v>1448</v>
      </c>
      <c r="C51" s="4193" t="s">
        <v>3794</v>
      </c>
      <c r="D51" s="4193"/>
      <c r="E51" s="4193"/>
      <c r="F51" s="4193"/>
      <c r="G51" s="4193"/>
      <c r="H51" s="4193"/>
      <c r="I51" s="4193"/>
      <c r="J51" s="4193"/>
      <c r="K51" s="4193"/>
      <c r="L51" s="4193"/>
      <c r="M51" s="413"/>
      <c r="N51" s="108" t="s">
        <v>4026</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3946</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3949</v>
      </c>
      <c r="D84" s="4193"/>
      <c r="E84" s="4193"/>
      <c r="F84" s="4193"/>
      <c r="G84" s="4193"/>
      <c r="H84" s="4193"/>
      <c r="I84" s="4193"/>
      <c r="J84" s="4193"/>
      <c r="K84" s="4193"/>
      <c r="L84" s="4193"/>
      <c r="M84" s="4193"/>
      <c r="N84" s="4193"/>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6532</v>
      </c>
      <c r="O92" s="101" t="s">
        <v>1731</v>
      </c>
      <c r="P92" s="4199"/>
      <c r="Q92" s="4200"/>
      <c r="R92" s="860" t="s">
        <v>6519</v>
      </c>
    </row>
    <row r="93" spans="1:31" ht="6.6" customHeight="1"/>
    <row r="94" spans="1:31">
      <c r="A94" s="40" t="s">
        <v>1841</v>
      </c>
      <c r="B94" s="29" t="s">
        <v>6186</v>
      </c>
      <c r="D94" s="103"/>
      <c r="E94" s="103"/>
      <c r="F94" s="103"/>
      <c r="G94" s="103"/>
      <c r="H94" s="103"/>
      <c r="I94" s="35"/>
      <c r="J94" s="35"/>
      <c r="K94" s="48" t="s">
        <v>1841</v>
      </c>
      <c r="L94" s="4238"/>
      <c r="M94" s="4238"/>
      <c r="N94" s="4238"/>
      <c r="O94" s="4238"/>
      <c r="P94" s="4239"/>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199"/>
      <c r="Q130" s="4200"/>
      <c r="R130" s="860" t="s">
        <v>6519</v>
      </c>
    </row>
    <row r="131" spans="1:31" ht="12" customHeight="1">
      <c r="A131" s="40" t="s">
        <v>1841</v>
      </c>
      <c r="B131" s="113" t="s">
        <v>1614</v>
      </c>
      <c r="C131" s="29" t="s">
        <v>6534</v>
      </c>
      <c r="D131" s="29"/>
      <c r="E131" s="29"/>
      <c r="F131" s="29"/>
      <c r="G131" s="29"/>
      <c r="K131" s="29" t="s">
        <v>2460</v>
      </c>
      <c r="M131" s="4302"/>
      <c r="N131" s="4303"/>
      <c r="O131" s="49" t="s">
        <v>1614</v>
      </c>
      <c r="P131" s="74"/>
      <c r="Q131" s="417"/>
    </row>
    <row r="132" spans="1:31" ht="12" customHeight="1">
      <c r="A132" s="40"/>
      <c r="B132" s="113" t="s">
        <v>1615</v>
      </c>
      <c r="C132" s="29" t="s">
        <v>4055</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6192</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8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8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3233</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3799</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3234</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3832</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8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8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6532</v>
      </c>
      <c r="O151" s="101" t="s">
        <v>1731</v>
      </c>
      <c r="P151" s="4199"/>
      <c r="Q151" s="4200"/>
      <c r="R151" s="860" t="s">
        <v>6519</v>
      </c>
    </row>
    <row r="152" spans="1:44" customFormat="1" ht="11.8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3235</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3306</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8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8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199"/>
      <c r="Q169" s="4200"/>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3240</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199"/>
      <c r="Q177" s="4200"/>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6193</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48</v>
      </c>
      <c r="P197" s="4227" t="s">
        <v>3855</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3401</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6" t="s">
        <v>950</v>
      </c>
      <c r="D202" s="4287"/>
      <c r="E202" s="4287"/>
      <c r="F202" s="4287"/>
      <c r="G202" s="4288"/>
      <c r="H202" s="48" t="s">
        <v>3865</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6744</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199"/>
      <c r="Q217" s="4200"/>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6115</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8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6195</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6206</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6207</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3245</v>
      </c>
      <c r="C246" s="4223"/>
      <c r="D246" s="4223"/>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6502</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4030</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8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8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4056</v>
      </c>
      <c r="D260" s="4193"/>
      <c r="E260" s="4193"/>
      <c r="F260" s="4193"/>
      <c r="G260" s="4193"/>
      <c r="H260" s="4193"/>
      <c r="I260" s="4193"/>
      <c r="J260" s="4193"/>
      <c r="K260" s="4193"/>
      <c r="L260" s="4193"/>
      <c r="M260" s="4193"/>
      <c r="N260" s="4193"/>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8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6120</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8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8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3847</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3337</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8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8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8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8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6656</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6657</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6201</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6204</v>
      </c>
      <c r="E288" s="4193"/>
      <c r="F288" s="4193"/>
      <c r="G288" s="4193"/>
      <c r="H288" s="4193"/>
      <c r="I288" s="108"/>
      <c r="J288" s="4201" t="s">
        <v>3266</v>
      </c>
      <c r="K288" s="4227"/>
      <c r="L288" s="4227"/>
      <c r="M288" s="4331" t="s">
        <v>3247</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3387</v>
      </c>
      <c r="K290" s="1595"/>
      <c r="L290" s="795" t="str">
        <f>IF(K290&lt;M290,"Check!!!","")</f>
        <v>Check!!!</v>
      </c>
      <c r="M290" s="1597">
        <f>ROUNDUP('Part V-Revenues &amp; Expenses'!$P$67*'Part VII-Threshold Criteria OLD'!N290,0)</f>
        <v>3</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6205</v>
      </c>
      <c r="E291" s="4193"/>
      <c r="F291" s="4193"/>
      <c r="G291" s="4193"/>
      <c r="H291" s="4193"/>
      <c r="I291" s="370" t="s">
        <v>3388</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6741</v>
      </c>
      <c r="D293" s="4193"/>
      <c r="E293" s="4193"/>
      <c r="F293" s="4193"/>
      <c r="G293" s="4193"/>
      <c r="H293" s="4193"/>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6719</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6658</v>
      </c>
      <c r="D299" s="4193"/>
      <c r="E299" s="4193"/>
      <c r="F299" s="4193"/>
      <c r="G299" s="4193"/>
      <c r="H299" s="4193"/>
      <c r="I299" s="4193"/>
      <c r="J299" s="4193"/>
      <c r="K299" s="4193"/>
      <c r="L299" s="4193"/>
      <c r="M299" s="4193"/>
      <c r="N299" s="419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3833</v>
      </c>
      <c r="D300" s="4193"/>
      <c r="E300" s="4193"/>
      <c r="F300" s="4193"/>
      <c r="G300" s="4193"/>
      <c r="H300" s="4193"/>
      <c r="I300" s="4193"/>
      <c r="J300" s="4193"/>
      <c r="K300" s="4193"/>
      <c r="L300" s="4193"/>
      <c r="M300" s="4193"/>
      <c r="N300" s="419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3169</v>
      </c>
      <c r="D301" s="4193"/>
      <c r="E301" s="4193"/>
      <c r="F301" s="4193"/>
      <c r="G301" s="4193"/>
      <c r="H301" s="4193"/>
      <c r="I301" s="4193"/>
      <c r="J301" s="4193"/>
      <c r="K301" s="4193"/>
      <c r="L301" s="4193"/>
      <c r="M301" s="4193"/>
      <c r="N301" s="419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3170</v>
      </c>
      <c r="D302" s="4193"/>
      <c r="E302" s="4193"/>
      <c r="F302" s="4193"/>
      <c r="G302" s="4193"/>
      <c r="H302" s="4193"/>
      <c r="I302" s="4193"/>
      <c r="J302" s="4193"/>
      <c r="K302" s="4193"/>
      <c r="L302" s="4193"/>
      <c r="M302" s="4193"/>
      <c r="N302" s="419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8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85" customHeight="1">
      <c r="A310" s="40"/>
      <c r="B310" s="33" t="s">
        <v>3787</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8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6668</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19" t="s">
        <v>6122</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6123</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8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8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199"/>
      <c r="Q326" s="4200"/>
      <c r="R326" s="860" t="s">
        <v>6519</v>
      </c>
    </row>
    <row r="327" spans="1:256" ht="11.85" customHeight="1">
      <c r="A327" s="40" t="s">
        <v>1841</v>
      </c>
      <c r="B327" s="44" t="s">
        <v>6528</v>
      </c>
      <c r="O327" s="128" t="s">
        <v>1841</v>
      </c>
      <c r="P327" s="175"/>
      <c r="Q327" s="419"/>
    </row>
    <row r="328" spans="1:256" ht="11.85" customHeight="1">
      <c r="A328" s="110" t="s">
        <v>1843</v>
      </c>
      <c r="B328" s="44" t="s">
        <v>6535</v>
      </c>
      <c r="O328" s="128" t="s">
        <v>1843</v>
      </c>
      <c r="P328" s="1759"/>
      <c r="Q328" s="687"/>
    </row>
    <row r="329" spans="1:256" ht="11.85" customHeight="1">
      <c r="A329" s="110" t="s">
        <v>698</v>
      </c>
      <c r="B329" s="44" t="s">
        <v>6536</v>
      </c>
      <c r="K329" s="231"/>
      <c r="M329" s="128" t="s">
        <v>698</v>
      </c>
      <c r="N329" s="4268" t="s">
        <v>1646</v>
      </c>
      <c r="O329" s="4269"/>
      <c r="P329" s="4270" t="s">
        <v>1646</v>
      </c>
      <c r="Q329" s="4271"/>
    </row>
    <row r="330" spans="1:256" ht="11.85" customHeight="1">
      <c r="A330" s="40" t="s">
        <v>1962</v>
      </c>
      <c r="B330" s="44" t="s">
        <v>6537</v>
      </c>
      <c r="O330" s="48" t="s">
        <v>1962</v>
      </c>
      <c r="P330" s="1400"/>
      <c r="Q330" s="1399"/>
    </row>
    <row r="331" spans="1:256" ht="11.85" customHeight="1">
      <c r="A331" s="110" t="s">
        <v>1612</v>
      </c>
      <c r="B331" s="44" t="s">
        <v>6538</v>
      </c>
      <c r="N331" s="128" t="s">
        <v>1612</v>
      </c>
      <c r="O331" s="4262" t="s">
        <v>2559</v>
      </c>
      <c r="P331" s="4263"/>
      <c r="Q331" s="4264"/>
    </row>
    <row r="332" spans="1:256" ht="11.85" customHeight="1">
      <c r="A332" s="110" t="s">
        <v>1613</v>
      </c>
      <c r="B332" s="67" t="s">
        <v>2170</v>
      </c>
      <c r="N332" s="128" t="s">
        <v>1613</v>
      </c>
      <c r="O332" s="4328" t="s">
        <v>2559</v>
      </c>
      <c r="P332" s="4329"/>
      <c r="Q332" s="433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3" t="s">
        <v>6686</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48</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6687</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48</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6688</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48</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3359</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3360</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3351</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3352</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3354</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3" t="s">
        <v>3356</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3357</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8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3202</v>
      </c>
      <c r="G374" s="889"/>
      <c r="H374" s="889"/>
      <c r="I374" s="889"/>
      <c r="J374" s="33" t="s">
        <v>3203</v>
      </c>
      <c r="L374" s="889"/>
      <c r="M374" s="4260">
        <f>'Part II-Sources of Funds'!I6</f>
        <v>0</v>
      </c>
      <c r="N374" s="426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8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8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8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8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3"/>
      <c r="Q391" s="4214"/>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3"/>
      <c r="Q395" s="4291"/>
    </row>
    <row r="396" spans="1:31" ht="12" customHeight="1">
      <c r="A396" s="40"/>
      <c r="D396" s="29" t="s">
        <v>6501</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6151</v>
      </c>
      <c r="D400" s="4193"/>
      <c r="E400" s="4193"/>
      <c r="F400" s="4193"/>
      <c r="G400" s="29" t="s">
        <v>3943</v>
      </c>
      <c r="J400" s="718"/>
      <c r="K400" s="426"/>
      <c r="M400" s="29" t="s">
        <v>6225</v>
      </c>
      <c r="P400" s="1760"/>
      <c r="Q400" s="1761"/>
    </row>
    <row r="401" spans="1:44" ht="12" customHeight="1">
      <c r="A401" s="40"/>
      <c r="C401" s="4193"/>
      <c r="D401" s="4193"/>
      <c r="E401" s="4193"/>
      <c r="F401" s="4193"/>
      <c r="G401" s="29" t="s">
        <v>6224</v>
      </c>
      <c r="J401" s="719"/>
      <c r="K401" s="427"/>
      <c r="M401" s="29" t="s">
        <v>6226</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6181</v>
      </c>
      <c r="J403" s="4201" t="s">
        <v>6182</v>
      </c>
      <c r="K403" s="4201" t="s">
        <v>6184</v>
      </c>
      <c r="L403" s="4201"/>
      <c r="M403" s="4201"/>
      <c r="N403" s="4240" t="s">
        <v>6183</v>
      </c>
      <c r="O403" s="48"/>
      <c r="P403" s="4364" t="s">
        <v>6698</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6295</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6296</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198" t="s">
        <v>6229</v>
      </c>
      <c r="E416" s="352" t="s">
        <v>2263</v>
      </c>
      <c r="F416" s="44" t="s">
        <v>3288</v>
      </c>
      <c r="G416" s="4194"/>
      <c r="H416" s="4195"/>
      <c r="I416" s="4195"/>
      <c r="J416" s="4195"/>
      <c r="K416" s="4196"/>
      <c r="L416" s="352"/>
    </row>
    <row r="417" spans="1:31" ht="12" customHeight="1">
      <c r="B417" s="115"/>
      <c r="D417" s="4198"/>
      <c r="E417" s="352" t="s">
        <v>3940</v>
      </c>
      <c r="F417" s="44" t="s">
        <v>3941</v>
      </c>
      <c r="G417" s="4251" t="s">
        <v>3205</v>
      </c>
      <c r="H417" s="4252"/>
      <c r="I417" s="4253"/>
      <c r="J417" s="44" t="s">
        <v>3802</v>
      </c>
      <c r="K417" s="115"/>
      <c r="M417" s="4194"/>
      <c r="N417" s="4195"/>
      <c r="O417" s="4195"/>
      <c r="P417" s="4195"/>
      <c r="Q417" s="419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85" customHeight="1">
      <c r="B419" s="4244"/>
      <c r="C419" s="4245"/>
      <c r="D419" s="4245"/>
      <c r="E419" s="4245"/>
      <c r="F419" s="4245"/>
      <c r="G419" s="4245"/>
      <c r="H419" s="4245"/>
      <c r="I419" s="4245"/>
      <c r="J419" s="4245"/>
      <c r="K419" s="4245"/>
      <c r="L419" s="4245"/>
      <c r="M419" s="4245"/>
      <c r="N419" s="4245"/>
      <c r="O419" s="4245"/>
      <c r="P419" s="4245"/>
      <c r="Q419" s="424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4034</v>
      </c>
      <c r="C421" s="4193"/>
      <c r="D421" s="4193"/>
      <c r="E421" s="4193"/>
      <c r="F421" s="4193"/>
      <c r="G421" s="4193"/>
      <c r="H421" s="4193"/>
      <c r="I421" s="4193"/>
      <c r="J421" s="4193"/>
      <c r="K421" s="4193"/>
      <c r="L421" s="4193"/>
      <c r="M421" s="4193"/>
      <c r="N421" s="4193"/>
    </row>
    <row r="422" spans="1:31" s="115" customFormat="1" ht="45" customHeight="1">
      <c r="B422" s="4193" t="s">
        <v>6543</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3240</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199"/>
      <c r="Q428" s="4200"/>
    </row>
    <row r="429" spans="1:31" ht="14.1" customHeight="1">
      <c r="B429" s="66" t="s">
        <v>3897</v>
      </c>
      <c r="C429" s="4"/>
      <c r="D429" s="66"/>
      <c r="E429" s="887"/>
      <c r="F429" s="887"/>
      <c r="G429" s="887"/>
      <c r="H429" s="887"/>
    </row>
    <row r="430" spans="1:31" s="102" customFormat="1" ht="21.75" customHeight="1">
      <c r="A430" s="110" t="s">
        <v>1841</v>
      </c>
      <c r="B430" s="4193" t="s">
        <v>3312</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3311</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3867</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3869</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3870</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3313</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3918</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3919</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3952</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85" customHeight="1">
      <c r="A2" s="4397" t="s">
        <v>6524</v>
      </c>
      <c r="B2" s="4397"/>
      <c r="C2" s="147"/>
      <c r="D2" s="795">
        <v>2021</v>
      </c>
      <c r="E2" s="144"/>
      <c r="F2" s="4391" t="s">
        <v>2999</v>
      </c>
      <c r="G2" s="4392"/>
      <c r="H2" s="4392"/>
      <c r="I2" s="4392"/>
      <c r="J2" s="4393"/>
      <c r="K2" s="234"/>
      <c r="L2" s="443" t="s">
        <v>3142</v>
      </c>
      <c r="M2" s="234"/>
      <c r="N2" s="4391" t="s">
        <v>2999</v>
      </c>
      <c r="O2" s="4392"/>
      <c r="P2" s="4392"/>
      <c r="Q2" s="4392"/>
      <c r="R2" s="4393"/>
      <c r="S2" s="241"/>
      <c r="T2" s="144"/>
      <c r="U2" s="144"/>
      <c r="V2" s="322"/>
      <c r="W2" s="322"/>
      <c r="X2" s="322"/>
      <c r="AA2" s="68"/>
      <c r="AB2" s="68"/>
    </row>
    <row r="3" spans="1:28" s="145" customFormat="1" ht="11.8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8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8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8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8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8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8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8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8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8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8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8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8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8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8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8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8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8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8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8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8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8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8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8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8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8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8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8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8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8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8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8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8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8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8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8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8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3165</v>
      </c>
      <c r="L45" s="4423"/>
      <c r="M45" s="4423"/>
      <c r="N45" s="4424"/>
    </row>
    <row r="46" spans="1:295" s="28" customFormat="1" ht="11.25" customHeight="1">
      <c r="A46" s="4407"/>
      <c r="B46" s="4407"/>
      <c r="C46" s="4407"/>
      <c r="D46" s="4407"/>
      <c r="E46" s="4407"/>
      <c r="F46" s="1245"/>
      <c r="G46" s="4425" t="s">
        <v>333</v>
      </c>
      <c r="H46" s="4426"/>
      <c r="I46" s="66"/>
      <c r="J46" s="35"/>
      <c r="K46" s="4400" t="s">
        <v>3166</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3936</v>
      </c>
      <c r="Q47" s="4405"/>
    </row>
    <row r="48" spans="1:295" s="62" customFormat="1" ht="10.5" customHeight="1">
      <c r="D48" s="491" t="s">
        <v>2464</v>
      </c>
      <c r="E48" s="28"/>
      <c r="F48" s="492" t="s">
        <v>3067</v>
      </c>
      <c r="G48" s="4395" t="s">
        <v>3893</v>
      </c>
      <c r="H48" s="4395"/>
      <c r="I48" s="4395"/>
      <c r="J48" s="28"/>
      <c r="K48" s="492" t="s">
        <v>3067</v>
      </c>
      <c r="L48" s="4395" t="s">
        <v>3892</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12" t="str">
        <f>IF('Part I-Project Identification'!$F$26="","",VLOOKUP('Part I-Project Identification'!$J$26,'DCA Underwriting Assumptions'!$G$141:$N$300,8,FALSE))</f>
        <v>Columbus</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364" t="s">
        <v>3937</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03">
        <f>'Part III-A-Uses of Funds'!$G$146</f>
        <v>15472006</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3928</v>
      </c>
      <c r="Q54" s="4364"/>
      <c r="R54" s="4394" t="s">
        <v>6300</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14997894</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16"/>
      <c r="Q58" s="4417"/>
      <c r="R58" s="328"/>
      <c r="S58" s="4377" t="s">
        <v>3931</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398" t="s">
        <v>3161</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398" t="s">
        <v>3162</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units = </v>
      </c>
      <c r="I65" s="1244" t="str">
        <f>IF(F65="","",F65*G65)</f>
        <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30</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30 units = </v>
      </c>
      <c r="I71" s="1244">
        <f>IF(F71="","",F71*G71)</f>
        <v>5377377</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9525636.3000000007</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18</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18 units = </v>
      </c>
      <c r="I72" s="1244">
        <f>IF(F72="","",F72*G72)</f>
        <v>4148259.3</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386" t="s">
        <v>3449</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48</v>
      </c>
      <c r="G75" s="493"/>
      <c r="H75" s="871"/>
      <c r="I75" s="874">
        <f>SUM(I70:I74)</f>
        <v>9525636.3000000007</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48</v>
      </c>
      <c r="G77" s="258"/>
      <c r="H77" s="4396">
        <f>I54+I61+I68+I75</f>
        <v>9525636.3000000007</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4140625" defaultRowHeight="13.2"/>
  <cols>
    <col min="1" max="1" width="6" customWidth="1"/>
    <col min="2" max="2" width="3.44140625" customWidth="1"/>
    <col min="3" max="3" width="10.5546875" customWidth="1"/>
    <col min="4" max="4" width="10.44140625" customWidth="1"/>
    <col min="5" max="5" width="6.44140625" customWidth="1"/>
    <col min="6" max="6" width="9.44140625" customWidth="1"/>
    <col min="7" max="9" width="11.5546875" customWidth="1"/>
    <col min="10" max="10" width="9.44140625" customWidth="1"/>
    <col min="11" max="11" width="11.5546875" customWidth="1"/>
    <col min="12" max="12" width="14.5546875" customWidth="1"/>
    <col min="13" max="13" width="6.5546875" customWidth="1"/>
    <col min="14" max="14" width="2.5546875" style="56" customWidth="1"/>
    <col min="15" max="16" width="6.5546875" style="24" customWidth="1"/>
    <col min="17" max="17" width="6" customWidth="1"/>
    <col min="18" max="21" width="9.44140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Cusseta Crossing, Columbus, Muscogee County</v>
      </c>
      <c r="B1" s="3324"/>
      <c r="C1" s="3324"/>
      <c r="D1" s="3324"/>
      <c r="E1" s="3324"/>
      <c r="F1" s="3324"/>
      <c r="G1" s="3324"/>
      <c r="H1" s="3324"/>
      <c r="I1" s="3324"/>
      <c r="J1" s="3324"/>
      <c r="K1" s="3324"/>
      <c r="L1" s="3324"/>
      <c r="M1" s="3324"/>
      <c r="N1" s="3324"/>
      <c r="O1" s="3324"/>
      <c r="P1" s="3325"/>
      <c r="Q1" s="4428" t="s">
        <v>6645</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6659</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1" t="s">
        <v>6496</v>
      </c>
      <c r="G12" s="4571"/>
      <c r="H12" s="4571"/>
      <c r="I12" s="4571"/>
      <c r="J12" s="4571"/>
      <c r="K12" s="4571"/>
      <c r="L12" s="4571"/>
      <c r="M12" s="4571"/>
      <c r="N12" s="4571"/>
      <c r="O12" s="1201" t="s">
        <v>3810</v>
      </c>
      <c r="P12" s="1202">
        <f>SUM(P13:P31)</f>
        <v>0</v>
      </c>
      <c r="Q12" s="4427" t="s">
        <v>6545</v>
      </c>
      <c r="R12" s="4427"/>
      <c r="S12" s="4427"/>
      <c r="T12" s="4427"/>
      <c r="U12" s="4427"/>
      <c r="V12" s="1179"/>
    </row>
    <row r="13" spans="1:25" s="35" customFormat="1" ht="10.5" customHeight="1">
      <c r="A13" s="924" t="s">
        <v>1668</v>
      </c>
      <c r="B13" s="921" t="s">
        <v>3394</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4038</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3339</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3395</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3396</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4039</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4041</v>
      </c>
      <c r="B19" s="751" t="s">
        <v>3262</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4053</v>
      </c>
      <c r="B20" s="751" t="s">
        <v>4042</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6243</v>
      </c>
      <c r="B21" s="931" t="s">
        <v>4043</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6637</v>
      </c>
      <c r="B22" s="751" t="s">
        <v>6549</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6639</v>
      </c>
      <c r="B23" s="751" t="s">
        <v>6638</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3369</v>
      </c>
      <c r="B24" s="1887" t="s">
        <v>6555</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3373</v>
      </c>
      <c r="B25" s="751" t="s">
        <v>3397</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3376</v>
      </c>
      <c r="B26" s="751" t="s">
        <v>3398</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3377</v>
      </c>
      <c r="B27" s="751" t="s">
        <v>3399</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3803</v>
      </c>
      <c r="B30" s="751" t="s">
        <v>6553</v>
      </c>
      <c r="C30" s="866"/>
      <c r="D30" s="925"/>
      <c r="E30" s="1196">
        <f>$O$428</f>
        <v>0</v>
      </c>
      <c r="F30" s="4447">
        <f>$A$430</f>
        <v>0</v>
      </c>
      <c r="G30" s="4448"/>
      <c r="H30" s="4448"/>
      <c r="I30" s="4448"/>
      <c r="J30" s="4448"/>
      <c r="K30" s="4448"/>
      <c r="L30" s="4448"/>
      <c r="M30" s="4448"/>
      <c r="N30" s="4448"/>
      <c r="O30" s="4449"/>
      <c r="P30" s="1209"/>
      <c r="Q30" s="1964"/>
      <c r="R30" s="1628"/>
      <c r="S30" s="1628"/>
      <c r="AA30" s="3591" t="s">
        <v>6563</v>
      </c>
      <c r="AB30" s="3591"/>
      <c r="AC30" s="3591"/>
      <c r="AD30" s="3591"/>
      <c r="AE30" s="3591"/>
      <c r="AF30" s="3591"/>
    </row>
    <row r="31" spans="1:35" s="35" customFormat="1" ht="10.5" customHeight="1">
      <c r="A31" s="926" t="s">
        <v>6556</v>
      </c>
      <c r="B31" s="927" t="s">
        <v>6554</v>
      </c>
      <c r="C31" s="928"/>
      <c r="D31" s="929"/>
      <c r="E31" s="1624">
        <f>$O$434</f>
        <v>0</v>
      </c>
      <c r="F31" s="4462">
        <f>$A$438</f>
        <v>0</v>
      </c>
      <c r="G31" s="4463"/>
      <c r="H31" s="4463"/>
      <c r="I31" s="4463"/>
      <c r="J31" s="4463"/>
      <c r="K31" s="4463"/>
      <c r="L31" s="4463"/>
      <c r="M31" s="4463"/>
      <c r="N31" s="4463"/>
      <c r="O31" s="4464"/>
      <c r="P31" s="1210"/>
      <c r="Q31" s="1964"/>
      <c r="R31" s="1628"/>
      <c r="S31" s="1628"/>
      <c r="X31" s="3591" t="s">
        <v>6564</v>
      </c>
      <c r="Y31" s="3591"/>
      <c r="Z31" s="3591"/>
      <c r="AA31" s="3591"/>
      <c r="AB31" s="3591"/>
      <c r="AC31" s="3591"/>
      <c r="AD31" s="3591" t="s">
        <v>6565</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14" t="s">
        <v>6125</v>
      </c>
      <c r="H33" s="4514"/>
      <c r="I33" s="4508" t="s">
        <v>6506</v>
      </c>
      <c r="J33" s="4509"/>
      <c r="K33" s="4509"/>
      <c r="L33" s="4510"/>
      <c r="M33" s="4575" t="s">
        <v>6138</v>
      </c>
      <c r="N33" s="4575"/>
      <c r="O33" s="4575"/>
      <c r="P33" s="4575"/>
      <c r="Q33" s="436"/>
      <c r="R33" s="436"/>
      <c r="S33" s="83" t="s">
        <v>6137</v>
      </c>
      <c r="T33" s="436"/>
      <c r="U33" s="436"/>
      <c r="V33" s="436"/>
      <c r="X33" s="4494" t="s">
        <v>6125</v>
      </c>
      <c r="Y33" s="4496"/>
      <c r="Z33" s="4494" t="s">
        <v>6506</v>
      </c>
      <c r="AA33" s="4495"/>
      <c r="AB33" s="4495"/>
      <c r="AC33" s="4496"/>
      <c r="AD33" s="4503" t="s">
        <v>6125</v>
      </c>
      <c r="AE33" s="4504"/>
      <c r="AF33" s="4505" t="s">
        <v>6506</v>
      </c>
      <c r="AG33" s="4503"/>
      <c r="AH33" s="4503"/>
      <c r="AI33" s="4504"/>
    </row>
    <row r="34" spans="1:46" s="115" customFormat="1" ht="11.25" customHeight="1">
      <c r="A34" s="44"/>
      <c r="B34" s="29"/>
      <c r="C34" s="44"/>
      <c r="D34" s="44"/>
      <c r="E34" s="44"/>
      <c r="F34" s="44"/>
      <c r="G34" s="1723">
        <v>0.09</v>
      </c>
      <c r="H34" s="1723">
        <v>0.04</v>
      </c>
      <c r="I34" s="1723">
        <v>0.04</v>
      </c>
      <c r="J34" s="1723" t="s">
        <v>6546</v>
      </c>
      <c r="K34" s="1723" t="s">
        <v>6547</v>
      </c>
      <c r="L34" s="1723" t="s">
        <v>6548</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6" t="s">
        <v>6562</v>
      </c>
      <c r="N40" s="4577"/>
      <c r="O40" s="4577"/>
      <c r="P40" s="457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6"/>
      <c r="N41" s="4577"/>
      <c r="O41" s="4577"/>
      <c r="P41" s="457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48</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f>'Part II-Sources of Funds'!$L$14</f>
        <v>0</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10" t="s">
        <v>6737</v>
      </c>
      <c r="N52" s="4711"/>
      <c r="O52" s="4711"/>
      <c r="P52" s="4711"/>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10"/>
      <c r="N53" s="4711"/>
      <c r="O53" s="4711"/>
      <c r="P53" s="471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2"/>
      <c r="N54" s="4713"/>
      <c r="O54" s="4713"/>
      <c r="P54" s="471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78" t="s">
        <v>6712</v>
      </c>
      <c r="N55" s="4579"/>
      <c r="O55" s="4579"/>
      <c r="P55" s="4580"/>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581"/>
      <c r="N56" s="4582"/>
      <c r="O56" s="4582"/>
      <c r="P56" s="4583"/>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576" t="s">
        <v>6140</v>
      </c>
      <c r="N58" s="4577"/>
      <c r="O58" s="4577"/>
      <c r="P58" s="4577"/>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08"/>
      <c r="N59" s="4709"/>
      <c r="O59" s="4709"/>
      <c r="P59" s="4709"/>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39" t="s">
        <v>6713</v>
      </c>
      <c r="N60" s="4440"/>
      <c r="O60" s="4440"/>
      <c r="P60" s="4441"/>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42"/>
      <c r="N61" s="4443"/>
      <c r="O61" s="4443"/>
      <c r="P61" s="4444"/>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1" t="s">
        <v>3895</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5" t="s">
        <v>6073</v>
      </c>
      <c r="B74" s="4405"/>
      <c r="C74" s="4405"/>
      <c r="D74" s="4405"/>
      <c r="E74" s="4405"/>
      <c r="F74" s="1176" t="s">
        <v>3391</v>
      </c>
      <c r="G74" s="4563" t="s">
        <v>6075</v>
      </c>
      <c r="H74" s="4563"/>
      <c r="I74" s="4563"/>
      <c r="J74" s="1176" t="s">
        <v>3391</v>
      </c>
      <c r="K74" s="4567" t="s">
        <v>6074</v>
      </c>
      <c r="L74" s="4567"/>
      <c r="M74" s="4567"/>
      <c r="N74" s="4567"/>
      <c r="O74" s="4561" t="s">
        <v>3391</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3809</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3145</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3146</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3147</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3148</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5" t="s">
        <v>3812</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57.916666666666664</v>
      </c>
      <c r="L94" s="4654"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54"/>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5" t="s">
        <v>3816</v>
      </c>
      <c r="I97" s="445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48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475" t="s">
        <v>4044</v>
      </c>
      <c r="J106" s="4476"/>
      <c r="K106" s="4476"/>
      <c r="L106" s="4477"/>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478"/>
      <c r="J107" s="4479"/>
      <c r="K107" s="4479"/>
      <c r="L107" s="4480"/>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8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7" t="s">
        <v>3216</v>
      </c>
      <c r="G123" s="4537"/>
      <c r="H123" s="4537"/>
      <c r="I123" s="4537"/>
      <c r="J123" s="4537" t="s">
        <v>3217</v>
      </c>
      <c r="K123" s="4537"/>
      <c r="L123" s="4537"/>
      <c r="M123" s="4537"/>
      <c r="N123" s="48"/>
      <c r="O123" s="4538" t="s">
        <v>3885</v>
      </c>
      <c r="P123" s="4539"/>
      <c r="Q123" s="86"/>
      <c r="R123" s="879"/>
      <c r="S123" s="879"/>
      <c r="T123" s="879"/>
      <c r="U123" s="879"/>
    </row>
    <row r="124" spans="1:21" s="36" customFormat="1" ht="12" customHeight="1">
      <c r="B124" s="1839"/>
      <c r="C124" s="1182" t="s">
        <v>6571</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6147</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6680</v>
      </c>
      <c r="B126" s="4668"/>
      <c r="C126" s="1182" t="s">
        <v>6570</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3366</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6" t="s">
        <v>6678</v>
      </c>
      <c r="D133" s="4536"/>
      <c r="E133" s="4536"/>
      <c r="F133" s="4536"/>
      <c r="G133" s="4536"/>
      <c r="H133" s="4536"/>
      <c r="I133" s="4536"/>
      <c r="J133" s="4536"/>
      <c r="K133" s="4536"/>
      <c r="L133" s="4536"/>
      <c r="M133" s="1848">
        <v>6</v>
      </c>
      <c r="N133" s="374" t="s">
        <v>1844</v>
      </c>
      <c r="O133" s="1910"/>
      <c r="P133" s="1911"/>
      <c r="Q133" s="1212"/>
      <c r="R133" s="795" t="s">
        <v>4059</v>
      </c>
    </row>
    <row r="134" spans="1:21" s="332" customFormat="1" ht="12" customHeight="1">
      <c r="A134" s="456" t="s">
        <v>1275</v>
      </c>
      <c r="B134" s="350" t="s">
        <v>1846</v>
      </c>
      <c r="C134" s="3576" t="s">
        <v>6679</v>
      </c>
      <c r="D134" s="3576"/>
      <c r="E134" s="3576"/>
      <c r="F134" s="3576"/>
      <c r="G134" s="866"/>
      <c r="J134" s="4540" t="s">
        <v>6675</v>
      </c>
      <c r="K134" s="4541"/>
      <c r="L134" s="4542"/>
      <c r="M134" s="458">
        <v>5</v>
      </c>
      <c r="N134" s="348" t="s">
        <v>1846</v>
      </c>
      <c r="O134" s="1923"/>
      <c r="P134" s="1924"/>
      <c r="Q134" s="1810" t="s">
        <v>6671</v>
      </c>
      <c r="R134" s="1176" t="s">
        <v>6264</v>
      </c>
      <c r="S134" s="1176" t="s">
        <v>6145</v>
      </c>
    </row>
    <row r="135" spans="1:21" s="332" customFormat="1" ht="12" customHeight="1">
      <c r="B135" s="350"/>
      <c r="C135" s="3576"/>
      <c r="D135" s="3576"/>
      <c r="E135" s="3576"/>
      <c r="F135" s="3576"/>
      <c r="G135" s="866"/>
      <c r="H135" s="3368" t="s">
        <v>6673</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3239</v>
      </c>
      <c r="C138" s="503"/>
      <c r="D138" s="503"/>
      <c r="F138" s="1902" t="s">
        <v>6670</v>
      </c>
      <c r="J138" s="4465" t="s">
        <v>3236</v>
      </c>
      <c r="K138" s="446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76" t="s">
        <v>6685</v>
      </c>
      <c r="D139" s="3576"/>
      <c r="E139" s="3576"/>
      <c r="F139" s="3576"/>
      <c r="G139" s="866"/>
      <c r="H139" s="3368" t="s">
        <v>6674</v>
      </c>
      <c r="I139" s="3368"/>
      <c r="J139" s="4467" t="s">
        <v>6690</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6566</v>
      </c>
      <c r="K140" s="4691"/>
      <c r="L140" s="4692"/>
      <c r="M140" s="70"/>
      <c r="O140" s="4704"/>
      <c r="P140" s="4707"/>
      <c r="Q140" s="86"/>
      <c r="R140" s="1550">
        <v>1</v>
      </c>
      <c r="S140" s="1550">
        <v>1</v>
      </c>
      <c r="U140" s="332"/>
    </row>
    <row r="141" spans="1:21" s="36" customFormat="1" ht="11.25" customHeight="1">
      <c r="A141" s="456" t="s">
        <v>1275</v>
      </c>
      <c r="B141" s="1632" t="s">
        <v>1846</v>
      </c>
      <c r="C141" s="3576" t="s">
        <v>6677</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6676</v>
      </c>
      <c r="D143" s="3576"/>
      <c r="E143" s="3576"/>
      <c r="F143" s="3576"/>
      <c r="G143" s="3576"/>
      <c r="H143" s="3576"/>
      <c r="I143" s="4702"/>
      <c r="J143" s="4690" t="s">
        <v>6567</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8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687" t="s">
        <v>6890</v>
      </c>
      <c r="K154" s="4688"/>
      <c r="L154" s="4688"/>
      <c r="M154" s="4689"/>
      <c r="N154"/>
      <c r="O154"/>
      <c r="P154"/>
    </row>
    <row r="155" spans="1:19" ht="12.75" customHeight="1">
      <c r="B155" s="430"/>
      <c r="C155" s="430"/>
      <c r="D155" s="430"/>
      <c r="F155" s="4201" t="s">
        <v>6628</v>
      </c>
      <c r="G155" s="4201"/>
      <c r="H155" s="4201" t="s">
        <v>6270</v>
      </c>
      <c r="I155" s="4201"/>
      <c r="J155" s="4675" t="s">
        <v>6629</v>
      </c>
      <c r="K155" s="4676"/>
      <c r="L155" s="4678" t="s">
        <v>6889</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6630</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3" t="s">
        <v>6681</v>
      </c>
      <c r="D173" s="4193"/>
      <c r="E173" s="4193"/>
      <c r="F173" s="4193"/>
      <c r="G173" s="4193"/>
      <c r="H173" s="4193"/>
      <c r="I173" s="4193"/>
      <c r="J173" s="4193"/>
      <c r="K173" s="4193"/>
      <c r="L173" s="128"/>
      <c r="M173" s="4659" t="s">
        <v>6091</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3287</v>
      </c>
      <c r="N174" s="4652"/>
      <c r="O174" s="4652"/>
      <c r="P174" s="4653"/>
      <c r="S174" s="1628"/>
      <c r="T174" s="1628"/>
      <c r="U174" s="1628"/>
    </row>
    <row r="175" spans="1:26" s="26" customFormat="1" ht="12.75" customHeight="1">
      <c r="B175" s="49" t="s">
        <v>2241</v>
      </c>
      <c r="C175" s="29" t="s">
        <v>3957</v>
      </c>
      <c r="D175" s="29"/>
      <c r="E175" s="29"/>
      <c r="F175" s="29"/>
      <c r="G175" s="29"/>
      <c r="H175" s="29"/>
      <c r="L175" s="49" t="s">
        <v>2241</v>
      </c>
      <c r="M175" s="4467" t="s">
        <v>3287</v>
      </c>
      <c r="N175" s="4468"/>
      <c r="O175" s="4468"/>
      <c r="P175" s="4469"/>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67" t="s">
        <v>3287</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06" t="s">
        <v>3287</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193" t="s">
        <v>6179</v>
      </c>
      <c r="D180" s="4193"/>
      <c r="E180" s="4193"/>
      <c r="F180" s="4193"/>
      <c r="G180" s="4193"/>
      <c r="H180" s="4193"/>
      <c r="I180" s="4193"/>
      <c r="J180" s="4193"/>
      <c r="K180" s="4193"/>
      <c r="L180" s="4193"/>
      <c r="M180" s="1848">
        <v>1</v>
      </c>
      <c r="N180" s="128" t="s">
        <v>4077</v>
      </c>
      <c r="O180" s="1636"/>
      <c r="P180" s="1640"/>
      <c r="Q180" s="1212" t="str">
        <f>IF(OR($O180=$M180,$O180=0,$O180=""),"","*CHECK!*")</f>
        <v/>
      </c>
      <c r="R180" s="795" t="s">
        <v>4059</v>
      </c>
    </row>
    <row r="181" spans="1:26" ht="36.75" customHeight="1">
      <c r="A181" s="396"/>
      <c r="B181" s="117" t="s">
        <v>2241</v>
      </c>
      <c r="C181" s="4193" t="s">
        <v>6180</v>
      </c>
      <c r="D181" s="4193"/>
      <c r="E181" s="4193"/>
      <c r="F181" s="4193"/>
      <c r="G181" s="4193"/>
      <c r="H181" s="4193"/>
      <c r="I181" s="4193"/>
      <c r="J181" s="4193"/>
      <c r="K181" s="4193"/>
      <c r="L181" s="4193"/>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8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85" customHeight="1">
      <c r="A193" s="107" t="s">
        <v>698</v>
      </c>
      <c r="B193" s="141" t="s">
        <v>6211</v>
      </c>
      <c r="D193" s="26"/>
      <c r="G193" s="370"/>
      <c r="N193"/>
      <c r="O193" s="31"/>
      <c r="P193" s="31"/>
      <c r="Q193" s="241"/>
    </row>
    <row r="194" spans="1:24" s="1323" customFormat="1" ht="12.75" customHeight="1">
      <c r="B194" s="350" t="s">
        <v>1844</v>
      </c>
      <c r="C194" s="4193" t="s">
        <v>6208</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6212</v>
      </c>
      <c r="D196" s="4193"/>
      <c r="E196" s="4193"/>
      <c r="F196" s="4193"/>
      <c r="G196" s="4193"/>
      <c r="H196" s="4193"/>
      <c r="I196" s="4193"/>
      <c r="J196" s="4193"/>
      <c r="K196" s="4193"/>
      <c r="L196" s="4193"/>
      <c r="M196" s="457"/>
      <c r="N196" s="317" t="s">
        <v>2332</v>
      </c>
      <c r="O196" s="896"/>
      <c r="P196" s="895"/>
      <c r="Q196" s="800"/>
      <c r="V196" s="942"/>
      <c r="W196" s="942"/>
    </row>
    <row r="197" spans="1:24" ht="11.85" customHeight="1">
      <c r="A197" s="107" t="s">
        <v>1962</v>
      </c>
      <c r="B197" s="141" t="s">
        <v>6210</v>
      </c>
      <c r="D197" s="26"/>
      <c r="G197" s="370"/>
      <c r="N197"/>
      <c r="O197" s="31"/>
      <c r="P197" s="31"/>
      <c r="Q197" s="241"/>
    </row>
    <row r="198" spans="1:24" s="1323" customFormat="1" ht="23.25" customHeight="1">
      <c r="B198" s="350" t="s">
        <v>1844</v>
      </c>
      <c r="C198" s="4193" t="s">
        <v>6213</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6254</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3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30" t="s">
        <v>3205</v>
      </c>
      <c r="K208" s="4631"/>
      <c r="L208" s="4632"/>
      <c r="M208" s="4633"/>
      <c r="N208" s="53"/>
      <c r="R208" s="86"/>
      <c r="S208" s="70"/>
    </row>
    <row r="209" spans="1:27" ht="12.75" customHeight="1">
      <c r="C209" s="685" t="s">
        <v>6256</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35" t="s">
        <v>6219</v>
      </c>
      <c r="F212" s="4435"/>
      <c r="G212" s="4435"/>
      <c r="H212" s="4435"/>
      <c r="I212" s="1203" t="s">
        <v>6246</v>
      </c>
      <c r="J212" s="4435" t="s">
        <v>6219</v>
      </c>
      <c r="K212" s="4435"/>
      <c r="L212" s="4435"/>
      <c r="M212" s="4435"/>
      <c r="N212"/>
      <c r="O212"/>
      <c r="P212"/>
    </row>
    <row r="213" spans="1:27" ht="13.5" customHeight="1">
      <c r="B213" s="400"/>
      <c r="C213" s="29" t="s">
        <v>6217</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6218</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6215</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6216</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5.1"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5" t="str">
        <f>'Part V-Revenues &amp; Expenses'!$O$53</f>
        <v>Income Averaging</v>
      </c>
      <c r="L226" s="4596"/>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5.1"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60"/>
      <c r="J244" s="4460"/>
      <c r="L244" s="1662" t="s">
        <v>6260</v>
      </c>
      <c r="M244" s="4461"/>
      <c r="N244" s="4461"/>
    </row>
    <row r="245" spans="1:27" s="32" customFormat="1" ht="11.25" customHeight="1">
      <c r="A245" s="306"/>
      <c r="B245" s="350" t="s">
        <v>1846</v>
      </c>
      <c r="C245" s="29" t="s">
        <v>6259</v>
      </c>
      <c r="E245" s="33" t="s">
        <v>3310</v>
      </c>
      <c r="G245" s="1644"/>
      <c r="H245" s="48" t="s">
        <v>574</v>
      </c>
      <c r="I245" s="4590"/>
      <c r="J245" s="4590"/>
      <c r="L245" s="1662" t="s">
        <v>6260</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6616</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6617</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6231</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5.1"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6692</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6694</v>
      </c>
      <c r="G289" s="147"/>
      <c r="I289" s="4645" t="s">
        <v>6695</v>
      </c>
      <c r="J289" s="4646"/>
      <c r="K289" s="4647"/>
      <c r="L289" s="4648"/>
      <c r="M289" s="456"/>
      <c r="O289" s="4649" t="s">
        <v>3150</v>
      </c>
      <c r="P289" s="4649" t="s">
        <v>3151</v>
      </c>
      <c r="Q289" s="86"/>
      <c r="R289" s="1630"/>
      <c r="S289" s="1630"/>
      <c r="T289" s="1630"/>
      <c r="U289" s="1630"/>
      <c r="V289" s="1630"/>
      <c r="W289" s="36"/>
      <c r="X289" s="36"/>
    </row>
    <row r="290" spans="1:24" s="36" customFormat="1" ht="11.25" customHeight="1">
      <c r="A290" s="120"/>
      <c r="B290" s="29" t="s">
        <v>6582</v>
      </c>
      <c r="D290" s="34"/>
      <c r="H290" s="141"/>
      <c r="M290" s="119"/>
      <c r="N290" s="48"/>
      <c r="O290" s="4650"/>
      <c r="P290" s="4650"/>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6588</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6589</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6591</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6592</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6595</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5.1"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5.1"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49" t="s">
        <v>6060</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1.1"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3275</v>
      </c>
      <c r="L345" s="4588"/>
      <c r="M345" s="4588"/>
      <c r="N345" s="49" t="s">
        <v>2241</v>
      </c>
      <c r="O345" s="299"/>
      <c r="P345" s="420"/>
      <c r="R345" s="4584"/>
      <c r="S345" s="4584"/>
    </row>
    <row r="346" spans="1:20" s="79" customFormat="1" ht="12.75" customHeight="1">
      <c r="B346" s="49" t="s">
        <v>2242</v>
      </c>
      <c r="C346" s="29" t="s">
        <v>3274</v>
      </c>
      <c r="L346" s="4588"/>
      <c r="M346" s="4588"/>
      <c r="N346" s="49" t="s">
        <v>2242</v>
      </c>
      <c r="O346" s="299"/>
      <c r="P346" s="420"/>
      <c r="R346" s="4584"/>
      <c r="S346" s="4584"/>
    </row>
    <row r="347" spans="1:20" s="79" customFormat="1" ht="33.75" customHeight="1">
      <c r="B347" s="117" t="s">
        <v>2243</v>
      </c>
      <c r="C347" s="4193" t="s">
        <v>6597</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6599</v>
      </c>
      <c r="C352" s="29" t="s">
        <v>1388</v>
      </c>
      <c r="I352" s="49" t="s">
        <v>2240</v>
      </c>
      <c r="J352" s="4523"/>
      <c r="K352" s="4524"/>
      <c r="L352" s="49" t="s">
        <v>2240</v>
      </c>
      <c r="M352" s="4627"/>
      <c r="N352" s="4628"/>
      <c r="O352" s="4628"/>
      <c r="P352" s="4629"/>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3157</v>
      </c>
      <c r="C361" s="29" t="s">
        <v>3826</v>
      </c>
      <c r="I361" s="48" t="s">
        <v>3157</v>
      </c>
      <c r="J361" s="4528"/>
      <c r="K361" s="4529"/>
      <c r="L361" s="48" t="s">
        <v>3157</v>
      </c>
      <c r="M361" s="4530"/>
      <c r="N361" s="4531"/>
      <c r="O361" s="4531"/>
      <c r="P361" s="4532"/>
      <c r="R361" s="307"/>
    </row>
    <row r="362" spans="1:18" ht="12.75" customHeight="1" thickBot="1">
      <c r="B362" s="48" t="s">
        <v>6234</v>
      </c>
      <c r="C362" s="29" t="s">
        <v>6235</v>
      </c>
      <c r="I362" s="48" t="s">
        <v>6234</v>
      </c>
      <c r="J362" s="4528"/>
      <c r="K362" s="4529"/>
      <c r="L362" s="48" t="s">
        <v>6234</v>
      </c>
      <c r="M362" s="4618"/>
      <c r="N362" s="4619"/>
      <c r="O362" s="4619"/>
      <c r="P362" s="4620"/>
      <c r="R362" s="307"/>
    </row>
    <row r="363" spans="1:18" ht="12.75" customHeight="1" thickBot="1">
      <c r="B363" s="919" t="s">
        <v>6601</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7">
        <f>'Part V-Revenues &amp; Expenses'!$P$67</f>
        <v>48</v>
      </c>
      <c r="K365" s="4638"/>
      <c r="L365" s="430"/>
      <c r="M365" s="393"/>
      <c r="N365" s="393"/>
      <c r="O365" s="881"/>
      <c r="P365" s="393"/>
    </row>
    <row r="366" spans="1:18" ht="13.5" customHeight="1">
      <c r="C366" s="230"/>
      <c r="D366" s="230"/>
      <c r="E366" s="230"/>
      <c r="F366" s="349" t="s">
        <v>6237</v>
      </c>
      <c r="J366" s="4635">
        <f>IF(J365=0,0,J363/J365)</f>
        <v>0</v>
      </c>
      <c r="K366" s="4636"/>
      <c r="M366" s="4525">
        <f>IF($J365=0,0,$M363/$J365)</f>
        <v>0</v>
      </c>
      <c r="N366" s="4526"/>
      <c r="O366" s="4526"/>
      <c r="P366" s="4527"/>
    </row>
    <row r="367" spans="1:18" s="36" customFormat="1" ht="12.75" customHeight="1">
      <c r="C367" s="230"/>
      <c r="D367" s="230"/>
      <c r="E367" s="230"/>
      <c r="F367" s="44" t="s">
        <v>6238</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3" t="s">
        <v>6602</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3886</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15" t="s">
        <v>6603</v>
      </c>
      <c r="C383" s="4215"/>
      <c r="D383" s="4215"/>
      <c r="E383" s="4215"/>
      <c r="F383" s="4215"/>
      <c r="G383" s="4215"/>
      <c r="H383" s="4215"/>
      <c r="I383" s="4215"/>
      <c r="J383" s="4215"/>
      <c r="K383" s="4215"/>
      <c r="L383" s="4215"/>
      <c r="M383" s="4617" t="s">
        <v>3887</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48</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3415</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48</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3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1"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1"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1"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6745</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6699</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3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44140625" defaultRowHeight="15"/>
  <cols>
    <col min="1" max="3" width="12.5546875" style="507" customWidth="1"/>
    <col min="4" max="4" width="15.44140625" style="507" customWidth="1"/>
    <col min="5" max="5" width="4.5546875" style="507" customWidth="1"/>
    <col min="6" max="9" width="12.5546875" style="507" customWidth="1"/>
    <col min="10" max="10" width="5.44140625" style="507" customWidth="1"/>
    <col min="11" max="16384" width="9.44140625" style="507"/>
  </cols>
  <sheetData>
    <row r="1" spans="1:16" ht="15.6">
      <c r="A1" s="4726" t="s">
        <v>2581</v>
      </c>
      <c r="B1" s="4726"/>
      <c r="C1" s="4726"/>
      <c r="D1" s="4726"/>
      <c r="E1" s="4726"/>
      <c r="F1" s="4726"/>
      <c r="G1" s="4726"/>
      <c r="H1" s="4726"/>
      <c r="I1" s="4726"/>
      <c r="J1" s="4726"/>
    </row>
    <row r="2" spans="1:16" ht="15.6">
      <c r="A2" s="4726" t="str">
        <f>'Sensitivity Analysis'!C8</f>
        <v>Cusseta Crossing</v>
      </c>
      <c r="B2" s="4726"/>
      <c r="C2" s="4726"/>
      <c r="D2" s="4726"/>
      <c r="E2" s="4726"/>
      <c r="F2" s="4726"/>
      <c r="G2" s="4726"/>
      <c r="H2" s="4726"/>
      <c r="I2" s="4726"/>
      <c r="J2" s="4726"/>
    </row>
    <row r="3" spans="1:16" ht="15.6">
      <c r="A3" s="4726" t="str">
        <f>'Subsidy Layering Memo'!F14</f>
        <v>Columbus, Muscogee</v>
      </c>
      <c r="B3" s="4726"/>
      <c r="C3" s="4726"/>
      <c r="D3" s="4726"/>
      <c r="E3" s="4726"/>
      <c r="F3" s="4726"/>
      <c r="G3" s="4726"/>
      <c r="H3" s="4726"/>
      <c r="I3" s="4726"/>
      <c r="J3" s="4726"/>
    </row>
    <row r="4" spans="1:16" ht="15.6">
      <c r="A4" s="4727" t="s">
        <v>2582</v>
      </c>
      <c r="B4" s="4726"/>
      <c r="C4" s="4726"/>
      <c r="D4" s="4726"/>
      <c r="E4" s="4726"/>
      <c r="F4" s="4726"/>
      <c r="G4" s="4726"/>
      <c r="H4" s="4726"/>
      <c r="I4" s="4726"/>
      <c r="J4" s="4726"/>
    </row>
    <row r="5" spans="1:16" ht="5.25" customHeight="1"/>
    <row r="6" spans="1:16" ht="5.25" customHeight="1"/>
    <row r="7" spans="1:16" ht="15.6">
      <c r="A7" s="4728" t="s">
        <v>2583</v>
      </c>
      <c r="B7" s="4728"/>
      <c r="C7" s="4729"/>
      <c r="M7" s="4730"/>
      <c r="N7" s="4730"/>
      <c r="O7" s="4730"/>
      <c r="P7" s="4730"/>
    </row>
    <row r="8" spans="1:16" ht="57" customHeight="1">
      <c r="A8" s="4731" t="s">
        <v>6152</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48 units set aside for &lt;&lt; Select PROPOSED Tenancy &gt;&gt;.</v>
      </c>
      <c r="B9" s="4731"/>
      <c r="C9" s="4731"/>
      <c r="D9" s="4731"/>
      <c r="E9" s="4731"/>
      <c r="F9" s="4731"/>
      <c r="G9" s="4731"/>
      <c r="H9" s="4731"/>
      <c r="I9" s="4731"/>
      <c r="J9" s="4731"/>
      <c r="K9" s="508"/>
    </row>
    <row r="10" spans="1:16" ht="15.6">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6">
      <c r="A14" s="509" t="s">
        <v>2585</v>
      </c>
      <c r="B14" s="510"/>
    </row>
    <row r="15" spans="1:16">
      <c r="A15" s="507" t="s">
        <v>2586</v>
      </c>
      <c r="D15" s="1020" t="s">
        <v>2587</v>
      </c>
    </row>
    <row r="16" spans="1:16">
      <c r="A16" s="507" t="s">
        <v>2588</v>
      </c>
      <c r="D16" s="1254">
        <f>'Sensitivity Analysis'!C25</f>
        <v>0</v>
      </c>
    </row>
    <row r="17" spans="1:11">
      <c r="A17" s="511" t="s">
        <v>2589</v>
      </c>
      <c r="D17" s="1255">
        <f>'Sensitivity Analysis'!C13</f>
        <v>48</v>
      </c>
    </row>
    <row r="18" spans="1:11" ht="14.25" customHeight="1"/>
    <row r="19" spans="1:11" ht="15.6">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10533947 via the syndication of the 2021 Federal LIHTC allocation of 1225000 per annum. will make a capital contribution totaling 4900000 via the syndication of the 2021 State LIHTC allocation of 1225000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1.26 (0.86 Federal tax credit and 0.4 State tax credit) for a (X%) ownership interest of the Federal Credits and a (X%) ownership interest of the State Credits. </v>
      </c>
      <c r="B22" s="4735"/>
      <c r="C22" s="4735"/>
      <c r="D22" s="4735"/>
      <c r="E22" s="4735"/>
      <c r="F22" s="4735"/>
      <c r="G22" s="4735"/>
      <c r="H22" s="4735"/>
      <c r="I22" s="4735"/>
      <c r="J22" s="4735"/>
    </row>
    <row r="23" spans="1:11" ht="15.6">
      <c r="A23" s="509" t="s">
        <v>6153</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H30" sqref="H30"/>
    </sheetView>
  </sheetViews>
  <sheetFormatPr defaultColWidth="9.44140625" defaultRowHeight="13.8"/>
  <cols>
    <col min="1" max="1" width="3.44140625" style="145" customWidth="1"/>
    <col min="2" max="2" width="2.44140625" style="253" customWidth="1"/>
    <col min="3" max="11" width="8.5546875" style="145" customWidth="1"/>
    <col min="12" max="12" width="4" style="145" customWidth="1"/>
    <col min="13" max="13" width="8.5546875" style="145" customWidth="1"/>
    <col min="14" max="14" width="9.44140625" style="145" customWidth="1"/>
    <col min="15" max="16" width="8.5546875" style="145" customWidth="1"/>
    <col min="17" max="17" width="9.44140625" style="145"/>
    <col min="18" max="18" width="10.44140625" style="145" bestFit="1" customWidth="1"/>
    <col min="19" max="19" width="9.44140625" style="145"/>
    <col min="20" max="20" width="10.44140625" style="145" bestFit="1" customWidth="1"/>
    <col min="21" max="25" width="9.44140625" style="145"/>
    <col min="26" max="26" width="9.44140625" style="1681"/>
    <col min="27" max="16384" width="9.44140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31" t="str">
        <f>CONCATENATE("PART ONE - PROJECT INFORMATION"," - ",$O$7," ",$F$25,", ",'Part I-Project Identification'!F26,", ",'Part I-Project Identification'!J26," County")</f>
        <v>PART ONE - PROJECT INFORMATION - 2023-0 Cusseta Crossing, Columbus, Muscogee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6746</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7036</v>
      </c>
      <c r="B6" s="3046"/>
      <c r="C6" s="3046"/>
      <c r="D6" s="3046"/>
      <c r="F6" s="242"/>
      <c r="G6" s="224" t="s">
        <v>3824</v>
      </c>
      <c r="L6" s="375"/>
      <c r="P6" s="1788" t="s">
        <v>3290</v>
      </c>
      <c r="Z6" s="1706">
        <v>6</v>
      </c>
    </row>
    <row r="7" spans="1:26" s="144" customFormat="1" ht="12" customHeight="1" thickBot="1">
      <c r="A7" s="3046"/>
      <c r="B7" s="3046"/>
      <c r="C7" s="3046"/>
      <c r="D7" s="3046"/>
      <c r="E7" s="999"/>
      <c r="F7" s="244"/>
      <c r="G7" s="224" t="s">
        <v>6084</v>
      </c>
      <c r="H7" s="248"/>
      <c r="I7" s="248"/>
      <c r="J7" s="248"/>
      <c r="O7" s="3034" t="s">
        <v>6911</v>
      </c>
      <c r="P7" s="3035"/>
      <c r="Q7" s="3048" t="s">
        <v>6635</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3267</v>
      </c>
      <c r="I10" s="3036">
        <f>'Part III-A-Uses of Funds'!$J$191</f>
        <v>1225000</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7038</v>
      </c>
      <c r="G12" s="3041"/>
      <c r="H12" s="3042"/>
      <c r="I12" s="1789" t="s">
        <v>6518</v>
      </c>
      <c r="J12" s="393" t="s">
        <v>6945</v>
      </c>
      <c r="K12" s="243"/>
      <c r="L12" s="248"/>
      <c r="O12" s="3043" t="s">
        <v>7037</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7048</v>
      </c>
      <c r="G15" s="3017"/>
      <c r="H15" s="3018"/>
      <c r="I15" s="2444" t="s">
        <v>1670</v>
      </c>
      <c r="J15" s="3019" t="s">
        <v>7049</v>
      </c>
      <c r="K15" s="3020"/>
      <c r="L15" s="3021"/>
      <c r="M15" s="1898" t="s">
        <v>1839</v>
      </c>
      <c r="N15" s="3016" t="s">
        <v>7050</v>
      </c>
      <c r="O15" s="3017"/>
      <c r="P15" s="3018"/>
      <c r="Q15" s="3050"/>
      <c r="R15" s="3051"/>
      <c r="S15" s="3052"/>
      <c r="Z15" s="1706">
        <v>15</v>
      </c>
    </row>
    <row r="16" spans="1:26" s="144" customFormat="1" ht="12.75" customHeight="1">
      <c r="B16" s="246" t="s">
        <v>1599</v>
      </c>
      <c r="F16" s="3013">
        <v>5734483000</v>
      </c>
      <c r="G16" s="3014"/>
      <c r="H16" s="3015"/>
      <c r="I16" s="2445" t="s">
        <v>1598</v>
      </c>
      <c r="J16" s="823"/>
      <c r="M16" s="246" t="s">
        <v>1600</v>
      </c>
      <c r="N16" s="3013">
        <v>5734483000</v>
      </c>
      <c r="O16" s="3014"/>
      <c r="P16" s="3015"/>
      <c r="Q16" s="3050"/>
      <c r="R16" s="3051"/>
      <c r="S16" s="3052"/>
      <c r="V16" s="751"/>
      <c r="W16" s="751"/>
      <c r="X16" s="751"/>
      <c r="Z16" s="1706">
        <v>18</v>
      </c>
    </row>
    <row r="17" spans="1:26" s="144" customFormat="1">
      <c r="B17" s="246" t="s">
        <v>1842</v>
      </c>
      <c r="F17" s="3022" t="s">
        <v>7051</v>
      </c>
      <c r="G17" s="3023"/>
      <c r="H17" s="3023"/>
      <c r="I17" s="3020"/>
      <c r="J17" s="3023"/>
      <c r="K17" s="3020"/>
      <c r="L17" s="3021"/>
      <c r="M17" s="246" t="s">
        <v>1838</v>
      </c>
      <c r="N17" s="3024">
        <v>5734483551</v>
      </c>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7048</v>
      </c>
      <c r="G19" s="3017"/>
      <c r="H19" s="3018"/>
      <c r="I19" s="2444" t="s">
        <v>1670</v>
      </c>
      <c r="J19" s="3019" t="s">
        <v>7052</v>
      </c>
      <c r="K19" s="3020"/>
      <c r="L19" s="3021"/>
      <c r="M19" s="1898" t="s">
        <v>1839</v>
      </c>
      <c r="N19" s="3016" t="s">
        <v>7053</v>
      </c>
      <c r="O19" s="3017"/>
      <c r="P19" s="3018"/>
      <c r="Q19" s="3050"/>
      <c r="R19" s="3051"/>
      <c r="S19" s="3052"/>
      <c r="Z19" s="1706">
        <v>21</v>
      </c>
    </row>
    <row r="20" spans="1:26" s="144" customFormat="1">
      <c r="B20" s="246" t="s">
        <v>1599</v>
      </c>
      <c r="F20" s="3013">
        <v>5734483000</v>
      </c>
      <c r="G20" s="3014"/>
      <c r="H20" s="3015"/>
      <c r="I20" s="2445" t="s">
        <v>1598</v>
      </c>
      <c r="J20" s="823"/>
      <c r="M20" s="246" t="s">
        <v>1600</v>
      </c>
      <c r="N20" s="3013">
        <v>5734483000</v>
      </c>
      <c r="O20" s="3014"/>
      <c r="P20" s="3015"/>
      <c r="Q20" s="3050"/>
      <c r="R20" s="3051"/>
      <c r="S20" s="3052"/>
      <c r="U20" s="230"/>
      <c r="V20" s="230"/>
      <c r="W20" s="230"/>
      <c r="X20" s="230"/>
      <c r="Z20" s="1706">
        <v>24</v>
      </c>
    </row>
    <row r="21" spans="1:26" s="144" customFormat="1">
      <c r="B21" s="246" t="s">
        <v>1842</v>
      </c>
      <c r="F21" s="3022" t="s">
        <v>7054</v>
      </c>
      <c r="G21" s="3023"/>
      <c r="H21" s="3023"/>
      <c r="I21" s="3020"/>
      <c r="J21" s="3023"/>
      <c r="K21" s="3020"/>
      <c r="L21" s="3021"/>
      <c r="M21" s="246" t="s">
        <v>1838</v>
      </c>
      <c r="N21" s="3024">
        <v>5733910816</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7046</v>
      </c>
      <c r="G25" s="3027"/>
      <c r="H25" s="3027"/>
      <c r="I25" s="3020"/>
      <c r="J25" s="3027"/>
      <c r="K25" s="3028"/>
      <c r="M25" s="246" t="s">
        <v>425</v>
      </c>
      <c r="P25" s="1899" t="s">
        <v>2649</v>
      </c>
      <c r="Q25" s="3050"/>
      <c r="R25" s="3051"/>
      <c r="S25" s="3052"/>
      <c r="Z25" s="1706">
        <v>29</v>
      </c>
    </row>
    <row r="26" spans="1:26" s="144" customFormat="1">
      <c r="A26" s="375"/>
      <c r="B26" s="144" t="s">
        <v>575</v>
      </c>
      <c r="F26" s="3058" t="s">
        <v>154</v>
      </c>
      <c r="G26" s="3071"/>
      <c r="H26" s="3072"/>
      <c r="I26" s="257" t="s">
        <v>576</v>
      </c>
      <c r="J26" s="3029" t="str">
        <f>IF(F26="","",VLOOKUP(F26,'DCA Underwriting Assumptions'!$T$141:$U$770,2,FALSE))</f>
        <v>Muscogee</v>
      </c>
      <c r="K26" s="3030"/>
      <c r="M26" s="246" t="s">
        <v>426</v>
      </c>
      <c r="P26" s="1956" t="s">
        <v>2652</v>
      </c>
      <c r="Q26" s="3050"/>
      <c r="R26" s="3051"/>
      <c r="S26" s="3052"/>
      <c r="U26" s="375"/>
      <c r="Z26" s="1706">
        <v>30</v>
      </c>
    </row>
    <row r="27" spans="1:26" s="144" customFormat="1">
      <c r="A27" s="375"/>
      <c r="B27" s="144" t="s">
        <v>3907</v>
      </c>
      <c r="C27" s="251"/>
      <c r="D27" s="252"/>
      <c r="E27" s="252"/>
      <c r="F27" s="3058" t="s">
        <v>7047</v>
      </c>
      <c r="G27" s="3059"/>
      <c r="H27" s="3060"/>
      <c r="I27" s="248"/>
      <c r="J27" s="392" t="s">
        <v>6724</v>
      </c>
      <c r="K27" s="248"/>
      <c r="M27" s="246" t="s">
        <v>6667</v>
      </c>
      <c r="O27" s="3011">
        <v>7</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Columbus</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6654</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6653</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3933</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44140625" defaultRowHeight="13.2"/>
  <cols>
    <col min="1" max="1" width="16.5546875" customWidth="1"/>
    <col min="2" max="3" width="26.44140625" customWidth="1"/>
    <col min="4" max="4" width="9.44140625" customWidth="1"/>
    <col min="5" max="5" width="25.5546875" customWidth="1"/>
    <col min="6" max="6" width="8.5546875" customWidth="1"/>
    <col min="7" max="7" width="21.5546875" customWidth="1"/>
    <col min="8" max="8" width="6.5546875" customWidth="1"/>
    <col min="9" max="9" width="19.44140625" customWidth="1"/>
    <col min="10" max="10" width="6.5546875" customWidth="1"/>
    <col min="11" max="11" width="18.5546875" customWidth="1"/>
    <col min="12" max="12" width="7.5546875" customWidth="1"/>
    <col min="13" max="17" width="10.554687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Cusseta Crossing</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6">
      <c r="A8" s="576" t="s">
        <v>2647</v>
      </c>
      <c r="B8" s="576"/>
      <c r="C8" s="4737" t="str">
        <f>'Part I-Project Identification'!$F$25</f>
        <v>Cusseta Crossing</v>
      </c>
      <c r="D8" s="4737"/>
      <c r="E8" s="1978" t="str">
        <f>'Part I-Project Identification'!$O$7</f>
        <v>2023-0</v>
      </c>
      <c r="F8" s="576" t="s">
        <v>2648</v>
      </c>
      <c r="G8" s="567"/>
      <c r="H8" s="4737" t="str">
        <f>CONCATENATE('Part I-Project Identification'!$F$26,", ",'Part I-Project Identification'!$J$26)</f>
        <v>Columbus, Muscogee</v>
      </c>
      <c r="I8" s="4737"/>
      <c r="J8" s="4737"/>
      <c r="K8" s="4737"/>
      <c r="L8" s="567"/>
      <c r="M8" s="545"/>
    </row>
    <row r="9" spans="1:14" ht="15.6">
      <c r="A9" s="576" t="s">
        <v>2650</v>
      </c>
      <c r="B9" s="576"/>
      <c r="C9" s="4737" t="s">
        <v>1646</v>
      </c>
      <c r="D9" s="4737"/>
      <c r="E9" s="567"/>
      <c r="F9" s="576" t="s">
        <v>2651</v>
      </c>
      <c r="G9" s="567"/>
      <c r="H9" s="4738"/>
      <c r="I9" s="4738"/>
      <c r="J9" s="4738"/>
      <c r="K9" s="4738"/>
      <c r="L9" s="4738"/>
      <c r="M9" s="545"/>
    </row>
    <row r="10" spans="1:14" ht="15.6">
      <c r="A10" s="576" t="s">
        <v>2653</v>
      </c>
      <c r="B10" s="567"/>
      <c r="C10" s="4739"/>
      <c r="D10" s="4739"/>
      <c r="E10" s="567"/>
      <c r="F10" s="576" t="s">
        <v>3132</v>
      </c>
      <c r="G10" s="567"/>
      <c r="H10" s="4736"/>
      <c r="I10" s="4736"/>
      <c r="J10" s="4736"/>
      <c r="K10" s="4736"/>
      <c r="L10" s="4736"/>
    </row>
    <row r="11" spans="1:14" ht="15.6">
      <c r="A11" s="576" t="s">
        <v>2654</v>
      </c>
      <c r="B11" s="567"/>
      <c r="C11" s="4740"/>
      <c r="D11" s="4740"/>
      <c r="E11" s="1992"/>
      <c r="F11" s="576" t="s">
        <v>606</v>
      </c>
      <c r="G11" s="567"/>
      <c r="H11" s="4736"/>
      <c r="I11" s="4736"/>
      <c r="J11" s="4736"/>
      <c r="K11" s="4736"/>
      <c r="L11" s="4736"/>
      <c r="M11" s="4741"/>
      <c r="N11" s="4742"/>
    </row>
    <row r="12" spans="1:14" ht="15.6">
      <c r="A12" s="576" t="s">
        <v>2655</v>
      </c>
      <c r="B12" s="567"/>
      <c r="C12" s="4740"/>
      <c r="D12" s="4740"/>
      <c r="E12" s="567"/>
      <c r="F12" s="576" t="s">
        <v>2656</v>
      </c>
      <c r="G12" s="567"/>
      <c r="H12" s="4740"/>
      <c r="I12" s="4740"/>
      <c r="J12" s="4740"/>
      <c r="K12" s="4740"/>
      <c r="L12" s="4740"/>
      <c r="M12" s="507"/>
    </row>
    <row r="13" spans="1:14" ht="15.6">
      <c r="A13" s="576" t="s">
        <v>2657</v>
      </c>
      <c r="B13" s="576"/>
      <c r="C13" s="1979">
        <f>'Part V-Revenues &amp; Expenses'!$P$67</f>
        <v>48</v>
      </c>
      <c r="D13" s="26"/>
      <c r="E13" s="1980">
        <f>'Part V-Revenues &amp; Expenses'!$P$63</f>
        <v>48</v>
      </c>
      <c r="F13" s="576" t="s">
        <v>3452</v>
      </c>
      <c r="G13" s="567"/>
      <c r="H13" s="1990"/>
      <c r="I13" s="1982"/>
      <c r="J13" s="1982"/>
      <c r="K13" s="1981">
        <f>'Part V-Revenues &amp; Expenses'!$K$175</f>
        <v>47250</v>
      </c>
      <c r="L13" s="567"/>
      <c r="M13" s="507"/>
    </row>
    <row r="14" spans="1:14" ht="15.6">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3100</v>
      </c>
      <c r="I14" s="4743"/>
      <c r="J14" s="4743"/>
      <c r="K14" s="4743" t="s">
        <v>3100</v>
      </c>
      <c r="L14" s="4743"/>
      <c r="M14" s="507"/>
    </row>
    <row r="15" spans="1:14" ht="15.6">
      <c r="A15" s="576" t="s">
        <v>2659</v>
      </c>
      <c r="B15" s="567"/>
      <c r="C15" s="1983" t="s">
        <v>1646</v>
      </c>
      <c r="D15" s="567"/>
      <c r="E15" s="567"/>
      <c r="F15" s="576" t="s">
        <v>2950</v>
      </c>
      <c r="G15" s="567"/>
      <c r="H15" s="1978" t="str">
        <f>'Part I-Project Identification'!K28</f>
        <v>Urban</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15472006</v>
      </c>
      <c r="D18" s="1986">
        <f>IF(C18=0,"",$C$29/C18)</f>
        <v>0</v>
      </c>
      <c r="E18" s="567" t="s">
        <v>2953</v>
      </c>
      <c r="F18" s="576" t="s">
        <v>6750</v>
      </c>
      <c r="G18" s="567"/>
      <c r="H18" s="4744">
        <f>'Part III-A-Uses of Funds'!$C$49</f>
        <v>10528593</v>
      </c>
      <c r="I18" s="4744"/>
      <c r="J18" s="1987">
        <f>IF(H18=0,"",$C$29/H18)</f>
        <v>0</v>
      </c>
      <c r="K18" s="4737" t="s">
        <v>2955</v>
      </c>
      <c r="L18" s="4737"/>
      <c r="M18" s="507"/>
    </row>
    <row r="19" spans="1:13" ht="15.6">
      <c r="A19" s="576" t="s">
        <v>2660</v>
      </c>
      <c r="B19" s="567"/>
      <c r="C19" s="1988">
        <f>C18/C13</f>
        <v>322333.45833333331</v>
      </c>
      <c r="D19" s="567"/>
      <c r="E19" s="567"/>
      <c r="F19" s="576" t="s">
        <v>2660</v>
      </c>
      <c r="G19" s="567"/>
      <c r="H19" s="4745">
        <f>H18/C13</f>
        <v>219345.6875</v>
      </c>
      <c r="I19" s="4745"/>
      <c r="J19" s="567"/>
      <c r="K19" s="567"/>
      <c r="L19" s="567"/>
      <c r="M19" s="507"/>
    </row>
    <row r="20" spans="1:13" ht="15.6">
      <c r="A20" s="576" t="s">
        <v>2661</v>
      </c>
      <c r="B20" s="567"/>
      <c r="C20" s="1978">
        <f>C18/K13</f>
        <v>327.44986243386245</v>
      </c>
      <c r="D20" s="1989"/>
      <c r="E20" s="1989"/>
      <c r="F20" s="576" t="s">
        <v>2661</v>
      </c>
      <c r="G20" s="567"/>
      <c r="H20" s="4737">
        <f>H18/K13</f>
        <v>222.82736507936508</v>
      </c>
      <c r="I20" s="474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15433947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v>
      </c>
      <c r="D40" s="507"/>
      <c r="E40" s="507"/>
      <c r="F40" s="510"/>
      <c r="G40" s="510" t="s">
        <v>2681</v>
      </c>
      <c r="H40" s="507"/>
      <c r="I40" s="507"/>
      <c r="K40" s="555">
        <f>C30/C18</f>
        <v>0.99754013797564456</v>
      </c>
      <c r="L40" s="507"/>
      <c r="M40" s="507"/>
    </row>
    <row r="46" spans="1:13" ht="15.6">
      <c r="A46" s="550" t="s">
        <v>2682</v>
      </c>
      <c r="B46" s="540"/>
      <c r="C46" s="540"/>
      <c r="D46" s="540"/>
      <c r="E46" s="540"/>
      <c r="F46" s="540"/>
      <c r="G46" s="540"/>
      <c r="H46" s="540"/>
      <c r="I46" s="540"/>
      <c r="J46" s="540"/>
      <c r="K46" s="540"/>
      <c r="L46" s="540"/>
      <c r="M46" s="507"/>
    </row>
    <row r="47" spans="1:13" ht="15.6">
      <c r="A47" s="550" t="str">
        <f>C8</f>
        <v>Cusseta Crossing</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6" t="s">
        <v>2685</v>
      </c>
      <c r="L50" s="474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374460</v>
      </c>
      <c r="D52" s="568"/>
      <c r="E52" s="568">
        <f>$C$52</f>
        <v>374460</v>
      </c>
      <c r="F52" s="568"/>
      <c r="G52" s="568">
        <f>$C$52</f>
        <v>374460</v>
      </c>
      <c r="H52" s="568"/>
      <c r="I52" s="568">
        <f>$C$52</f>
        <v>374460</v>
      </c>
      <c r="J52" s="568"/>
      <c r="K52" s="568">
        <f>$C$52</f>
        <v>374460</v>
      </c>
      <c r="L52" s="569"/>
      <c r="M52"/>
      <c r="N52"/>
    </row>
    <row r="53" spans="1:14" s="507" customFormat="1" ht="18.75" customHeight="1">
      <c r="B53" s="567" t="s">
        <v>2689</v>
      </c>
      <c r="C53" s="568">
        <f>'Part VI-Pro Forma'!B16</f>
        <v>7489.2</v>
      </c>
      <c r="D53" s="568"/>
      <c r="E53" s="568">
        <f>$C$53</f>
        <v>7489.2</v>
      </c>
      <c r="F53" s="568"/>
      <c r="G53" s="568">
        <f>$C$53</f>
        <v>7489.2</v>
      </c>
      <c r="H53" s="568"/>
      <c r="I53" s="568">
        <f>$C$53</f>
        <v>7489.2</v>
      </c>
      <c r="J53" s="568"/>
      <c r="K53" s="568">
        <f>$C$53</f>
        <v>7489.2</v>
      </c>
      <c r="L53" s="569"/>
      <c r="M53"/>
      <c r="N53"/>
    </row>
    <row r="54" spans="1:14" s="507" customFormat="1" ht="18.75" customHeight="1">
      <c r="B54" s="567" t="s">
        <v>2687</v>
      </c>
      <c r="C54" s="568">
        <f>'Part VI-Pro Forma'!B17</f>
        <v>-26736.444000000003</v>
      </c>
      <c r="D54" s="568"/>
      <c r="E54" s="568">
        <f>-($C$52+E53)*F50</f>
        <v>-38194.920000000006</v>
      </c>
      <c r="F54" s="570"/>
      <c r="G54" s="568">
        <f>-($C$52+G53)*0.07</f>
        <v>-26736.444000000003</v>
      </c>
      <c r="H54" s="568"/>
      <c r="I54" s="568">
        <f>-($C$52+I53)*0.07</f>
        <v>-26736.444000000003</v>
      </c>
      <c r="J54" s="568"/>
      <c r="K54" s="568">
        <f>-($C$52+K53)*L54</f>
        <v>-38194.920000000006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355212.75599999999</v>
      </c>
      <c r="D56" s="568"/>
      <c r="E56" s="574">
        <f>SUM(E52:E55)</f>
        <v>343754.28</v>
      </c>
      <c r="F56" s="568"/>
      <c r="G56" s="574">
        <f>SUM(G52:G55)</f>
        <v>355212.75599999999</v>
      </c>
      <c r="H56" s="568"/>
      <c r="I56" s="574">
        <f>SUM(I52:I55)</f>
        <v>355212.75599999999</v>
      </c>
      <c r="J56" s="568"/>
      <c r="K56" s="574">
        <f>SUM(K52:K55)</f>
        <v>343754.28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3500</v>
      </c>
      <c r="D59" s="568"/>
      <c r="E59" s="568">
        <f>$C$59</f>
        <v>3500</v>
      </c>
      <c r="F59" s="568"/>
      <c r="G59" s="568">
        <f>$C$59</f>
        <v>3500</v>
      </c>
      <c r="H59" s="568"/>
      <c r="I59" s="568">
        <f>$C$59</f>
        <v>3500</v>
      </c>
      <c r="J59" s="568"/>
      <c r="K59" s="568">
        <f>$C$59*(1+$L$59)</f>
        <v>3640</v>
      </c>
      <c r="L59" s="575">
        <v>0.04</v>
      </c>
      <c r="M59"/>
      <c r="N59"/>
    </row>
    <row r="60" spans="1:14" s="507" customFormat="1" ht="18.75" customHeight="1">
      <c r="B60" s="567" t="s">
        <v>1297</v>
      </c>
      <c r="C60" s="568">
        <f>+'Part V-Revenues &amp; Expenses'!L237</f>
        <v>3400</v>
      </c>
      <c r="D60" s="568"/>
      <c r="E60" s="568">
        <f>$C$60</f>
        <v>3400</v>
      </c>
      <c r="F60" s="568"/>
      <c r="G60" s="568">
        <f>$C$60</f>
        <v>3400</v>
      </c>
      <c r="H60" s="568"/>
      <c r="I60" s="568">
        <f>$C$60*(1+$J$50)</f>
        <v>3502</v>
      </c>
      <c r="J60" s="570"/>
      <c r="K60" s="568">
        <f>$C$60*(1+$J$50)</f>
        <v>3502</v>
      </c>
      <c r="L60" s="571">
        <v>0.03</v>
      </c>
      <c r="M60"/>
      <c r="N60"/>
    </row>
    <row r="61" spans="1:14" s="507" customFormat="1" ht="18.75" customHeight="1">
      <c r="B61" s="567" t="s">
        <v>1298</v>
      </c>
      <c r="C61" s="568">
        <f>+'Part V-Revenues &amp; Expenses'!L244</f>
        <v>47037</v>
      </c>
      <c r="D61" s="568"/>
      <c r="E61" s="568">
        <f>$C$61</f>
        <v>47037</v>
      </c>
      <c r="F61" s="568"/>
      <c r="G61" s="568">
        <f>$C$61*(1+H50)</f>
        <v>49388.85</v>
      </c>
      <c r="H61" s="570"/>
      <c r="I61" s="568">
        <f>$C$61</f>
        <v>47037</v>
      </c>
      <c r="J61" s="568"/>
      <c r="K61" s="568">
        <f>$C$61*(1+$L$61)</f>
        <v>49388.85</v>
      </c>
      <c r="L61" s="571">
        <v>0.05</v>
      </c>
      <c r="M61"/>
      <c r="N61"/>
    </row>
    <row r="62" spans="1:14" s="507" customFormat="1" ht="18.75" customHeight="1">
      <c r="B62" s="573" t="s">
        <v>2693</v>
      </c>
      <c r="C62" s="574">
        <f>SUM(C58:C61)</f>
        <v>60937</v>
      </c>
      <c r="D62" s="568"/>
      <c r="E62" s="574">
        <f>SUM(E58:E61)</f>
        <v>60937</v>
      </c>
      <c r="F62" s="568"/>
      <c r="G62" s="574">
        <f>SUM(G58:G61)</f>
        <v>63288.85</v>
      </c>
      <c r="H62" s="568"/>
      <c r="I62" s="574">
        <f>SUM(I58:I61)</f>
        <v>61039</v>
      </c>
      <c r="J62" s="568"/>
      <c r="K62" s="574">
        <f>SUM(K58:K61)</f>
        <v>63530.85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294275.75599999999</v>
      </c>
      <c r="D64" s="577"/>
      <c r="E64" s="577">
        <f>E56-E62</f>
        <v>282817.28000000003</v>
      </c>
      <c r="F64" s="577"/>
      <c r="G64" s="577">
        <f>G56-G62</f>
        <v>291923.90600000002</v>
      </c>
      <c r="H64" s="577"/>
      <c r="I64" s="577">
        <f>I56-I62</f>
        <v>294173.75599999999</v>
      </c>
      <c r="J64" s="577"/>
      <c r="K64" s="577">
        <f>K56-K62</f>
        <v>280223.43000000005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294275.75599999999</v>
      </c>
      <c r="D70" s="577"/>
      <c r="E70" s="580">
        <f>E64-E66-E68</f>
        <v>282817.28000000003</v>
      </c>
      <c r="F70" s="577"/>
      <c r="G70" s="580">
        <f>G64-G66-G68</f>
        <v>291923.90600000002</v>
      </c>
      <c r="H70" s="577"/>
      <c r="I70" s="580">
        <f>I64-I66-I68</f>
        <v>294173.75599999999</v>
      </c>
      <c r="J70" s="577"/>
      <c r="K70" s="580">
        <f>K64-K66-K68</f>
        <v>280223.43000000005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4.8291802353250075</v>
      </c>
      <c r="D73" s="582"/>
      <c r="E73" s="1005">
        <f>E76/E62</f>
        <v>4.6411421632177499</v>
      </c>
      <c r="F73" s="582"/>
      <c r="G73" s="1005">
        <f>G76/G62</f>
        <v>4.612564551259819</v>
      </c>
      <c r="H73" s="582"/>
      <c r="I73" s="1005">
        <f>I76/I62</f>
        <v>4.8194393092940579</v>
      </c>
      <c r="J73" s="582"/>
      <c r="K73" s="1005">
        <f>K76/K62</f>
        <v>4.4108245049452366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294275.75599999999</v>
      </c>
      <c r="D76" s="568"/>
      <c r="E76" s="568">
        <f>E70+E75</f>
        <v>282817.28000000003</v>
      </c>
      <c r="F76" s="568"/>
      <c r="G76" s="568">
        <f>G70+G75</f>
        <v>291923.90600000002</v>
      </c>
      <c r="H76" s="568"/>
      <c r="I76" s="568">
        <f>I70+I75</f>
        <v>294173.75599999999</v>
      </c>
      <c r="J76" s="568"/>
      <c r="K76" s="568">
        <f>K70+K75</f>
        <v>280223.43000000005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44140625" defaultRowHeight="13.8"/>
  <cols>
    <col min="1" max="1" width="9.44140625" style="516"/>
    <col min="2" max="2" width="7.5546875" style="516" customWidth="1"/>
    <col min="3" max="3" width="14.5546875" style="516" customWidth="1"/>
    <col min="4" max="4" width="20.44140625" style="516" customWidth="1"/>
    <col min="5" max="5" width="8" style="516" customWidth="1"/>
    <col min="6" max="7" width="5.44140625" style="516" customWidth="1"/>
    <col min="8" max="8" width="8.5546875" style="516" customWidth="1"/>
    <col min="9" max="9" width="28.5546875" style="516" customWidth="1"/>
    <col min="10" max="10" width="4.44140625" style="516" hidden="1" customWidth="1"/>
    <col min="11" max="11" width="9.44140625" style="516"/>
    <col min="12" max="12" width="16.44140625" style="516" customWidth="1"/>
    <col min="13" max="13" width="11.44140625" style="516" customWidth="1"/>
    <col min="14" max="14" width="10.5546875" style="516" bestFit="1" customWidth="1"/>
    <col min="15" max="15" width="28.5546875" style="516" customWidth="1"/>
    <col min="16" max="16384" width="9.441406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Cusseta Crossing</v>
      </c>
    </row>
    <row r="13" spans="1:10">
      <c r="A13" s="517"/>
      <c r="D13" s="516" t="s">
        <v>2604</v>
      </c>
      <c r="F13" s="1024" t="str">
        <f>'Sensitivity Analysis'!E8</f>
        <v>2023-0</v>
      </c>
    </row>
    <row r="14" spans="1:10">
      <c r="A14" s="517"/>
      <c r="D14" s="516" t="s">
        <v>2605</v>
      </c>
      <c r="F14" s="1024" t="str">
        <f>'Sensitivity Analysis'!H8</f>
        <v>Columbus, Muscogee</v>
      </c>
    </row>
    <row r="15" spans="1:10">
      <c r="A15" s="517"/>
      <c r="D15" s="516" t="s">
        <v>2946</v>
      </c>
      <c r="F15" s="4757">
        <f>'Sensitivity Analysis'!$C$25</f>
        <v>0</v>
      </c>
      <c r="G15" s="4757"/>
      <c r="H15" s="4757"/>
    </row>
    <row r="16" spans="1:10">
      <c r="A16" s="517"/>
      <c r="D16" s="519" t="s">
        <v>2606</v>
      </c>
      <c r="F16" s="520">
        <f>'Sensitivity Analysis'!C13</f>
        <v>48</v>
      </c>
      <c r="G16" s="521" t="s">
        <v>2947</v>
      </c>
      <c r="H16" s="972">
        <f>'Sensitivity Analysis'!E13</f>
        <v>48</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49" t="s">
        <v>3099</v>
      </c>
      <c r="B22" s="4749"/>
      <c r="C22" s="4749"/>
      <c r="D22" s="4749"/>
      <c r="E22" s="4749"/>
      <c r="F22" s="4749"/>
      <c r="G22" s="4749"/>
      <c r="H22" s="4749"/>
      <c r="I22" s="4749"/>
      <c r="J22" s="4749"/>
      <c r="K22" s="4748" t="s">
        <v>3898</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c r="A26" s="522" t="s">
        <v>6154</v>
      </c>
    </row>
    <row r="27" spans="1:18" ht="14.25" customHeight="1">
      <c r="A27" s="4751" t="s">
        <v>6156</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6157</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c r="A46" s="522" t="s">
        <v>2607</v>
      </c>
    </row>
    <row r="47" spans="1:10" ht="135" customHeight="1">
      <c r="A47" s="4735" t="s">
        <v>6158</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c r="A49" s="522" t="s">
        <v>2608</v>
      </c>
    </row>
    <row r="50" spans="1:12" ht="33" customHeight="1">
      <c r="A50" s="4731" t="s">
        <v>3453</v>
      </c>
      <c r="B50" s="4733"/>
      <c r="C50" s="4733"/>
      <c r="D50" s="4733"/>
      <c r="E50" s="4733"/>
      <c r="F50" s="4733"/>
      <c r="G50" s="4733"/>
      <c r="H50" s="4733"/>
      <c r="I50" s="4733"/>
      <c r="J50" s="4731"/>
    </row>
    <row r="51" spans="1:12" ht="3" customHeight="1"/>
    <row r="52" spans="1:12" ht="72.75" customHeight="1">
      <c r="A52" s="4731" t="s">
        <v>3454</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3455</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3456</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3457</v>
      </c>
      <c r="B60" s="4731"/>
      <c r="C60" s="4731"/>
      <c r="D60" s="4731"/>
      <c r="E60" s="4731"/>
      <c r="F60" s="4731"/>
      <c r="G60" s="4731"/>
      <c r="H60" s="4731"/>
      <c r="I60" s="4731"/>
      <c r="J60" s="4731"/>
    </row>
    <row r="61" spans="1:12" ht="3" customHeight="1"/>
    <row r="62" spans="1:12" ht="73.5" customHeight="1">
      <c r="A62" s="4731" t="s">
        <v>3458</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49" t="s">
        <v>2610</v>
      </c>
      <c r="B65" s="4749"/>
      <c r="C65" s="4749"/>
      <c r="D65" s="4749"/>
      <c r="E65" s="4749"/>
      <c r="F65" s="4749"/>
      <c r="G65" s="4749"/>
      <c r="H65" s="4749"/>
      <c r="I65" s="4749"/>
      <c r="J65" s="4749"/>
      <c r="L65" s="524">
        <f>'Closing term sheet'!C135</f>
        <v>616025.5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10533947 via the syndication of the 2021 Federal LIHTC allocation of 1225000 per annum. will make a capital contribution totaling 4900000 via the syndication of the 2021 State LIHTC allocation of 1225000 per annum.</v>
      </c>
      <c r="B67" s="4731"/>
      <c r="C67" s="4731"/>
      <c r="D67" s="4731"/>
      <c r="E67" s="4731"/>
      <c r="F67" s="4731"/>
      <c r="G67" s="4731"/>
      <c r="H67" s="4731"/>
      <c r="I67" s="4731"/>
      <c r="J67" s="529"/>
      <c r="L67" s="530">
        <f>'Part II-Sources of Funds'!I51</f>
        <v>10533947</v>
      </c>
      <c r="M67" s="531">
        <f>'Part III-A-Uses of Funds'!$J$191</f>
        <v>1225000</v>
      </c>
      <c r="N67" s="532">
        <f>'Part III-A-Uses of Funds'!N182</f>
        <v>0.86</v>
      </c>
      <c r="O67" s="530">
        <f>'Part II-Sources of Funds'!I52</f>
        <v>4900000</v>
      </c>
      <c r="P67" s="531">
        <f>M67</f>
        <v>1225000</v>
      </c>
      <c r="Q67" s="532">
        <f>'Part III-A-Uses of Funds'!Q182</f>
        <v>0.4</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1.26 (0.86 Federal tax credit and 0.4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6159</v>
      </c>
      <c r="B70" s="4731"/>
      <c r="C70" s="4731"/>
      <c r="D70" s="4731"/>
      <c r="E70" s="4731"/>
      <c r="F70" s="4731"/>
      <c r="G70" s="4731"/>
      <c r="H70" s="4731"/>
      <c r="I70" s="4731"/>
      <c r="J70" s="4731"/>
      <c r="L70" s="534" t="str">
        <f>'Part VI-Pro Forma'!K72</f>
        <v/>
      </c>
      <c r="M70" s="4756" t="s">
        <v>3098</v>
      </c>
      <c r="N70" s="4748"/>
    </row>
    <row r="71" spans="1:17" ht="6" customHeight="1">
      <c r="A71" s="522"/>
    </row>
    <row r="72" spans="1:17">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3660</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6160</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c r="A88" s="522" t="s">
        <v>2621</v>
      </c>
    </row>
    <row r="89" spans="1:15" ht="124.3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c r="A99" s="522" t="s">
        <v>2632</v>
      </c>
    </row>
    <row r="100" spans="1:14" ht="110.85" customHeight="1">
      <c r="A100" s="4749" t="s">
        <v>2633</v>
      </c>
      <c r="B100" s="4749"/>
      <c r="C100" s="4749"/>
      <c r="D100" s="4749"/>
      <c r="E100" s="4749"/>
      <c r="F100" s="4749"/>
      <c r="G100" s="4749"/>
      <c r="H100" s="4749"/>
      <c r="I100" s="4749"/>
      <c r="J100" s="4749"/>
      <c r="L100" s="975" t="str">
        <f>'Part VI-Pro Forma'!K72</f>
        <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4.1"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58" t="s">
        <v>6065</v>
      </c>
      <c r="B120" s="4758"/>
      <c r="C120" s="4758"/>
      <c r="D120" s="4758"/>
      <c r="E120" s="4759"/>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44140625" defaultRowHeight="13.2"/>
  <cols>
    <col min="1" max="1" width="16.5546875" customWidth="1"/>
    <col min="2" max="3" width="26.44140625" customWidth="1"/>
    <col min="4" max="4" width="9.44140625" customWidth="1"/>
    <col min="5" max="5" width="25.5546875" customWidth="1"/>
    <col min="6" max="6" width="8.5546875" customWidth="1"/>
    <col min="7" max="7" width="21.5546875" customWidth="1"/>
    <col min="8" max="8" width="6.5546875" customWidth="1"/>
    <col min="9" max="9" width="19.44140625" customWidth="1"/>
    <col min="10" max="10" width="6.5546875" customWidth="1"/>
    <col min="11" max="11" width="18.5546875" customWidth="1"/>
    <col min="12" max="12" width="7.5546875" customWidth="1"/>
    <col min="13" max="17" width="10.554687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Cusseta Crossing</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6">
      <c r="A8" s="510" t="s">
        <v>2647</v>
      </c>
      <c r="B8" s="510"/>
      <c r="C8" s="4763" t="str">
        <f>'Part I-Project Identification'!F25</f>
        <v>Cusseta Crossing</v>
      </c>
      <c r="D8" s="4763"/>
      <c r="E8" s="1020" t="str">
        <f>'Part I-Project Identification'!O7</f>
        <v>2023-0</v>
      </c>
      <c r="F8" s="510" t="s">
        <v>2648</v>
      </c>
      <c r="G8" s="507"/>
      <c r="H8" s="4763" t="str">
        <f>CONCATENATE('Part I-Project Identification'!F26,", ",'Part I-Project Identification'!J26)</f>
        <v>Columbus, Muscogee</v>
      </c>
      <c r="I8" s="4763"/>
      <c r="J8" s="4763"/>
      <c r="K8" s="4763"/>
      <c r="L8" s="507"/>
      <c r="M8" s="545"/>
    </row>
    <row r="9" spans="1:14" ht="15.6">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6">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6">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6">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6">
      <c r="A13" s="510" t="s">
        <v>2657</v>
      </c>
      <c r="B13" s="510"/>
      <c r="C13" s="506">
        <f>'Part V-Revenues &amp; Expenses'!$P$67</f>
        <v>48</v>
      </c>
      <c r="E13" s="970">
        <f>'Part V-Revenues &amp; Expenses'!$P$63</f>
        <v>48</v>
      </c>
      <c r="F13" s="510" t="s">
        <v>3452</v>
      </c>
      <c r="G13" s="507"/>
      <c r="H13" s="1021" t="e">
        <f>'Part I-Project Identification'!#REF!</f>
        <v>#REF!</v>
      </c>
      <c r="I13" s="971"/>
      <c r="J13" s="971"/>
      <c r="K13" s="1021">
        <f>'Part V-Revenues &amp; Expenses'!K175</f>
        <v>47250</v>
      </c>
      <c r="L13" s="507"/>
      <c r="M13" s="507"/>
    </row>
    <row r="14" spans="1:14" ht="15.6">
      <c r="A14" s="510" t="s">
        <v>2949</v>
      </c>
      <c r="B14" s="507"/>
      <c r="C14" s="1021" t="e">
        <f>'Part I-Project Identification'!#REF!</f>
        <v>#REF!</v>
      </c>
      <c r="D14" s="4763" t="e">
        <f>IF('Part V-Revenues &amp; Expenses'!#REF!=0,"",'Part V-Revenues &amp; Expenses'!#REF!)</f>
        <v>#REF!</v>
      </c>
      <c r="E14" s="4763"/>
      <c r="F14" s="510" t="s">
        <v>2658</v>
      </c>
      <c r="G14" s="507"/>
      <c r="H14" s="4743" t="s">
        <v>3100</v>
      </c>
      <c r="I14" s="4743"/>
      <c r="J14" s="4743"/>
      <c r="K14" s="4743" t="s">
        <v>3100</v>
      </c>
      <c r="L14" s="4743"/>
      <c r="M14" s="507"/>
    </row>
    <row r="15" spans="1:14" ht="15.6">
      <c r="A15" s="510" t="s">
        <v>2659</v>
      </c>
      <c r="B15" s="507"/>
      <c r="C15" s="546" t="s">
        <v>1646</v>
      </c>
      <c r="D15" s="507"/>
      <c r="E15" s="507"/>
      <c r="F15" s="510" t="s">
        <v>2950</v>
      </c>
      <c r="G15" s="507"/>
      <c r="H15" s="1020" t="str">
        <f>'Part I-Project Identification'!K28</f>
        <v>Urban</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15472006</v>
      </c>
      <c r="D18" s="1003">
        <f>IF(C18=0,"",$C$29/C18)</f>
        <v>0</v>
      </c>
      <c r="E18" s="507" t="s">
        <v>2953</v>
      </c>
      <c r="F18" s="510" t="s">
        <v>2954</v>
      </c>
      <c r="G18" s="507"/>
      <c r="H18" s="4764">
        <f>'Part III-A-Uses of Funds'!C49</f>
        <v>10528593</v>
      </c>
      <c r="I18" s="4764"/>
      <c r="J18" s="1002">
        <f>IF(H18=0,"",$C$29/H18)</f>
        <v>0</v>
      </c>
      <c r="K18" s="4763" t="s">
        <v>2955</v>
      </c>
      <c r="L18" s="4763"/>
      <c r="M18" s="507"/>
    </row>
    <row r="19" spans="1:13" ht="15.6">
      <c r="A19" s="510" t="s">
        <v>2660</v>
      </c>
      <c r="B19" s="507"/>
      <c r="C19" s="1022">
        <f>C18/C13</f>
        <v>322333.45833333331</v>
      </c>
      <c r="D19" s="507"/>
      <c r="E19" s="507"/>
      <c r="F19" s="510" t="s">
        <v>2660</v>
      </c>
      <c r="G19" s="507"/>
      <c r="H19" s="4765">
        <f>H18/C13</f>
        <v>219345.6875</v>
      </c>
      <c r="I19" s="4765"/>
      <c r="J19" s="507"/>
      <c r="K19" s="507"/>
      <c r="L19" s="507"/>
      <c r="M19" s="507"/>
    </row>
    <row r="20" spans="1:13" ht="15.6">
      <c r="A20" s="510" t="s">
        <v>2661</v>
      </c>
      <c r="B20" s="507"/>
      <c r="C20" s="1020">
        <f>C18/K13</f>
        <v>327.44986243386245</v>
      </c>
      <c r="D20" s="548"/>
      <c r="E20" s="548"/>
      <c r="F20" s="510" t="s">
        <v>2661</v>
      </c>
      <c r="G20" s="507"/>
      <c r="H20" s="4763">
        <f>H18/K13</f>
        <v>222.82736507936508</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15433947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v>
      </c>
      <c r="D40" s="507"/>
      <c r="E40" s="507"/>
      <c r="F40" s="510"/>
      <c r="G40" s="510" t="s">
        <v>2681</v>
      </c>
      <c r="H40" s="507"/>
      <c r="I40" s="507"/>
      <c r="K40" s="555">
        <f>C30/C18</f>
        <v>0.99754013797564456</v>
      </c>
      <c r="L40" s="507"/>
      <c r="M40" s="507"/>
    </row>
    <row r="46" spans="1:13" ht="15.6">
      <c r="A46" s="550" t="s">
        <v>2682</v>
      </c>
      <c r="B46" s="540"/>
      <c r="C46" s="540"/>
      <c r="D46" s="540"/>
      <c r="E46" s="540"/>
      <c r="F46" s="540"/>
      <c r="G46" s="540"/>
      <c r="H46" s="540"/>
      <c r="I46" s="540"/>
      <c r="J46" s="540"/>
      <c r="K46" s="540"/>
      <c r="L46" s="540"/>
      <c r="M46" s="507"/>
    </row>
    <row r="47" spans="1:13" ht="15.6">
      <c r="A47" s="550" t="str">
        <f>C8</f>
        <v>Cusseta Crossing</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6" t="s">
        <v>2685</v>
      </c>
      <c r="L50" s="474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374460</v>
      </c>
      <c r="D52" s="568"/>
      <c r="E52" s="568">
        <f>$C$52</f>
        <v>374460</v>
      </c>
      <c r="F52" s="568"/>
      <c r="G52" s="568">
        <f>$C$52</f>
        <v>374460</v>
      </c>
      <c r="H52" s="568"/>
      <c r="I52" s="568">
        <f>$C$52</f>
        <v>374460</v>
      </c>
      <c r="J52" s="568"/>
      <c r="K52" s="568">
        <f>$C$52</f>
        <v>374460</v>
      </c>
      <c r="L52" s="569"/>
      <c r="M52"/>
      <c r="N52"/>
    </row>
    <row r="53" spans="1:14" s="507" customFormat="1" ht="18.75" customHeight="1">
      <c r="B53" s="567" t="s">
        <v>2689</v>
      </c>
      <c r="C53" s="568">
        <f>'Part VI-Pro Forma'!B16</f>
        <v>7489.2</v>
      </c>
      <c r="D53" s="568"/>
      <c r="E53" s="568">
        <f>$C$53</f>
        <v>7489.2</v>
      </c>
      <c r="F53" s="568"/>
      <c r="G53" s="568">
        <f>$C$53</f>
        <v>7489.2</v>
      </c>
      <c r="H53" s="568"/>
      <c r="I53" s="568">
        <f>$C$53</f>
        <v>7489.2</v>
      </c>
      <c r="J53" s="568"/>
      <c r="K53" s="568">
        <f>$C$53</f>
        <v>7489.2</v>
      </c>
      <c r="L53" s="569"/>
      <c r="M53"/>
      <c r="N53"/>
    </row>
    <row r="54" spans="1:14" s="507" customFormat="1" ht="18.75" customHeight="1">
      <c r="B54" s="567" t="s">
        <v>2687</v>
      </c>
      <c r="C54" s="568">
        <f>'Part VI-Pro Forma'!B17</f>
        <v>-26736.444000000003</v>
      </c>
      <c r="D54" s="568"/>
      <c r="E54" s="568">
        <f>-($C$52+E53)*F50</f>
        <v>-38194.920000000006</v>
      </c>
      <c r="F54" s="570"/>
      <c r="G54" s="568">
        <f>-($C$52+G53)*0.07</f>
        <v>-26736.444000000003</v>
      </c>
      <c r="H54" s="568"/>
      <c r="I54" s="568">
        <f>-($C$52+I53)*0.07</f>
        <v>-26736.444000000003</v>
      </c>
      <c r="J54" s="568"/>
      <c r="K54" s="568">
        <f>-($C$52+K53)*L54</f>
        <v>-38194.920000000006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355212.75599999999</v>
      </c>
      <c r="D56" s="568"/>
      <c r="E56" s="574">
        <f>SUM(E52:E55)</f>
        <v>343754.28</v>
      </c>
      <c r="F56" s="568"/>
      <c r="G56" s="574">
        <f>SUM(G52:G55)</f>
        <v>355212.75599999999</v>
      </c>
      <c r="H56" s="568"/>
      <c r="I56" s="574">
        <f>SUM(I52:I55)</f>
        <v>355212.75599999999</v>
      </c>
      <c r="J56" s="568"/>
      <c r="K56" s="574">
        <f>SUM(K52:K55)</f>
        <v>343754.28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110150</v>
      </c>
      <c r="D58" s="568"/>
      <c r="E58" s="568">
        <f>$C$58</f>
        <v>110150</v>
      </c>
      <c r="F58" s="568"/>
      <c r="G58" s="568">
        <f>$C$58</f>
        <v>110150</v>
      </c>
      <c r="H58" s="568"/>
      <c r="I58" s="568">
        <f>$C$58</f>
        <v>110150</v>
      </c>
      <c r="J58" s="568"/>
      <c r="K58" s="568">
        <f>$C$58</f>
        <v>110150</v>
      </c>
      <c r="L58" s="569"/>
      <c r="M58"/>
      <c r="N58"/>
    </row>
    <row r="59" spans="1:14" s="507" customFormat="1" ht="18.75" customHeight="1">
      <c r="B59" s="567" t="s">
        <v>2692</v>
      </c>
      <c r="C59" s="568">
        <f>+'Part V-Revenues &amp; Expenses'!F247</f>
        <v>33600</v>
      </c>
      <c r="D59" s="568"/>
      <c r="E59" s="568">
        <f>$C$59</f>
        <v>33600</v>
      </c>
      <c r="F59" s="568"/>
      <c r="G59" s="568">
        <f>$C$59</f>
        <v>33600</v>
      </c>
      <c r="H59" s="568"/>
      <c r="I59" s="568">
        <f>$C$59</f>
        <v>33600</v>
      </c>
      <c r="J59" s="568"/>
      <c r="K59" s="568">
        <f>$C$59*(1+$L$59)</f>
        <v>34944</v>
      </c>
      <c r="L59" s="575">
        <v>0.04</v>
      </c>
      <c r="M59"/>
      <c r="N59"/>
    </row>
    <row r="60" spans="1:14" s="507" customFormat="1" ht="18.75" customHeight="1">
      <c r="B60" s="567" t="s">
        <v>1297</v>
      </c>
      <c r="C60" s="568">
        <f>+'Part V-Revenues &amp; Expenses'!L241</f>
        <v>27600</v>
      </c>
      <c r="D60" s="568"/>
      <c r="E60" s="568">
        <f>$C$60</f>
        <v>27600</v>
      </c>
      <c r="F60" s="568"/>
      <c r="G60" s="568">
        <f>$C$60</f>
        <v>27600</v>
      </c>
      <c r="H60" s="568"/>
      <c r="I60" s="568">
        <f>$C$60*(1+$J$50)</f>
        <v>28428</v>
      </c>
      <c r="J60" s="570"/>
      <c r="K60" s="568">
        <f>$C$60*(1+$J$50)</f>
        <v>28428</v>
      </c>
      <c r="L60" s="571">
        <v>0.03</v>
      </c>
      <c r="M60"/>
      <c r="N60"/>
    </row>
    <row r="61" spans="1:14" s="507" customFormat="1" ht="18.75" customHeight="1">
      <c r="B61" s="567" t="s">
        <v>1298</v>
      </c>
      <c r="C61" s="568">
        <f>+'Part V-Revenues &amp; Expenses'!L247</f>
        <v>71678</v>
      </c>
      <c r="D61" s="568"/>
      <c r="E61" s="568">
        <f>$C$61</f>
        <v>71678</v>
      </c>
      <c r="F61" s="568"/>
      <c r="G61" s="568">
        <f>$C$61*(1+H50)</f>
        <v>75261.900000000009</v>
      </c>
      <c r="H61" s="570"/>
      <c r="I61" s="568">
        <f>$C$61</f>
        <v>71678</v>
      </c>
      <c r="J61" s="568"/>
      <c r="K61" s="568">
        <f>$C$61*(1+$L$61)</f>
        <v>75261.900000000009</v>
      </c>
      <c r="L61" s="571">
        <v>0.05</v>
      </c>
      <c r="M61"/>
      <c r="N61"/>
    </row>
    <row r="62" spans="1:14" s="507" customFormat="1" ht="18.75" customHeight="1">
      <c r="B62" s="573" t="s">
        <v>2693</v>
      </c>
      <c r="C62" s="574">
        <f>SUM(C58:C61)</f>
        <v>243028</v>
      </c>
      <c r="D62" s="568"/>
      <c r="E62" s="574">
        <f>SUM(E58:E61)</f>
        <v>243028</v>
      </c>
      <c r="F62" s="568"/>
      <c r="G62" s="574">
        <f>SUM(G58:G61)</f>
        <v>246611.90000000002</v>
      </c>
      <c r="H62" s="568"/>
      <c r="I62" s="574">
        <f>SUM(I58:I61)</f>
        <v>243856</v>
      </c>
      <c r="J62" s="568"/>
      <c r="K62" s="574">
        <f>SUM(K58:K61)</f>
        <v>248783.90000000002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112184.75599999999</v>
      </c>
      <c r="D64" s="577"/>
      <c r="E64" s="577">
        <f>E56-E62</f>
        <v>100726.28000000003</v>
      </c>
      <c r="F64" s="577"/>
      <c r="G64" s="577">
        <f>G56-G62</f>
        <v>108600.85599999997</v>
      </c>
      <c r="H64" s="577"/>
      <c r="I64" s="577">
        <f>I56-I62</f>
        <v>111356.75599999999</v>
      </c>
      <c r="J64" s="577"/>
      <c r="K64" s="577">
        <f>K56-K62</f>
        <v>94970.38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12000</v>
      </c>
      <c r="D66" s="568"/>
      <c r="E66" s="568">
        <f>$C$66</f>
        <v>12000</v>
      </c>
      <c r="F66" s="568"/>
      <c r="G66" s="568">
        <f>$C$66</f>
        <v>12000</v>
      </c>
      <c r="H66" s="568"/>
      <c r="I66" s="568">
        <f>$C$66</f>
        <v>12000</v>
      </c>
      <c r="J66" s="568"/>
      <c r="K66" s="568">
        <f>$C$66</f>
        <v>12000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25920</v>
      </c>
      <c r="D68" s="568"/>
      <c r="E68" s="568">
        <f>$C$68</f>
        <v>25920</v>
      </c>
      <c r="F68" s="568"/>
      <c r="G68" s="568">
        <f>$C$68</f>
        <v>25920</v>
      </c>
      <c r="H68" s="568"/>
      <c r="I68" s="568">
        <f>$C$68</f>
        <v>25920</v>
      </c>
      <c r="J68" s="568"/>
      <c r="K68" s="568">
        <f>$C$68</f>
        <v>25920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74264.755999999994</v>
      </c>
      <c r="D70" s="577"/>
      <c r="E70" s="580">
        <f>E64-E66-E68</f>
        <v>62806.280000000028</v>
      </c>
      <c r="F70" s="577"/>
      <c r="G70" s="580">
        <f>G64-G66-G68</f>
        <v>70680.855999999971</v>
      </c>
      <c r="H70" s="577"/>
      <c r="I70" s="580">
        <f>I64-I66-I68</f>
        <v>73436.755999999994</v>
      </c>
      <c r="J70" s="577"/>
      <c r="K70" s="580">
        <f>K64-K66-K68</f>
        <v>57050.380000000005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0.30558106884803393</v>
      </c>
      <c r="D73" s="582"/>
      <c r="E73" s="1005">
        <f>E76/E62</f>
        <v>0.25843227940813418</v>
      </c>
      <c r="F73" s="582"/>
      <c r="G73" s="1005">
        <f>G76/G62</f>
        <v>0.2866076454542541</v>
      </c>
      <c r="H73" s="582"/>
      <c r="I73" s="1005">
        <f>I76/I62</f>
        <v>0.30114803818647068</v>
      </c>
      <c r="J73" s="582"/>
      <c r="K73" s="1005">
        <f>K76/K62</f>
        <v>0.22931700966179885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74264.755999999994</v>
      </c>
      <c r="D76" s="568"/>
      <c r="E76" s="568">
        <f>E70+E75</f>
        <v>62806.280000000028</v>
      </c>
      <c r="F76" s="568"/>
      <c r="G76" s="568">
        <f>G70+G75</f>
        <v>70680.855999999971</v>
      </c>
      <c r="H76" s="568"/>
      <c r="I76" s="568">
        <f>I70+I75</f>
        <v>73436.755999999994</v>
      </c>
      <c r="J76" s="568"/>
      <c r="K76" s="568">
        <f>K70+K75</f>
        <v>57050.380000000005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44140625" defaultRowHeight="13.2"/>
  <cols>
    <col min="1" max="1" width="24.5546875" style="953" customWidth="1"/>
    <col min="2" max="2" width="13.5546875" style="953" customWidth="1"/>
    <col min="3" max="11" width="10.5546875" style="953" customWidth="1"/>
    <col min="12" max="12" width="9.5546875" style="953" customWidth="1"/>
    <col min="13" max="21" width="10.5546875" style="953" customWidth="1"/>
    <col min="22" max="16384" width="9.44140625" style="953"/>
  </cols>
  <sheetData>
    <row r="1" spans="1:7" ht="3" customHeight="1"/>
    <row r="2" spans="1:7">
      <c r="A2" s="952" t="s">
        <v>3416</v>
      </c>
    </row>
    <row r="3" spans="1:7" ht="3" customHeight="1"/>
    <row r="4" spans="1:7">
      <c r="A4" s="953" t="s">
        <v>3417</v>
      </c>
      <c r="B4" s="954">
        <f>+'Part III-A-Uses of Funds'!$G$146</f>
        <v>15472006</v>
      </c>
    </row>
    <row r="5" spans="1:7">
      <c r="A5" s="953" t="s">
        <v>3448</v>
      </c>
      <c r="B5" s="954">
        <f>+B18+B26+B38</f>
        <v>110</v>
      </c>
    </row>
    <row r="6" spans="1:7">
      <c r="A6" s="953" t="s">
        <v>3418</v>
      </c>
      <c r="B6" s="955">
        <f>+B5-B4</f>
        <v>-15471896</v>
      </c>
    </row>
    <row r="7" spans="1:7">
      <c r="A7" s="953" t="s">
        <v>3419</v>
      </c>
      <c r="B7" s="956">
        <f>+B6/B4</f>
        <v>-0.99999289038538375</v>
      </c>
    </row>
    <row r="8" spans="1:7" ht="9" customHeight="1"/>
    <row r="9" spans="1:7">
      <c r="A9" s="953" t="s">
        <v>3420</v>
      </c>
      <c r="B9" s="954">
        <f>+B18+B26+B33</f>
        <v>0</v>
      </c>
    </row>
    <row r="10" spans="1:7">
      <c r="A10" s="953" t="s">
        <v>3418</v>
      </c>
      <c r="B10" s="955">
        <f>+B9-B4</f>
        <v>-15472006</v>
      </c>
    </row>
    <row r="11" spans="1:7">
      <c r="A11" s="953" t="s">
        <v>3419</v>
      </c>
      <c r="B11" s="956">
        <f>+B10/B4</f>
        <v>-1</v>
      </c>
    </row>
    <row r="12" spans="1:7" ht="24" customHeight="1"/>
    <row r="13" spans="1:7">
      <c r="A13" s="952" t="s">
        <v>3421</v>
      </c>
      <c r="D13" s="1010" t="s">
        <v>3665</v>
      </c>
      <c r="E13" s="1011"/>
    </row>
    <row r="14" spans="1:7">
      <c r="A14" s="953" t="s">
        <v>3422</v>
      </c>
      <c r="B14" s="957">
        <f>+SUM('Part II-Sources of Funds'!L51:M52)</f>
        <v>15435000</v>
      </c>
      <c r="D14" s="1011"/>
      <c r="E14" s="1011"/>
    </row>
    <row r="15" spans="1:7">
      <c r="A15" s="953" t="s">
        <v>3423</v>
      </c>
      <c r="B15" s="958">
        <f>+'Part III-A-Uses of Funds'!J180</f>
        <v>1547189.6</v>
      </c>
      <c r="D15" s="1011" t="s">
        <v>1895</v>
      </c>
      <c r="G15" s="1012">
        <f>'Part III-A-Uses of Funds'!J168</f>
        <v>17917854.5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8521731.6001999993</v>
      </c>
    </row>
    <row r="20" spans="1:7">
      <c r="A20" s="953" t="s">
        <v>3426</v>
      </c>
      <c r="B20" s="957">
        <f>+B18-B14</f>
        <v>-15435000</v>
      </c>
      <c r="D20" s="1011" t="s">
        <v>3670</v>
      </c>
      <c r="G20" s="1014">
        <f>+B14-G19</f>
        <v>6913268.3998000007</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0</v>
      </c>
    </row>
    <row r="25" spans="1:7">
      <c r="A25" s="953" t="s">
        <v>3430</v>
      </c>
      <c r="B25" s="961">
        <f>IF('Part II-Sources of Funds'!E6="Yes","N/A",MAX(B46:P46))</f>
        <v>-48282.024541537969</v>
      </c>
    </row>
    <row r="26" spans="1:7">
      <c r="A26" s="953" t="s">
        <v>3431</v>
      </c>
      <c r="B26" s="951">
        <f>IFERROR(PV('Part II-Sources of Funds'!K40,'Part II-Sources of Funds'!L40,B25+B45),B24)</f>
        <v>0</v>
      </c>
    </row>
    <row r="27" spans="1:7" ht="9" customHeight="1">
      <c r="B27" s="951"/>
    </row>
    <row r="28" spans="1:7">
      <c r="A28" s="953" t="s">
        <v>3432</v>
      </c>
      <c r="B28" s="962">
        <f>+B26-B24</f>
        <v>0</v>
      </c>
      <c r="C28" s="963"/>
    </row>
    <row r="29" spans="1:7">
      <c r="A29" s="953" t="s">
        <v>3427</v>
      </c>
      <c r="B29" s="964" t="e">
        <f>+B28/B24</f>
        <v>#DIV/0!</v>
      </c>
    </row>
    <row r="30" spans="1:7" ht="24" customHeight="1"/>
    <row r="31" spans="1:7">
      <c r="A31" s="952" t="s">
        <v>3362</v>
      </c>
    </row>
    <row r="32" spans="1:7">
      <c r="A32" s="953" t="s">
        <v>3433</v>
      </c>
      <c r="B32" s="965">
        <f>+'Part II-Sources of Funds'!I45</f>
        <v>37949</v>
      </c>
    </row>
    <row r="33" spans="1:11">
      <c r="A33" s="953" t="s">
        <v>3434</v>
      </c>
      <c r="B33" s="951"/>
    </row>
    <row r="34" spans="1:11" ht="9" customHeight="1">
      <c r="B34" s="951"/>
    </row>
    <row r="35" spans="1:11">
      <c r="A35" s="953" t="s">
        <v>3435</v>
      </c>
      <c r="B35" s="965">
        <f>+B33-B32</f>
        <v>-37949</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110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74264.755999999994</v>
      </c>
      <c r="C44" s="954">
        <f>+'Part VI-Pro Forma'!C25</f>
        <v>72940.171119999985</v>
      </c>
      <c r="D44" s="954">
        <f>+'Part VI-Pro Forma'!D25</f>
        <v>71505.146142399972</v>
      </c>
      <c r="E44" s="954">
        <f>+'Part VI-Pro Forma'!E25</f>
        <v>69955.637013247921</v>
      </c>
      <c r="F44" s="954">
        <f>+'Part VI-Pro Forma'!F25</f>
        <v>68284.44993995293</v>
      </c>
      <c r="G44" s="954">
        <f>+'Part VI-Pro Forma'!G25</f>
        <v>66488.236330785308</v>
      </c>
      <c r="H44" s="954">
        <f>+'Part VI-Pro Forma'!H25</f>
        <v>64560.487571195117</v>
      </c>
      <c r="I44" s="954">
        <f>+'Part VI-Pro Forma'!I25</f>
        <v>62497.529631826954</v>
      </c>
      <c r="J44" s="954">
        <f>+'Part VI-Pro Forma'!J25</f>
        <v>60291.517502947871</v>
      </c>
      <c r="K44" s="954">
        <f>+'Part VI-Pro Forma'!K25</f>
        <v>57938.429449845557</v>
      </c>
    </row>
    <row r="45" spans="1:11">
      <c r="A45" s="953" t="s">
        <v>3439</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3440</v>
      </c>
      <c r="B46" s="955">
        <f t="shared" ref="B46:K46" si="0">-B44/B48-B45</f>
        <v>-61887.296666666662</v>
      </c>
      <c r="C46" s="955">
        <f t="shared" si="0"/>
        <v>-60783.47593333332</v>
      </c>
      <c r="D46" s="955">
        <f t="shared" si="0"/>
        <v>-59587.621785333315</v>
      </c>
      <c r="E46" s="955">
        <f t="shared" si="0"/>
        <v>-58296.3641777066</v>
      </c>
      <c r="F46" s="955">
        <f t="shared" si="0"/>
        <v>-56903.708283294109</v>
      </c>
      <c r="G46" s="955">
        <f t="shared" si="0"/>
        <v>-55406.863608987762</v>
      </c>
      <c r="H46" s="955">
        <f t="shared" si="0"/>
        <v>-53800.406309329264</v>
      </c>
      <c r="I46" s="955">
        <f t="shared" si="0"/>
        <v>-52081.274693189131</v>
      </c>
      <c r="J46" s="955">
        <f t="shared" si="0"/>
        <v>-50242.931252456561</v>
      </c>
      <c r="K46" s="955">
        <f t="shared" si="0"/>
        <v>-48282.024541537969</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74264.755999999994</v>
      </c>
      <c r="C51" s="955">
        <f t="shared" ref="C51:K51" si="2">+C44</f>
        <v>72940.171119999985</v>
      </c>
      <c r="D51" s="955">
        <f t="shared" si="2"/>
        <v>71505.146142399972</v>
      </c>
      <c r="E51" s="955">
        <f t="shared" si="2"/>
        <v>69955.637013247921</v>
      </c>
      <c r="F51" s="955">
        <f t="shared" si="2"/>
        <v>68284.44993995293</v>
      </c>
      <c r="G51" s="955">
        <f t="shared" si="2"/>
        <v>66488.236330785308</v>
      </c>
      <c r="H51" s="955">
        <f t="shared" si="2"/>
        <v>64560.487571195117</v>
      </c>
      <c r="I51" s="955">
        <f t="shared" si="2"/>
        <v>62497.529631826954</v>
      </c>
      <c r="J51" s="955">
        <f t="shared" si="2"/>
        <v>60291.517502947871</v>
      </c>
      <c r="K51" s="955">
        <f t="shared" si="2"/>
        <v>57938.429449845557</v>
      </c>
    </row>
    <row r="52" spans="1:17">
      <c r="A52" s="953" t="s">
        <v>3442</v>
      </c>
      <c r="B52" s="955">
        <f>IF($B$25="N/A",B45,B45+$B$25)</f>
        <v>-48282.024541537969</v>
      </c>
      <c r="C52" s="955">
        <f t="shared" ref="C52:K52" si="3">IF($B$25="N/A",C45,C45+$B$25)</f>
        <v>-48282.024541537969</v>
      </c>
      <c r="D52" s="955">
        <f t="shared" si="3"/>
        <v>-48282.024541537969</v>
      </c>
      <c r="E52" s="955">
        <f t="shared" si="3"/>
        <v>-48282.024541537969</v>
      </c>
      <c r="F52" s="955">
        <f t="shared" si="3"/>
        <v>-48282.024541537969</v>
      </c>
      <c r="G52" s="955">
        <f t="shared" si="3"/>
        <v>-48282.024541537969</v>
      </c>
      <c r="H52" s="955">
        <f t="shared" si="3"/>
        <v>-48282.024541537969</v>
      </c>
      <c r="I52" s="955">
        <f t="shared" si="3"/>
        <v>-48282.024541537969</v>
      </c>
      <c r="J52" s="955">
        <f t="shared" si="3"/>
        <v>-48282.024541537969</v>
      </c>
      <c r="K52" s="955">
        <f t="shared" si="3"/>
        <v>-48282.024541537969</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18482.731458462025</v>
      </c>
      <c r="C54" s="955">
        <f t="shared" ref="C54:K54" si="4">+SUM(C51:C53)</f>
        <v>17158.146578462016</v>
      </c>
      <c r="D54" s="955">
        <f t="shared" si="4"/>
        <v>15723.121600862003</v>
      </c>
      <c r="E54" s="955">
        <f t="shared" si="4"/>
        <v>14173.612471709952</v>
      </c>
      <c r="F54" s="955">
        <f t="shared" si="4"/>
        <v>12502.425398414962</v>
      </c>
      <c r="G54" s="955">
        <f t="shared" si="4"/>
        <v>10706.21178924734</v>
      </c>
      <c r="H54" s="955">
        <f t="shared" si="4"/>
        <v>8778.4630296571486</v>
      </c>
      <c r="I54" s="955">
        <f t="shared" si="4"/>
        <v>6715.5050902889852</v>
      </c>
      <c r="J54" s="955">
        <f t="shared" si="4"/>
        <v>4509.4929614099019</v>
      </c>
      <c r="K54" s="955">
        <f t="shared" si="4"/>
        <v>2156.4049083075879</v>
      </c>
    </row>
    <row r="55" spans="1:17">
      <c r="A55" s="953" t="s">
        <v>3362</v>
      </c>
      <c r="B55" s="955">
        <f>-B54</f>
        <v>-18482.731458462025</v>
      </c>
      <c r="C55" s="955">
        <f t="shared" ref="C55:K55" si="5">-C54</f>
        <v>-17158.146578462016</v>
      </c>
      <c r="D55" s="955">
        <f t="shared" si="5"/>
        <v>-15723.121600862003</v>
      </c>
      <c r="E55" s="955">
        <f t="shared" si="5"/>
        <v>-14173.612471709952</v>
      </c>
      <c r="F55" s="955">
        <f t="shared" si="5"/>
        <v>-12502.425398414962</v>
      </c>
      <c r="G55" s="955">
        <f t="shared" si="5"/>
        <v>-10706.21178924734</v>
      </c>
      <c r="H55" s="955">
        <f t="shared" si="5"/>
        <v>-8778.4630296571486</v>
      </c>
      <c r="I55" s="955">
        <f t="shared" si="5"/>
        <v>-6715.5050902889852</v>
      </c>
      <c r="J55" s="955">
        <f t="shared" si="5"/>
        <v>-4509.4929614099019</v>
      </c>
      <c r="K55" s="955">
        <f t="shared" si="5"/>
        <v>-2156.4049083075879</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-48282.024541537969</v>
      </c>
      <c r="C58" s="954">
        <f>IF($B$26="","",-FV('Part II-Sources of Funds'!$K$40/12,12,C52/12,B58))</f>
        <v>-96564.049083075937</v>
      </c>
      <c r="D58" s="954">
        <f>IF($B$26="","",-FV('Part II-Sources of Funds'!$K$40/12,12,D52/12,C58))</f>
        <v>-144846.0736246139</v>
      </c>
      <c r="E58" s="954">
        <f>IF($B$26="","",-FV('Part II-Sources of Funds'!$K$40/12,12,E52/12,D58))</f>
        <v>-193128.09816615187</v>
      </c>
      <c r="F58" s="954">
        <f>IF($B$26="","",-FV('Part II-Sources of Funds'!$K$40/12,12,F52/12,E58))</f>
        <v>-241410.12270768985</v>
      </c>
      <c r="G58" s="954">
        <f>IF($B$26="","",-FV('Part II-Sources of Funds'!$K$40/12,12,G52/12,F58))</f>
        <v>-289692.1472492278</v>
      </c>
      <c r="H58" s="954">
        <f>IF($B$26="","",-FV('Part II-Sources of Funds'!$K$40/12,12,H52/12,G58))</f>
        <v>-337974.17179076577</v>
      </c>
      <c r="I58" s="954">
        <f>IF($B$26="","",-FV('Part II-Sources of Funds'!$K$40/12,12,I52/12,H58))</f>
        <v>-386256.19633230375</v>
      </c>
      <c r="J58" s="954">
        <f>IF($B$26="","",-FV('Part II-Sources of Funds'!$K$40/12,12,J52/12,I58))</f>
        <v>-434538.22087384172</v>
      </c>
      <c r="K58" s="954">
        <f>IF($B$26="","",-FV('Part II-Sources of Funds'!$K$40/12,12,K52/12,J58))</f>
        <v>-482820.2454153797</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55432.061083586465</v>
      </c>
      <c r="C64" s="954">
        <f>+'Part VI-Pro Forma'!C57</f>
        <v>52765.019241344402</v>
      </c>
      <c r="D64" s="954">
        <f>+'Part VI-Pro Forma'!D57</f>
        <v>49930.715670340222</v>
      </c>
      <c r="E64" s="954">
        <f>+'Part VI-Pro Forma'!E57</f>
        <v>46924.360509240985</v>
      </c>
      <c r="F64" s="954">
        <f>+'Part VI-Pro Forma'!F57</f>
        <v>43736.955560684539</v>
      </c>
      <c r="G64" s="954">
        <f>+'Part VI-Pro Forma'!G57</f>
        <v>40361.287348394588</v>
      </c>
      <c r="H64" s="954">
        <f>+'Part VI-Pro Forma'!H57</f>
        <v>36791.919952154072</v>
      </c>
      <c r="I64" s="954">
        <f>+'Part VI-Pro Forma'!I57</f>
        <v>33019.187613692382</v>
      </c>
      <c r="J64" s="954">
        <f>+'Part VI-Pro Forma'!J57</f>
        <v>29036.187106336038</v>
      </c>
      <c r="K64" s="954">
        <f>+'Part VI-Pro Forma'!K57</f>
        <v>24833.7698610439</v>
      </c>
    </row>
    <row r="65" spans="1:11">
      <c r="A65" s="953" t="s">
        <v>3439</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3440</v>
      </c>
      <c r="B66" s="955">
        <f t="shared" ref="B66:K66" si="7">-B64/B68-B65</f>
        <v>-46193.384236322054</v>
      </c>
      <c r="C66" s="955">
        <f t="shared" si="7"/>
        <v>-43970.849367787006</v>
      </c>
      <c r="D66" s="955">
        <f t="shared" si="7"/>
        <v>-41608.929725283517</v>
      </c>
      <c r="E66" s="955">
        <f t="shared" si="7"/>
        <v>-39103.633757700823</v>
      </c>
      <c r="F66" s="955">
        <f t="shared" si="7"/>
        <v>-36447.462967237116</v>
      </c>
      <c r="G66" s="955">
        <f t="shared" si="7"/>
        <v>-33634.406123662156</v>
      </c>
      <c r="H66" s="955">
        <f t="shared" si="7"/>
        <v>-30659.933293461727</v>
      </c>
      <c r="I66" s="955">
        <f t="shared" si="7"/>
        <v>-27515.989678076985</v>
      </c>
      <c r="J66" s="955">
        <f t="shared" si="7"/>
        <v>-24196.822588613366</v>
      </c>
      <c r="K66" s="955">
        <f t="shared" si="7"/>
        <v>-20694.808217536585</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55432.061083586465</v>
      </c>
      <c r="C71" s="955">
        <f t="shared" si="9"/>
        <v>52765.019241344402</v>
      </c>
      <c r="D71" s="955">
        <f t="shared" si="9"/>
        <v>49930.715670340222</v>
      </c>
      <c r="E71" s="955">
        <f t="shared" si="9"/>
        <v>46924.360509240985</v>
      </c>
      <c r="F71" s="955">
        <f t="shared" si="9"/>
        <v>43736.955560684539</v>
      </c>
      <c r="G71" s="955">
        <f t="shared" si="9"/>
        <v>40361.287348394588</v>
      </c>
      <c r="H71" s="955">
        <f>+H64</f>
        <v>36791.919952154072</v>
      </c>
      <c r="I71" s="955">
        <f>+I64</f>
        <v>33019.187613692382</v>
      </c>
      <c r="J71" s="955">
        <f>+J64</f>
        <v>29036.187106336038</v>
      </c>
      <c r="K71" s="955">
        <f>+K64</f>
        <v>24833.7698610439</v>
      </c>
    </row>
    <row r="72" spans="1:11">
      <c r="A72" s="953" t="s">
        <v>3442</v>
      </c>
      <c r="B72" s="955">
        <f t="shared" ref="B72:G72" si="10">IF($B$25="N/A",B65,B65+$B$25)</f>
        <v>-48282.024541537969</v>
      </c>
      <c r="C72" s="955">
        <f t="shared" si="10"/>
        <v>-48282.024541537969</v>
      </c>
      <c r="D72" s="955">
        <f t="shared" si="10"/>
        <v>-48282.024541537969</v>
      </c>
      <c r="E72" s="955">
        <f t="shared" si="10"/>
        <v>-48282.024541537969</v>
      </c>
      <c r="F72" s="955">
        <f t="shared" si="10"/>
        <v>-48282.024541537969</v>
      </c>
      <c r="G72" s="955">
        <f t="shared" si="10"/>
        <v>-48282.024541537969</v>
      </c>
      <c r="H72" s="955">
        <f>IF($B$25="N/A",H65,H65+$B$25)</f>
        <v>-48282.024541537969</v>
      </c>
      <c r="I72" s="955">
        <f>IF($B$25="N/A",I65,I65+$B$25)</f>
        <v>-48282.024541537969</v>
      </c>
      <c r="J72" s="955">
        <f>IF($B$25="N/A",J65,J65+$B$25)</f>
        <v>-48282.024541537969</v>
      </c>
      <c r="K72" s="955">
        <f>IF($B$25="N/A",K65,K65+$B$25)</f>
        <v>-48282.024541537969</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-349.9634579515041</v>
      </c>
      <c r="C74" s="955">
        <f t="shared" si="11"/>
        <v>-3017.0053001935667</v>
      </c>
      <c r="D74" s="955">
        <f t="shared" si="11"/>
        <v>-5851.3088711977471</v>
      </c>
      <c r="E74" s="955">
        <f t="shared" si="11"/>
        <v>-8857.6640322969834</v>
      </c>
      <c r="F74" s="955">
        <f t="shared" si="11"/>
        <v>-12045.06898085343</v>
      </c>
      <c r="G74" s="955">
        <f t="shared" si="11"/>
        <v>-15420.737193143381</v>
      </c>
      <c r="H74" s="955">
        <f>+SUM(H71:H73)</f>
        <v>-18990.104589383896</v>
      </c>
      <c r="I74" s="955">
        <f>+SUM(I71:I73)</f>
        <v>-22762.836927845587</v>
      </c>
      <c r="J74" s="955">
        <f>+SUM(J71:J73)</f>
        <v>-26745.837435201931</v>
      </c>
      <c r="K74" s="955">
        <f>+SUM(K71:K73)</f>
        <v>-30948.254680494068</v>
      </c>
    </row>
    <row r="75" spans="1:11">
      <c r="A75" s="953" t="s">
        <v>3362</v>
      </c>
      <c r="B75" s="955">
        <f t="shared" ref="B75:G75" si="12">-B74</f>
        <v>349.9634579515041</v>
      </c>
      <c r="C75" s="955">
        <f t="shared" si="12"/>
        <v>3017.0053001935667</v>
      </c>
      <c r="D75" s="955">
        <f t="shared" si="12"/>
        <v>5851.3088711977471</v>
      </c>
      <c r="E75" s="955">
        <f t="shared" si="12"/>
        <v>8857.6640322969834</v>
      </c>
      <c r="F75" s="955">
        <f t="shared" si="12"/>
        <v>12045.06898085343</v>
      </c>
      <c r="G75" s="955">
        <f t="shared" si="12"/>
        <v>15420.737193143381</v>
      </c>
      <c r="H75" s="955">
        <f>-H74</f>
        <v>18990.104589383896</v>
      </c>
      <c r="I75" s="955">
        <f>-I74</f>
        <v>22762.836927845587</v>
      </c>
      <c r="J75" s="955">
        <f>-J74</f>
        <v>26745.837435201931</v>
      </c>
      <c r="K75" s="955">
        <f>-K74</f>
        <v>30948.254680494068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-531102.26995691762</v>
      </c>
      <c r="C78" s="954">
        <f>IF($B$26="","",-FV('Part II-Sources of Funds'!$K$40/12,12,C72/12,B78))</f>
        <v>-579384.29449845559</v>
      </c>
      <c r="D78" s="954">
        <f>IF($B$26="","",-FV('Part II-Sources of Funds'!$K$40/12,12,D72/12,C78))</f>
        <v>-627666.31903999357</v>
      </c>
      <c r="E78" s="954">
        <f>IF($B$26="","",-FV('Part II-Sources of Funds'!$K$40/12,12,E72/12,D78))</f>
        <v>-675948.34358153155</v>
      </c>
      <c r="F78" s="954">
        <f>IF($B$26="","",-FV('Part II-Sources of Funds'!$K$40/12,12,F72/12,E78))</f>
        <v>-724230.36812306952</v>
      </c>
      <c r="G78" s="954">
        <f>IF($B$26="","",-FV('Part II-Sources of Funds'!$K$40/12,12,G72/12,F78))</f>
        <v>-772512.3926646075</v>
      </c>
      <c r="H78" s="954">
        <f>IF($B$26="","",-FV('Part II-Sources of Funds'!$K$40/12,12,H72/12,G78))</f>
        <v>-820794.41720614547</v>
      </c>
      <c r="I78" s="954">
        <f>IF($B$26="","",-FV('Part II-Sources of Funds'!$K$40/12,12,I72/12,H78))</f>
        <v>-869076.44174768345</v>
      </c>
      <c r="J78" s="954">
        <f>IF($B$26="","",-FV('Part II-Sources of Funds'!$K$40/12,12,J72/12,I78))</f>
        <v>-917358.46628922143</v>
      </c>
      <c r="K78" s="954">
        <f>IF($B$26="","",-FV('Part II-Sources of Funds'!$K$40/12,12,K72/12,J78))</f>
        <v>-965640.4908307594</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44140625" defaultRowHeight="13.8"/>
  <cols>
    <col min="1" max="1" width="22.5546875" style="516" customWidth="1"/>
    <col min="2" max="2" width="1.5546875" style="516" customWidth="1"/>
    <col min="3" max="3" width="13" style="516" customWidth="1"/>
    <col min="4" max="4" width="11.44140625" style="516" customWidth="1"/>
    <col min="5" max="5" width="14.5546875" style="516" customWidth="1"/>
    <col min="6" max="6" width="15.44140625" style="516" customWidth="1"/>
    <col min="7" max="7" width="11.5546875" style="516" customWidth="1"/>
    <col min="8" max="8" width="11.44140625" style="516" customWidth="1"/>
    <col min="9" max="9" width="10.5546875" style="516" customWidth="1"/>
    <col min="10" max="10" width="6" style="516" customWidth="1"/>
    <col min="11" max="11" width="12.5546875" style="516" customWidth="1"/>
    <col min="12" max="12" width="10.5546875" style="516" customWidth="1"/>
    <col min="13" max="13" width="26.44140625" style="516" customWidth="1"/>
    <col min="14" max="14" width="9.44140625" style="516"/>
    <col min="15" max="15" width="12.44140625" style="516" customWidth="1"/>
    <col min="16" max="16" width="9.44140625" style="516"/>
    <col min="17" max="17" width="11.5546875" style="516" bestFit="1" customWidth="1"/>
    <col min="18" max="16384" width="9.44140625" style="516"/>
  </cols>
  <sheetData>
    <row r="1" spans="1:15" ht="13.5" customHeight="1">
      <c r="A1" s="517" t="s">
        <v>2705</v>
      </c>
      <c r="B1" s="517"/>
      <c r="C1" s="516" t="str">
        <f>'Sensitivity Analysis'!C8</f>
        <v>Cusseta Crossing</v>
      </c>
    </row>
    <row r="2" spans="1:15" ht="13.5" customHeight="1"/>
    <row r="3" spans="1:15" ht="13.5" customHeight="1">
      <c r="A3" s="517" t="s">
        <v>2706</v>
      </c>
      <c r="C3" s="516" t="s">
        <v>2707</v>
      </c>
      <c r="E3" s="586">
        <f>SUM('Part III-A-Uses of Funds'!J162,'Part III-A-Uses of Funds'!M162,'Part III-A-Uses of Funds'!P162)</f>
        <v>13782965</v>
      </c>
      <c r="F3" s="1024" t="s">
        <v>2708</v>
      </c>
      <c r="H3" s="1006">
        <v>27.5</v>
      </c>
      <c r="I3" s="516" t="s">
        <v>2273</v>
      </c>
      <c r="K3" s="521" t="s">
        <v>2729</v>
      </c>
      <c r="M3" s="1024"/>
      <c r="O3" s="587"/>
    </row>
    <row r="4" spans="1:15" ht="13.5" customHeight="1">
      <c r="C4" s="516" t="s">
        <v>3128</v>
      </c>
      <c r="E4" s="586">
        <f>SUM('Part III-A-Uses of Funds'!G97:H101)</f>
        <v>0</v>
      </c>
      <c r="F4" s="1024" t="s">
        <v>3662</v>
      </c>
      <c r="H4" s="517">
        <f>'Part II-Sources of Funds'!M40</f>
        <v>0</v>
      </c>
      <c r="I4" s="516" t="s">
        <v>2273</v>
      </c>
      <c r="K4" s="588" t="s">
        <v>2957</v>
      </c>
      <c r="M4" s="1024"/>
    </row>
    <row r="5" spans="1:15" ht="13.5" customHeight="1">
      <c r="C5" s="516" t="s">
        <v>3129</v>
      </c>
      <c r="E5" s="586">
        <f>SUM('Part III-A-Uses of Funds'!G105:H111)</f>
        <v>169000</v>
      </c>
      <c r="F5" s="1024" t="s">
        <v>3661</v>
      </c>
      <c r="H5" s="1006">
        <v>15</v>
      </c>
      <c r="I5" s="516" t="s">
        <v>2273</v>
      </c>
      <c r="K5" s="587">
        <f>-E6</f>
        <v>-15433947</v>
      </c>
    </row>
    <row r="6" spans="1:15" ht="13.5" customHeight="1">
      <c r="C6" s="516" t="s">
        <v>2709</v>
      </c>
      <c r="E6" s="589">
        <f>'Part II-Sources of Funds'!$I$51+'Part II-Sources of Funds'!$I$52</f>
        <v>15433947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28815.755999999994</v>
      </c>
      <c r="D9" s="594">
        <f>'Part VI-Pro Forma'!C33</f>
        <v>65440.171119999985</v>
      </c>
      <c r="E9" s="594">
        <f>'Part VI-Pro Forma'!D33</f>
        <v>64005.146142399972</v>
      </c>
      <c r="F9" s="594">
        <f>'Part VI-Pro Forma'!E33</f>
        <v>62455.637013247921</v>
      </c>
      <c r="G9" s="594">
        <f>'Part VI-Pro Forma'!F33</f>
        <v>60784.44993995293</v>
      </c>
      <c r="H9" s="594">
        <f>'Part VI-Pro Forma'!G33</f>
        <v>58988.236330785308</v>
      </c>
      <c r="I9" s="594">
        <f>'Part VI-Pro Forma'!H33</f>
        <v>57060.487571195117</v>
      </c>
      <c r="K9" s="587" t="e">
        <f>F24</f>
        <v>#VALUE!</v>
      </c>
      <c r="N9" s="595" t="s">
        <v>2715</v>
      </c>
    </row>
    <row r="10" spans="1:15" ht="13.5" customHeight="1">
      <c r="A10" s="516" t="s">
        <v>2714</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-12000</v>
      </c>
      <c r="D13" s="979">
        <f>'Part VI-Pro Forma'!C23</f>
        <v>-12360</v>
      </c>
      <c r="E13" s="979">
        <f>'Part VI-Pro Forma'!D23</f>
        <v>-12730.8</v>
      </c>
      <c r="F13" s="979">
        <f>'Part VI-Pro Forma'!E23</f>
        <v>-13112.724</v>
      </c>
      <c r="G13" s="979">
        <f>'Part VI-Pro Forma'!F23</f>
        <v>-13506.10572</v>
      </c>
      <c r="H13" s="979">
        <f>'Part VI-Pro Forma'!G23</f>
        <v>-13911.288891599997</v>
      </c>
      <c r="I13" s="979">
        <f>'Part VI-Pro Forma'!H23</f>
        <v>-14328.627558347998</v>
      </c>
      <c r="K13" s="587" t="e">
        <f>C44</f>
        <v>#VALUE!</v>
      </c>
      <c r="O13" s="592"/>
    </row>
    <row r="14" spans="1:15" ht="13.5" customHeight="1">
      <c r="A14" s="598" t="s">
        <v>3131</v>
      </c>
      <c r="B14" s="598"/>
      <c r="C14" s="979">
        <f>'Part VI-Pro Forma'!B32</f>
        <v>-37949</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501198.72727272729</v>
      </c>
      <c r="D15" s="599">
        <f t="shared" si="0"/>
        <v>501198.72727272729</v>
      </c>
      <c r="E15" s="599">
        <f t="shared" si="0"/>
        <v>501198.72727272729</v>
      </c>
      <c r="F15" s="599">
        <f t="shared" si="0"/>
        <v>501198.72727272729</v>
      </c>
      <c r="G15" s="599">
        <f t="shared" si="0"/>
        <v>501198.72727272729</v>
      </c>
      <c r="H15" s="599">
        <f t="shared" si="0"/>
        <v>501198.72727272729</v>
      </c>
      <c r="I15" s="599">
        <f t="shared" si="0"/>
        <v>501198.72727272729</v>
      </c>
      <c r="K15" s="587" t="e">
        <f>E44</f>
        <v>#VALUE!</v>
      </c>
      <c r="O15" s="592"/>
    </row>
    <row r="16" spans="1:15" ht="13.5" customHeight="1">
      <c r="A16" s="516" t="s">
        <v>2719</v>
      </c>
      <c r="C16" s="599">
        <f>IF(C$8&lt;=$H$4,($E$4/$H$4),0)+IF(C$8&lt;=$H$5,($E$5/$H$5),0)</f>
        <v>11266.666666666666</v>
      </c>
      <c r="D16" s="599">
        <f t="shared" ref="D16:I16" si="1">IF(D$8&lt;=$H$4,($E$4/$H$4),0)+IF(D$8&lt;=$H$5,($E$5/$H$5),0)</f>
        <v>11266.666666666666</v>
      </c>
      <c r="E16" s="599">
        <f t="shared" si="1"/>
        <v>11266.666666666666</v>
      </c>
      <c r="F16" s="599">
        <f t="shared" si="1"/>
        <v>11266.666666666666</v>
      </c>
      <c r="G16" s="599">
        <f t="shared" si="1"/>
        <v>11266.666666666666</v>
      </c>
      <c r="H16" s="599">
        <f t="shared" si="1"/>
        <v>11266.666666666666</v>
      </c>
      <c r="I16" s="599">
        <f t="shared" si="1"/>
        <v>11266.666666666666</v>
      </c>
      <c r="K16" s="587" t="e">
        <f>F44</f>
        <v>#VALUE!</v>
      </c>
      <c r="M16" s="516" t="s">
        <v>2723</v>
      </c>
      <c r="O16" s="592">
        <f>E3</f>
        <v>13782965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10023974.545454547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3758990.4545454532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3758990.4545454532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-3758990.4545454532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54997.529631826954</v>
      </c>
      <c r="D29" s="594">
        <f>'Part VI-Pro Forma'!J33</f>
        <v>52791.517502947871</v>
      </c>
      <c r="E29" s="594">
        <f>'Part VI-Pro Forma'!K33</f>
        <v>50438.429449845557</v>
      </c>
      <c r="F29" s="594">
        <f>'Part VI-Pro Forma'!B65</f>
        <v>47932.061083586465</v>
      </c>
      <c r="G29" s="594">
        <f>'Part VI-Pro Forma'!C65</f>
        <v>45265.019241344402</v>
      </c>
      <c r="H29" s="594">
        <f>'Part VI-Pro Forma'!D65</f>
        <v>42430.715670340222</v>
      </c>
      <c r="I29" s="594">
        <f>'Part VI-Pro Forma'!E65</f>
        <v>39424.360509240985</v>
      </c>
      <c r="N29" s="603"/>
      <c r="O29" s="603"/>
    </row>
    <row r="30" spans="1:17" ht="13.5" customHeight="1">
      <c r="A30" s="516" t="s">
        <v>2714</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-751798.09090909071</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-14758.48638509844</v>
      </c>
      <c r="D33" s="979">
        <f>'Part VI-Pro Forma'!J23</f>
        <v>-15201.240976651392</v>
      </c>
      <c r="E33" s="979">
        <f>'Part VI-Pro Forma'!K23</f>
        <v>-15657.278205950934</v>
      </c>
      <c r="F33" s="979">
        <f>'Part VI-Pro Forma'!B55</f>
        <v>-16126.996552129462</v>
      </c>
      <c r="G33" s="979">
        <f>'Part VI-Pro Forma'!C55</f>
        <v>-16610.806448693347</v>
      </c>
      <c r="H33" s="979">
        <f>'Part VI-Pro Forma'!D55</f>
        <v>-17109.130642154145</v>
      </c>
      <c r="I33" s="979">
        <f>'Part VI-Pro Forma'!E55</f>
        <v>-17622.404561418767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501198.72727272729</v>
      </c>
      <c r="D35" s="599">
        <f t="shared" si="8"/>
        <v>501198.72727272729</v>
      </c>
      <c r="E35" s="599">
        <f t="shared" si="8"/>
        <v>501198.72727272729</v>
      </c>
      <c r="F35" s="599">
        <f t="shared" si="8"/>
        <v>501198.72727272729</v>
      </c>
      <c r="G35" s="599">
        <f t="shared" si="8"/>
        <v>501198.72727272729</v>
      </c>
      <c r="H35" s="599">
        <f t="shared" si="8"/>
        <v>501198.72727272729</v>
      </c>
      <c r="I35" s="599">
        <f t="shared" si="8"/>
        <v>501198.72727272729</v>
      </c>
    </row>
    <row r="36" spans="1:15" ht="13.5" customHeight="1">
      <c r="A36" s="516" t="s">
        <v>2719</v>
      </c>
      <c r="C36" s="594">
        <f>IF(C$28&lt;=$H$4,($E$4/$H$4),0)+IF(C$28&lt;=$H$5,($E$5/$H$5),0)</f>
        <v>11266.666666666666</v>
      </c>
      <c r="D36" s="594">
        <f t="shared" ref="D36:I36" si="9">IF(D$28&lt;=$H$4,($E$4/$H$4),0)+IF(D$28&lt;=$H$5,($E$5/$H$5),0)</f>
        <v>11266.666666666666</v>
      </c>
      <c r="E36" s="594">
        <f t="shared" si="9"/>
        <v>11266.666666666666</v>
      </c>
      <c r="F36" s="594">
        <f t="shared" si="9"/>
        <v>11266.666666666666</v>
      </c>
      <c r="G36" s="594">
        <f t="shared" si="9"/>
        <v>11266.666666666666</v>
      </c>
      <c r="H36" s="594">
        <f t="shared" si="9"/>
        <v>11266.666666666666</v>
      </c>
      <c r="I36" s="594">
        <f t="shared" si="9"/>
        <v>11266.666666666666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36236.955560684539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-18151.076698261331</v>
      </c>
      <c r="D53" s="979">
        <f>'Part VI-Pro Forma'!G55</f>
        <v>-18695.608999209173</v>
      </c>
      <c r="E53" s="979">
        <f>'Part VI-Pro Forma'!H55</f>
        <v>-19256.477269185445</v>
      </c>
      <c r="F53" s="979">
        <f>'Part VI-Pro Forma'!I55</f>
        <v>-19834.171587261008</v>
      </c>
      <c r="G53" s="979">
        <f>'Part VI-Pro Forma'!J55</f>
        <v>-20429.196734878838</v>
      </c>
      <c r="H53" s="979">
        <f>'Part VI-Pro Forma'!K55</f>
        <v>-21042.072636925204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501198.72727272729</v>
      </c>
      <c r="D55" s="599">
        <f t="shared" si="14"/>
        <v>501198.72727272729</v>
      </c>
      <c r="E55" s="599">
        <f t="shared" si="14"/>
        <v>501198.72727272729</v>
      </c>
      <c r="F55" s="599">
        <f t="shared" si="14"/>
        <v>501198.72727272729</v>
      </c>
      <c r="G55" s="599">
        <f t="shared" si="14"/>
        <v>501198.72727272729</v>
      </c>
      <c r="H55" s="599">
        <f t="shared" si="14"/>
        <v>501198.72727272729</v>
      </c>
    </row>
    <row r="56" spans="1:10" ht="13.5" customHeight="1">
      <c r="A56" s="516" t="s">
        <v>2719</v>
      </c>
      <c r="C56" s="594">
        <f t="shared" ref="C56:H56" si="15">IF(C$48&lt;=$H$4,($E$4/$H$4),0)+IF(C$48&lt;=$H$5,($E$5/$H$5),0)</f>
        <v>11266.666666666666</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44140625" defaultRowHeight="13.2"/>
  <cols>
    <col min="1" max="1" width="6.44140625" style="432" customWidth="1"/>
    <col min="2" max="2" width="16.5546875" style="432" customWidth="1"/>
    <col min="3" max="3" width="4.5546875" style="432" customWidth="1"/>
    <col min="4" max="4" width="6.44140625" style="432" customWidth="1"/>
    <col min="5" max="5" width="16.5546875" style="432" customWidth="1"/>
    <col min="6" max="6" width="4.5546875" style="432" customWidth="1"/>
    <col min="7" max="7" width="6.44140625" style="432" customWidth="1"/>
    <col min="8" max="8" width="16.5546875" style="432" customWidth="1"/>
    <col min="9" max="9" width="4.5546875" style="432" customWidth="1"/>
    <col min="10" max="10" width="6.44140625" style="432" customWidth="1"/>
    <col min="11" max="11" width="16.5546875" style="432" customWidth="1"/>
    <col min="12" max="16384" width="9.44140625" style="432"/>
  </cols>
  <sheetData>
    <row r="1" spans="1:11" s="439" customFormat="1" ht="17.850000000000001" customHeight="1">
      <c r="A1" s="4769" t="str">
        <f>'Sensitivity Analysis'!C8</f>
        <v>Cusseta Crossing</v>
      </c>
      <c r="B1" s="4769"/>
      <c r="C1" s="4769"/>
      <c r="D1" s="4769"/>
      <c r="E1" s="4769"/>
      <c r="F1" s="4769"/>
      <c r="G1" s="4769"/>
      <c r="H1" s="4769"/>
      <c r="I1" s="4769"/>
      <c r="J1" s="4769"/>
      <c r="K1" s="4769"/>
    </row>
    <row r="2" spans="1:11" s="439" customFormat="1" ht="17.850000000000001"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6061</v>
      </c>
      <c r="B4" s="4770"/>
      <c r="C4" s="1476"/>
      <c r="D4" s="4770" t="s">
        <v>6062</v>
      </c>
      <c r="E4" s="4770"/>
      <c r="F4" s="523"/>
      <c r="G4" s="4770" t="s">
        <v>6063</v>
      </c>
      <c r="H4" s="4770"/>
      <c r="I4" s="523"/>
      <c r="J4" s="4770" t="s">
        <v>6178</v>
      </c>
      <c r="K4" s="4770"/>
    </row>
    <row r="5" spans="1:11" ht="26.1" customHeight="1">
      <c r="A5" s="4771">
        <f>'Part II-Sources of Funds'!E40</f>
        <v>0</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44140625" defaultRowHeight="13.2"/>
  <cols>
    <col min="1" max="1" width="3" style="432" customWidth="1"/>
    <col min="2" max="2" width="0.5546875" style="432" customWidth="1"/>
    <col min="3" max="3" width="16.44140625" style="432" customWidth="1"/>
    <col min="4" max="4" width="18.44140625" style="432" customWidth="1"/>
    <col min="5" max="5" width="16.44140625" style="432" customWidth="1"/>
    <col min="6" max="6" width="13.44140625" style="432" customWidth="1"/>
    <col min="7" max="7" width="14.44140625" style="432" customWidth="1"/>
    <col min="8" max="8" width="5.5546875" style="432" customWidth="1"/>
    <col min="9" max="16384" width="9.44140625" style="432"/>
  </cols>
  <sheetData>
    <row r="1" spans="1:11" ht="12" customHeight="1">
      <c r="A1" s="4773" t="str">
        <f>CONCATENATE('Sensitivity Analysis'!E8,"  ",'Sensitivity Analysis'!C8)</f>
        <v>2023-0  Cusseta Crossing</v>
      </c>
      <c r="B1" s="4773"/>
      <c r="C1" s="4773"/>
      <c r="D1" s="4773"/>
      <c r="E1" s="4773"/>
      <c r="F1" s="4773"/>
      <c r="G1" s="4773"/>
      <c r="H1" s="4773"/>
    </row>
    <row r="3" spans="1:11" ht="12" customHeight="1">
      <c r="A3" s="4774" t="s">
        <v>3105</v>
      </c>
      <c r="B3" s="4774"/>
      <c r="C3" s="4774"/>
      <c r="D3" s="4774"/>
      <c r="E3" s="4774"/>
      <c r="F3" s="4774"/>
      <c r="G3" s="4774"/>
      <c r="H3" s="4774"/>
      <c r="I3" s="1027"/>
      <c r="J3" s="4776" t="s">
        <v>3459</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3464</v>
      </c>
      <c r="E11" s="4777"/>
      <c r="F11" s="4777"/>
      <c r="G11" s="4777"/>
      <c r="H11" s="4777"/>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Cusseta Crossing</v>
      </c>
    </row>
    <row r="16" spans="1:11" ht="12" customHeight="1">
      <c r="C16" s="432" t="s">
        <v>2744</v>
      </c>
      <c r="E16" s="4777"/>
      <c r="F16" s="4777"/>
      <c r="G16" s="4777"/>
      <c r="H16" s="4777"/>
    </row>
    <row r="17" spans="1:8" ht="12" customHeight="1">
      <c r="E17" s="438" t="str">
        <f>'Part I-Project Identification'!$F$26</f>
        <v>Columbus</v>
      </c>
      <c r="F17" s="609" t="s">
        <v>791</v>
      </c>
      <c r="G17" s="4778" t="s">
        <v>6751</v>
      </c>
      <c r="H17" s="4778"/>
    </row>
    <row r="18" spans="1:8" ht="12" customHeight="1">
      <c r="E18" s="620" t="str">
        <f>(CONCATENATE('Part I-Project Identification'!$J$26," County"))</f>
        <v>Muscogee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3460</v>
      </c>
      <c r="E23" s="1991"/>
    </row>
    <row r="24" spans="1:8" ht="12" customHeight="1">
      <c r="C24" s="432" t="s">
        <v>3463</v>
      </c>
      <c r="E24" s="1991"/>
    </row>
    <row r="25" spans="1:8" ht="12" customHeight="1">
      <c r="C25" s="432" t="s">
        <v>3464</v>
      </c>
      <c r="E25" s="4777"/>
      <c r="F25" s="4777"/>
      <c r="G25" s="4777"/>
      <c r="H25" s="477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11163393</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3466</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48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t="str">
        <f>'Subsidy Layering Memo'!$L$70</f>
        <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134475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67238</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44140625" defaultRowHeight="13.2"/>
  <cols>
    <col min="1" max="1" width="23.5546875" style="432" customWidth="1"/>
    <col min="2" max="2" width="11" style="432" customWidth="1"/>
    <col min="3" max="3" width="31" style="432" customWidth="1"/>
    <col min="4" max="4" width="14" style="432" customWidth="1"/>
    <col min="5" max="10" width="11.44140625" style="432" customWidth="1"/>
    <col min="11" max="16384" width="9.44140625" style="432"/>
  </cols>
  <sheetData>
    <row r="1" spans="1:13" ht="13.8">
      <c r="A1" s="4782" t="s">
        <v>2960</v>
      </c>
      <c r="B1" s="4782"/>
      <c r="C1" s="4782"/>
      <c r="D1" s="4782"/>
      <c r="E1" s="4782"/>
      <c r="F1" s="4782"/>
      <c r="G1" s="4782"/>
      <c r="H1" s="4782"/>
      <c r="I1" s="4782"/>
      <c r="J1" s="4782"/>
    </row>
    <row r="2" spans="1:13" ht="13.8">
      <c r="A2" s="4782" t="str">
        <f>'Sensitivity Analysis'!E8&amp;"  "&amp;'Sensitivity Analysis'!C8</f>
        <v>2023-0  Cusseta Crossing</v>
      </c>
      <c r="B2" s="4782"/>
      <c r="C2" s="4782"/>
      <c r="D2" s="4782"/>
      <c r="E2" s="4782"/>
      <c r="F2" s="4782"/>
      <c r="G2" s="4782"/>
      <c r="H2" s="4782"/>
      <c r="I2" s="4782"/>
      <c r="J2" s="4782"/>
    </row>
    <row r="3" spans="1:13" ht="6" customHeight="1">
      <c r="K3" s="4776" t="s">
        <v>3459</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Cusseta Crossing</v>
      </c>
      <c r="I28" s="560"/>
    </row>
    <row r="29" spans="1:9" ht="3" customHeight="1">
      <c r="C29" s="613"/>
      <c r="I29" s="560"/>
    </row>
    <row r="30" spans="1:9" ht="12" customHeight="1">
      <c r="A30" s="432" t="s">
        <v>2791</v>
      </c>
      <c r="C30" s="613">
        <f>'Preview term'!E16</f>
        <v>0</v>
      </c>
      <c r="I30" s="560"/>
    </row>
    <row r="31" spans="1:9">
      <c r="C31" s="560" t="str">
        <f>'Preview term'!E17</f>
        <v>Columbus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6166</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3109</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Muscogee</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3110</v>
      </c>
      <c r="E53" s="4786"/>
      <c r="F53" s="4786"/>
      <c r="G53" s="4786"/>
      <c r="H53" s="4786"/>
      <c r="I53" s="4786"/>
      <c r="J53" s="4786"/>
    </row>
    <row r="54" spans="1:10" ht="12" customHeight="1">
      <c r="A54" s="617"/>
      <c r="B54" s="617"/>
      <c r="C54" s="617"/>
      <c r="D54" s="619" t="s">
        <v>3111</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11163393</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t="str">
        <f>'Subsidy Layering Memo'!L70</f>
        <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f>'Part II-Sources of Funds'!E40</f>
        <v>0</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6170</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616025.5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134475</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12000</v>
      </c>
      <c r="F174" s="560" t="s">
        <v>2871</v>
      </c>
    </row>
    <row r="175" spans="1:9">
      <c r="E175" s="632">
        <f>E174/12</f>
        <v>1000</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67238</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3.8">
      <c r="A204" s="522" t="s">
        <v>6154</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6157</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44140625" defaultRowHeight="13.8"/>
  <cols>
    <col min="1" max="1" width="5.44140625" style="1327" customWidth="1"/>
    <col min="2" max="2" width="6.44140625" style="1327" customWidth="1"/>
    <col min="3" max="3" width="9.5546875" style="1327" customWidth="1"/>
    <col min="4" max="4" width="10.44140625" style="1327" customWidth="1"/>
    <col min="5" max="5" width="7.5546875" style="1331" customWidth="1"/>
    <col min="6" max="6" width="8" style="1327" customWidth="1"/>
    <col min="7" max="7" width="8.5546875" style="1327" customWidth="1"/>
    <col min="8" max="8" width="10.44140625" style="1327" customWidth="1"/>
    <col min="9" max="9" width="10.5546875" style="1327" customWidth="1"/>
    <col min="10" max="11" width="11.5546875" style="1327" customWidth="1"/>
    <col min="12" max="16384" width="9.441406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Cusseta Crossing</v>
      </c>
      <c r="E3" s="4167"/>
      <c r="F3" s="4167"/>
      <c r="G3" s="4167"/>
      <c r="H3" s="4167"/>
      <c r="I3" s="4167"/>
      <c r="J3" s="4820" t="s">
        <v>3971</v>
      </c>
      <c r="K3" s="4821"/>
    </row>
    <row r="4" spans="1:11" ht="15" customHeight="1">
      <c r="A4" s="1332" t="s">
        <v>3969</v>
      </c>
      <c r="B4" s="1333"/>
      <c r="C4" s="1334"/>
      <c r="D4" s="4816">
        <f>'Preview term'!$E$16</f>
        <v>0</v>
      </c>
      <c r="E4" s="4817"/>
      <c r="F4" s="4817"/>
      <c r="G4" s="4817"/>
      <c r="H4" s="4817"/>
      <c r="I4" s="4817"/>
      <c r="J4" s="4172" t="s">
        <v>4010</v>
      </c>
      <c r="K4" s="4173"/>
    </row>
    <row r="5" spans="1:11" ht="15" customHeight="1" thickBot="1">
      <c r="A5" s="1335" t="s">
        <v>3970</v>
      </c>
      <c r="B5" s="1336"/>
      <c r="C5" s="1337"/>
      <c r="D5" s="4818"/>
      <c r="E5" s="4819"/>
      <c r="F5" s="4819"/>
      <c r="G5" s="4819"/>
      <c r="H5" s="4819"/>
      <c r="I5" s="4819"/>
      <c r="J5" s="4174"/>
      <c r="K5" s="4175"/>
    </row>
    <row r="6" spans="1:11" ht="9" customHeight="1" thickBot="1">
      <c r="E6" s="1327"/>
    </row>
    <row r="7" spans="1:11">
      <c r="A7" s="4184" t="s">
        <v>3972</v>
      </c>
      <c r="B7" s="4185"/>
      <c r="C7" s="4185"/>
      <c r="D7" s="4185"/>
      <c r="E7" s="4185"/>
      <c r="F7" s="4185"/>
      <c r="G7" s="4185"/>
      <c r="H7" s="4185"/>
      <c r="I7" s="4185"/>
      <c r="J7" s="4185"/>
      <c r="K7" s="4186"/>
    </row>
    <row r="8" spans="1:11" ht="14.25" customHeight="1">
      <c r="A8" s="1333"/>
      <c r="B8" s="1333"/>
      <c r="C8" s="1365">
        <v>1</v>
      </c>
      <c r="D8" s="1352" t="s">
        <v>3973</v>
      </c>
      <c r="E8" s="1352"/>
      <c r="F8" s="1352"/>
      <c r="G8" s="1352"/>
      <c r="H8" s="1352"/>
      <c r="I8" s="1352"/>
      <c r="J8" s="4797"/>
      <c r="K8" s="4798"/>
    </row>
    <row r="9" spans="1:11" ht="7.35" customHeight="1">
      <c r="A9" s="4121"/>
      <c r="B9" s="4121"/>
      <c r="C9" s="4121"/>
      <c r="D9" s="4122"/>
      <c r="E9" s="4122"/>
      <c r="F9" s="4122"/>
      <c r="G9" s="4122"/>
      <c r="H9" s="4122"/>
      <c r="I9" s="4122"/>
      <c r="J9" s="4122"/>
      <c r="K9" s="1353"/>
    </row>
    <row r="10" spans="1:11">
      <c r="A10" s="4187" t="s">
        <v>3974</v>
      </c>
      <c r="B10" s="4188"/>
      <c r="C10" s="4188"/>
      <c r="D10" s="4188"/>
      <c r="E10" s="4188"/>
      <c r="F10" s="4188"/>
      <c r="G10" s="4188"/>
      <c r="H10" s="4188"/>
      <c r="I10" s="4188"/>
      <c r="J10" s="4188"/>
      <c r="K10" s="4189"/>
    </row>
    <row r="11" spans="1:11" ht="14.25" customHeight="1">
      <c r="A11" s="1333"/>
      <c r="B11" s="1333"/>
      <c r="C11" s="1365">
        <v>2</v>
      </c>
      <c r="D11" s="1352" t="s">
        <v>3975</v>
      </c>
      <c r="E11" s="1354"/>
      <c r="F11" s="1354"/>
      <c r="G11" s="1354"/>
      <c r="H11" s="1354"/>
      <c r="I11" s="1354"/>
      <c r="J11" s="4795"/>
      <c r="K11" s="4796"/>
    </row>
    <row r="12" spans="1:11" ht="7.35" customHeight="1">
      <c r="A12" s="4121"/>
      <c r="B12" s="4121"/>
      <c r="C12" s="4121"/>
      <c r="D12" s="4122"/>
      <c r="E12" s="4122"/>
      <c r="F12" s="4122"/>
      <c r="G12" s="4122"/>
      <c r="H12" s="4122"/>
      <c r="I12" s="4122"/>
      <c r="J12" s="4122"/>
      <c r="K12" s="1355"/>
    </row>
    <row r="13" spans="1:11">
      <c r="A13" s="4187" t="s">
        <v>3976</v>
      </c>
      <c r="B13" s="4188"/>
      <c r="C13" s="4188"/>
      <c r="D13" s="4188"/>
      <c r="E13" s="4188"/>
      <c r="F13" s="4188"/>
      <c r="G13" s="4188"/>
      <c r="H13" s="4188"/>
      <c r="I13" s="4188"/>
      <c r="J13" s="4188"/>
      <c r="K13" s="4189"/>
    </row>
    <row r="14" spans="1:11" ht="14.25" customHeight="1">
      <c r="A14" s="1333"/>
      <c r="B14" s="1333"/>
      <c r="C14" s="1366">
        <v>3</v>
      </c>
      <c r="D14" s="1356" t="s">
        <v>3977</v>
      </c>
      <c r="E14" s="1356"/>
      <c r="F14" s="1356"/>
      <c r="G14" s="1356"/>
      <c r="H14" s="1356"/>
      <c r="I14" s="1356"/>
      <c r="J14" s="4793"/>
      <c r="K14" s="4794"/>
    </row>
    <row r="15" spans="1:11" ht="14.25" customHeight="1">
      <c r="A15" s="1333"/>
      <c r="B15" s="1333"/>
      <c r="C15" s="1367">
        <v>4</v>
      </c>
      <c r="D15" s="1333" t="s">
        <v>3978</v>
      </c>
      <c r="E15" s="1333"/>
      <c r="F15" s="1333"/>
      <c r="G15" s="1333"/>
      <c r="H15" s="1333"/>
      <c r="I15" s="1333"/>
      <c r="J15" s="4791"/>
      <c r="K15" s="4792"/>
    </row>
    <row r="16" spans="1:11" ht="14.25" customHeight="1">
      <c r="A16" s="1333"/>
      <c r="B16" s="1333"/>
      <c r="C16" s="1367">
        <v>5</v>
      </c>
      <c r="D16" s="1333" t="s">
        <v>3979</v>
      </c>
      <c r="E16" s="1333"/>
      <c r="F16" s="1333"/>
      <c r="G16" s="1333"/>
      <c r="H16" s="1333"/>
      <c r="I16" s="1333"/>
      <c r="J16" s="4791"/>
      <c r="K16" s="4792"/>
    </row>
    <row r="17" spans="1:13" ht="14.25" customHeight="1">
      <c r="A17" s="1333"/>
      <c r="B17" s="1333"/>
      <c r="C17" s="1368">
        <v>6</v>
      </c>
      <c r="D17" s="1336" t="s">
        <v>3980</v>
      </c>
      <c r="E17" s="1336"/>
      <c r="F17" s="1336"/>
      <c r="G17" s="1336"/>
      <c r="H17" s="1336"/>
      <c r="I17" s="1336"/>
      <c r="J17" s="4799"/>
      <c r="K17" s="4800"/>
    </row>
    <row r="18" spans="1:13" ht="7.35" customHeight="1">
      <c r="A18" s="4121"/>
      <c r="B18" s="4121"/>
      <c r="C18" s="4121"/>
      <c r="D18" s="4122"/>
      <c r="E18" s="4122"/>
      <c r="F18" s="4122"/>
      <c r="G18" s="4122"/>
      <c r="H18" s="4122"/>
      <c r="I18" s="4122"/>
      <c r="J18" s="4122"/>
      <c r="K18" s="1355"/>
    </row>
    <row r="19" spans="1:13" ht="14.25" customHeight="1">
      <c r="A19" s="1333"/>
      <c r="B19" s="1333"/>
      <c r="C19" s="1366">
        <v>7</v>
      </c>
      <c r="D19" s="1356" t="s">
        <v>3981</v>
      </c>
      <c r="E19" s="1356"/>
      <c r="F19" s="1356"/>
      <c r="G19" s="1356"/>
      <c r="H19" s="1356"/>
      <c r="I19" s="1356"/>
      <c r="J19" s="4115" t="str">
        <f>IF(J17="No",J14-J15,IF(J17="Yes",J14-J15-J16,"Error"))</f>
        <v>Error</v>
      </c>
      <c r="K19" s="4116"/>
    </row>
    <row r="20" spans="1:13" ht="14.25" customHeight="1">
      <c r="A20" s="1333"/>
      <c r="B20" s="1333"/>
      <c r="C20" s="1368">
        <v>8</v>
      </c>
      <c r="D20" s="1336" t="s">
        <v>3982</v>
      </c>
      <c r="E20" s="1336"/>
      <c r="F20" s="1336"/>
      <c r="G20" s="1336"/>
      <c r="H20" s="1336"/>
      <c r="I20" s="1336"/>
      <c r="J20" s="4113" t="e">
        <f>ROUNDDOWN(J19/J8,2)</f>
        <v>#VALUE!</v>
      </c>
      <c r="K20" s="4114"/>
    </row>
    <row r="21" spans="1:13" ht="7.35" customHeight="1">
      <c r="A21" s="4121"/>
      <c r="B21" s="4121"/>
      <c r="C21" s="4121"/>
      <c r="D21" s="4122"/>
      <c r="E21" s="4122"/>
      <c r="F21" s="4122"/>
      <c r="G21" s="4122"/>
      <c r="H21" s="4122"/>
      <c r="I21" s="4122"/>
      <c r="J21" s="4122"/>
      <c r="K21" s="1355"/>
    </row>
    <row r="22" spans="1:13" ht="14.25" customHeight="1" thickBot="1">
      <c r="A22" s="1333"/>
      <c r="B22" s="1333"/>
      <c r="C22" s="1365">
        <v>9</v>
      </c>
      <c r="D22" s="1357" t="s">
        <v>3983</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4014</v>
      </c>
      <c r="B30" s="4155"/>
      <c r="C30" s="4155"/>
      <c r="D30" s="4155"/>
      <c r="E30" s="4155"/>
      <c r="F30" s="4155"/>
      <c r="G30" s="4155"/>
      <c r="H30" s="4155"/>
      <c r="I30" s="4155"/>
      <c r="J30" s="4155"/>
      <c r="K30" s="4156"/>
    </row>
    <row r="31" spans="1:13">
      <c r="B31" s="4805" t="s">
        <v>3971</v>
      </c>
      <c r="C31" s="4805"/>
      <c r="D31" s="4805"/>
      <c r="E31" s="4805"/>
      <c r="F31" s="4805"/>
      <c r="G31" s="4158" t="s">
        <v>3985</v>
      </c>
      <c r="H31" s="4159"/>
      <c r="I31" s="4159"/>
      <c r="J31" s="4159"/>
      <c r="K31" s="4160"/>
    </row>
    <row r="32" spans="1:13" ht="56.25" customHeight="1">
      <c r="A32" s="1351"/>
      <c r="B32" s="1369" t="s">
        <v>4013</v>
      </c>
      <c r="C32" s="1370" t="s">
        <v>4009</v>
      </c>
      <c r="D32" s="1370" t="s">
        <v>4008</v>
      </c>
      <c r="E32" s="4161" t="s">
        <v>6099</v>
      </c>
      <c r="F32" s="4162"/>
      <c r="G32" s="1371" t="s">
        <v>3986</v>
      </c>
      <c r="H32" s="1371" t="s">
        <v>3987</v>
      </c>
      <c r="J32" s="1371" t="s">
        <v>3988</v>
      </c>
      <c r="K32" s="1371" t="s">
        <v>3989</v>
      </c>
      <c r="L32" s="4163" t="s">
        <v>3990</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3991</v>
      </c>
      <c r="H52" s="1372" t="e">
        <f>SUM(H33:H51)</f>
        <v>#VALUE!</v>
      </c>
      <c r="I52" s="1356"/>
      <c r="J52" s="1362" t="s">
        <v>3992</v>
      </c>
      <c r="K52" s="1358" t="e">
        <f>SUM(K33:K51)</f>
        <v>#VALUE!</v>
      </c>
      <c r="L52" s="4163"/>
      <c r="M52" s="4163"/>
    </row>
    <row r="53" spans="1:13" ht="15" customHeight="1">
      <c r="B53" s="1363"/>
      <c r="C53" s="4149" t="s">
        <v>3993</v>
      </c>
      <c r="D53" s="4149"/>
      <c r="E53" s="4149"/>
      <c r="F53" s="4149"/>
      <c r="G53" s="4149"/>
      <c r="H53" s="4149"/>
      <c r="I53" s="4149"/>
      <c r="J53" s="4150"/>
      <c r="K53" s="1364" t="str">
        <f>IF(J17="no",0,IF(J17="yes",J16,"Error"))</f>
        <v>Error</v>
      </c>
      <c r="L53" s="4163"/>
      <c r="M53" s="4163"/>
    </row>
    <row r="54" spans="1:13" ht="15" customHeight="1" thickBot="1">
      <c r="B54" s="1363"/>
      <c r="C54" s="4151" t="s">
        <v>3994</v>
      </c>
      <c r="D54" s="4151"/>
      <c r="E54" s="4151"/>
      <c r="F54" s="4151"/>
      <c r="G54" s="4151"/>
      <c r="H54" s="4151"/>
      <c r="I54" s="4151"/>
      <c r="J54" s="4152"/>
      <c r="K54" s="1375" t="e">
        <f>K52+K53</f>
        <v>#VALUE!</v>
      </c>
    </row>
    <row r="55" spans="1:13" ht="8.1" customHeight="1">
      <c r="A55" s="4153"/>
      <c r="B55" s="4123"/>
      <c r="C55" s="4123"/>
      <c r="D55" s="4123"/>
      <c r="E55" s="4123"/>
      <c r="F55" s="4123"/>
      <c r="G55" s="4123"/>
      <c r="H55" s="4123"/>
      <c r="I55" s="4123"/>
      <c r="J55" s="4123"/>
      <c r="K55" s="1386"/>
    </row>
    <row r="56" spans="1:13" ht="15" customHeight="1">
      <c r="A56" s="4124" t="s">
        <v>3995</v>
      </c>
      <c r="B56" s="4125"/>
      <c r="C56" s="4125"/>
      <c r="D56" s="4125"/>
      <c r="E56" s="4125"/>
      <c r="F56" s="4125"/>
      <c r="G56" s="4125"/>
      <c r="H56" s="4125"/>
      <c r="I56" s="4125"/>
      <c r="J56" s="4125"/>
      <c r="K56" s="4126"/>
    </row>
    <row r="57" spans="1:13" ht="48" customHeight="1">
      <c r="A57" s="1348"/>
      <c r="B57" s="1339"/>
      <c r="C57" s="1350" t="s">
        <v>3996</v>
      </c>
      <c r="D57" s="1483" t="s">
        <v>6064</v>
      </c>
      <c r="E57" s="4136" t="s">
        <v>4012</v>
      </c>
      <c r="F57" s="4137"/>
      <c r="G57" s="4810" t="s">
        <v>3997</v>
      </c>
      <c r="H57" s="4811"/>
      <c r="I57" s="4136" t="s">
        <v>4011</v>
      </c>
      <c r="J57" s="4137"/>
      <c r="K57" s="4140"/>
    </row>
    <row r="58" spans="1:13" ht="15" customHeight="1">
      <c r="A58" s="1465"/>
      <c r="B58" s="1381"/>
      <c r="C58" s="1359">
        <f>SUMIF(C33:C51, "0", H33:H51)</f>
        <v>0</v>
      </c>
      <c r="D58" s="1484">
        <f t="shared" ref="D58:D63" si="4">ROUNDUP(C58*1.1,0)</f>
        <v>0</v>
      </c>
      <c r="E58" s="4142" t="s">
        <v>3998</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3999</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4000</v>
      </c>
      <c r="F63" s="4134"/>
      <c r="G63" s="4806">
        <f>'DCA Underwriting Assumptions'!H133</f>
        <v>316236</v>
      </c>
      <c r="H63" s="4807"/>
      <c r="I63" s="4135">
        <f t="shared" si="5"/>
        <v>0</v>
      </c>
      <c r="J63" s="4135"/>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27" t="s">
        <v>4007</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44140625" defaultRowHeight="13.2"/>
  <cols>
    <col min="1" max="1" width="3.44140625" style="432" customWidth="1"/>
    <col min="2" max="2" width="4.44140625" style="432" customWidth="1"/>
    <col min="3" max="3" width="18.5546875" style="432" customWidth="1"/>
    <col min="4" max="4" width="2.5546875" style="432" customWidth="1"/>
    <col min="5" max="5" width="6.5546875" style="432" customWidth="1"/>
    <col min="6" max="6" width="39.44140625" style="432" customWidth="1"/>
    <col min="7" max="8" width="8.44140625" style="432" customWidth="1"/>
    <col min="9" max="9" width="9.44140625" style="432"/>
    <col min="10" max="10" width="14.44140625" style="432" customWidth="1"/>
    <col min="11" max="16384" width="9.44140625" style="432"/>
  </cols>
  <sheetData>
    <row r="1" spans="1:11">
      <c r="A1" s="560" t="s">
        <v>2881</v>
      </c>
      <c r="H1" s="614" t="str">
        <f>'Sensitivity Analysis'!C8</f>
        <v>Cusseta Crossing</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29601.062999999998</v>
      </c>
      <c r="K4" s="1008" t="s">
        <v>3664</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15433947</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4081</v>
      </c>
      <c r="B23" s="4830"/>
      <c r="C23" s="4830"/>
      <c r="D23" s="4830"/>
      <c r="E23" s="4830"/>
      <c r="F23" s="4830"/>
      <c r="G23" s="4830"/>
      <c r="H23" s="4830"/>
    </row>
    <row r="24" spans="1:8" ht="9" customHeight="1" thickBot="1">
      <c r="A24" s="611"/>
    </row>
    <row r="25" spans="1:8" ht="16.350000000000001" customHeight="1" thickBot="1">
      <c r="A25" s="4823">
        <v>20</v>
      </c>
      <c r="B25" s="4824"/>
      <c r="C25" s="1451" t="s">
        <v>975</v>
      </c>
    </row>
    <row r="26" spans="1:8" ht="9" customHeight="1">
      <c r="A26" s="611"/>
    </row>
    <row r="27" spans="1:8" ht="28.35" customHeight="1">
      <c r="A27" s="4822" t="s">
        <v>4086</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4079</v>
      </c>
      <c r="D29" s="638" t="s">
        <v>4080</v>
      </c>
    </row>
    <row r="30" spans="1:8" ht="2.1"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4084</v>
      </c>
      <c r="E33" s="4822" t="s">
        <v>3122</v>
      </c>
      <c r="F33" s="4822"/>
      <c r="G33" s="4822"/>
      <c r="H33" s="4822"/>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4084</v>
      </c>
      <c r="E38" s="4822" t="s">
        <v>3122</v>
      </c>
      <c r="F38" s="4822"/>
      <c r="G38" s="4822"/>
      <c r="H38" s="4822"/>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4084</v>
      </c>
      <c r="E43" s="4822" t="s">
        <v>3122</v>
      </c>
      <c r="F43" s="4822"/>
      <c r="G43" s="4822"/>
      <c r="H43" s="4822"/>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2.1"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4084</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4084</v>
      </c>
      <c r="E55" s="4822" t="s">
        <v>3122</v>
      </c>
      <c r="F55" s="4822"/>
      <c r="G55" s="4822"/>
      <c r="H55" s="4822"/>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4084</v>
      </c>
      <c r="E60" s="4822" t="s">
        <v>3122</v>
      </c>
      <c r="F60" s="4822"/>
      <c r="G60" s="4822"/>
      <c r="H60" s="4822"/>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2.1"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4084</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4084</v>
      </c>
      <c r="E72" s="4822" t="s">
        <v>3122</v>
      </c>
      <c r="F72" s="4822"/>
      <c r="G72" s="4822"/>
      <c r="H72" s="4822"/>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4084</v>
      </c>
      <c r="E77" s="4822" t="s">
        <v>3122</v>
      </c>
      <c r="F77" s="4822"/>
      <c r="G77" s="4822"/>
      <c r="H77" s="4822"/>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2.1"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4084</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4084</v>
      </c>
      <c r="E89" s="4822" t="s">
        <v>3122</v>
      </c>
      <c r="F89" s="4822"/>
      <c r="G89" s="4822"/>
      <c r="H89" s="4822"/>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4084</v>
      </c>
      <c r="E94" s="4822" t="s">
        <v>3122</v>
      </c>
      <c r="F94" s="4822"/>
      <c r="G94" s="4822"/>
      <c r="H94" s="4822"/>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2.1"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350000000000001" customHeight="1" thickBot="1">
      <c r="A104" s="4823">
        <v>30</v>
      </c>
      <c r="B104" s="4824"/>
      <c r="C104" s="1451" t="s">
        <v>975</v>
      </c>
    </row>
    <row r="105" spans="1:11" ht="9" customHeight="1">
      <c r="A105" s="611"/>
    </row>
    <row r="106" spans="1:11" ht="28.35" customHeight="1">
      <c r="A106" s="4822" t="s">
        <v>4087</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4079</v>
      </c>
      <c r="D108" s="638" t="s">
        <v>4080</v>
      </c>
    </row>
    <row r="109" spans="1:11" ht="2.1"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4084</v>
      </c>
      <c r="E112" s="4822" t="s">
        <v>3122</v>
      </c>
      <c r="F112" s="4822"/>
      <c r="G112" s="4822"/>
      <c r="H112" s="4822"/>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4084</v>
      </c>
      <c r="E117" s="4822" t="s">
        <v>3122</v>
      </c>
      <c r="F117" s="4822"/>
      <c r="G117" s="4822"/>
      <c r="H117" s="4822"/>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4084</v>
      </c>
      <c r="E122" s="4822" t="s">
        <v>3122</v>
      </c>
      <c r="F122" s="4822"/>
      <c r="G122" s="4822"/>
      <c r="H122" s="4822"/>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2.1"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4084</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4084</v>
      </c>
      <c r="E134" s="4822" t="s">
        <v>3122</v>
      </c>
      <c r="F134" s="4822"/>
      <c r="G134" s="4822"/>
      <c r="H134" s="4822"/>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4084</v>
      </c>
      <c r="E139" s="4822" t="s">
        <v>3122</v>
      </c>
      <c r="F139" s="4822"/>
      <c r="G139" s="4822"/>
      <c r="H139" s="4822"/>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2.1"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4084</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4084</v>
      </c>
      <c r="E151" s="4822" t="s">
        <v>3122</v>
      </c>
      <c r="F151" s="4822"/>
      <c r="G151" s="4822"/>
      <c r="H151" s="4822"/>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4084</v>
      </c>
      <c r="E156" s="4822" t="s">
        <v>3122</v>
      </c>
      <c r="F156" s="4822"/>
      <c r="G156" s="4822"/>
      <c r="H156" s="4822"/>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2.1"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4084</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4084</v>
      </c>
      <c r="E168" s="4822" t="s">
        <v>3122</v>
      </c>
      <c r="F168" s="4822"/>
      <c r="G168" s="4822"/>
      <c r="H168" s="4822"/>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4084</v>
      </c>
      <c r="E173" s="4822" t="s">
        <v>3122</v>
      </c>
      <c r="F173" s="4822"/>
      <c r="G173" s="4822"/>
      <c r="H173" s="4822"/>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2.1"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350000000000001" customHeight="1" thickBot="1">
      <c r="A183" s="4823">
        <v>40</v>
      </c>
      <c r="B183" s="4824"/>
      <c r="C183" s="1451" t="s">
        <v>975</v>
      </c>
    </row>
    <row r="184" spans="1:11" ht="9" customHeight="1">
      <c r="A184" s="611"/>
    </row>
    <row r="185" spans="1:11" ht="28.35" customHeight="1">
      <c r="A185" s="4822" t="s">
        <v>4088</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4079</v>
      </c>
      <c r="D187" s="638" t="s">
        <v>4080</v>
      </c>
    </row>
    <row r="188" spans="1:11" ht="2.1"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4084</v>
      </c>
      <c r="E191" s="4822" t="s">
        <v>3122</v>
      </c>
      <c r="F191" s="4822"/>
      <c r="G191" s="4822"/>
      <c r="H191" s="4822"/>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4084</v>
      </c>
      <c r="E196" s="4822" t="s">
        <v>3122</v>
      </c>
      <c r="F196" s="4822"/>
      <c r="G196" s="4822"/>
      <c r="H196" s="4822"/>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4084</v>
      </c>
      <c r="E201" s="4822" t="s">
        <v>3122</v>
      </c>
      <c r="F201" s="4822"/>
      <c r="G201" s="4822"/>
      <c r="H201" s="4822"/>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2.1"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4084</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4084</v>
      </c>
      <c r="E213" s="4822" t="s">
        <v>3122</v>
      </c>
      <c r="F213" s="4822"/>
      <c r="G213" s="4822"/>
      <c r="H213" s="4822"/>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4084</v>
      </c>
      <c r="E218" s="4822" t="s">
        <v>3122</v>
      </c>
      <c r="F218" s="4822"/>
      <c r="G218" s="4822"/>
      <c r="H218" s="4822"/>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2.1"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4084</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4084</v>
      </c>
      <c r="E230" s="4822" t="s">
        <v>3122</v>
      </c>
      <c r="F230" s="4822"/>
      <c r="G230" s="4822"/>
      <c r="H230" s="4822"/>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4084</v>
      </c>
      <c r="E235" s="4822" t="s">
        <v>3122</v>
      </c>
      <c r="F235" s="4822"/>
      <c r="G235" s="4822"/>
      <c r="H235" s="4822"/>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2.1"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4084</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4084</v>
      </c>
      <c r="E247" s="4822" t="s">
        <v>3122</v>
      </c>
      <c r="F247" s="4822"/>
      <c r="G247" s="4822"/>
      <c r="H247" s="4822"/>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4084</v>
      </c>
      <c r="E252" s="4822" t="s">
        <v>3122</v>
      </c>
      <c r="F252" s="4822"/>
      <c r="G252" s="4822"/>
      <c r="H252" s="4822"/>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2.1"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350000000000001" customHeight="1" thickBot="1">
      <c r="A262" s="4823">
        <v>50</v>
      </c>
      <c r="B262" s="4824"/>
      <c r="C262" s="1451" t="s">
        <v>975</v>
      </c>
    </row>
    <row r="263" spans="1:11" ht="9" customHeight="1">
      <c r="A263" s="611"/>
    </row>
    <row r="264" spans="1:11" ht="28.35" customHeight="1">
      <c r="A264" s="4822" t="s">
        <v>4085</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4079</v>
      </c>
      <c r="D266" s="638" t="s">
        <v>4080</v>
      </c>
    </row>
    <row r="267" spans="1:11" ht="2.1"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4084</v>
      </c>
      <c r="E270" s="4822" t="s">
        <v>3122</v>
      </c>
      <c r="F270" s="4822"/>
      <c r="G270" s="4822"/>
      <c r="H270" s="4822"/>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4084</v>
      </c>
      <c r="E275" s="4822" t="s">
        <v>3122</v>
      </c>
      <c r="F275" s="4822"/>
      <c r="G275" s="4822"/>
      <c r="H275" s="4822"/>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4084</v>
      </c>
      <c r="E280" s="4822" t="s">
        <v>3122</v>
      </c>
      <c r="F280" s="4822"/>
      <c r="G280" s="4822"/>
      <c r="H280" s="4822"/>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11</v>
      </c>
      <c r="C283" s="620" t="s">
        <v>2981</v>
      </c>
      <c r="D283" s="638" t="s">
        <v>3124</v>
      </c>
    </row>
    <row r="284" spans="1:8" ht="2.1"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4084</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4084</v>
      </c>
      <c r="E292" s="4822" t="s">
        <v>3122</v>
      </c>
      <c r="F292" s="4822"/>
      <c r="G292" s="4822"/>
      <c r="H292" s="4822"/>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4084</v>
      </c>
      <c r="E297" s="4822" t="s">
        <v>3122</v>
      </c>
      <c r="F297" s="4822"/>
      <c r="G297" s="4822"/>
      <c r="H297" s="4822"/>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f>IF('Part V-Revenues &amp; Expenses'!$M$59=0,"",'Part V-Revenues &amp; Expenses'!$M$59)</f>
        <v>6</v>
      </c>
      <c r="C300" s="620" t="s">
        <v>2982</v>
      </c>
      <c r="D300" s="638" t="s">
        <v>3125</v>
      </c>
    </row>
    <row r="301" spans="1:8" ht="2.1"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4084</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4084</v>
      </c>
      <c r="E309" s="4822" t="s">
        <v>3122</v>
      </c>
      <c r="F309" s="4822"/>
      <c r="G309" s="4822"/>
      <c r="H309" s="4822"/>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4084</v>
      </c>
      <c r="E314" s="4822" t="s">
        <v>3122</v>
      </c>
      <c r="F314" s="4822"/>
      <c r="G314" s="4822"/>
      <c r="H314" s="4822"/>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2.1"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4084</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4084</v>
      </c>
      <c r="E326" s="4822" t="s">
        <v>3122</v>
      </c>
      <c r="F326" s="4822"/>
      <c r="G326" s="4822"/>
      <c r="H326" s="4822"/>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4084</v>
      </c>
      <c r="E331" s="4822" t="s">
        <v>3122</v>
      </c>
      <c r="F331" s="4822"/>
      <c r="G331" s="4822"/>
      <c r="H331" s="4822"/>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2.1"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350000000000001" customHeight="1" thickBot="1">
      <c r="A342" s="4823">
        <v>60</v>
      </c>
      <c r="B342" s="4824"/>
      <c r="C342" s="1451" t="s">
        <v>975</v>
      </c>
    </row>
    <row r="343" spans="1:8" ht="9" customHeight="1">
      <c r="A343" s="611"/>
    </row>
    <row r="344" spans="1:8" ht="28.35" customHeight="1">
      <c r="A344" s="4822" t="s">
        <v>4089</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4079</v>
      </c>
      <c r="D346" s="638" t="s">
        <v>4080</v>
      </c>
    </row>
    <row r="347" spans="1:8" ht="2.1"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4084</v>
      </c>
      <c r="E350" s="4822" t="s">
        <v>3122</v>
      </c>
      <c r="F350" s="4822"/>
      <c r="G350" s="4822"/>
      <c r="H350" s="4822"/>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4084</v>
      </c>
      <c r="E355" s="4822" t="s">
        <v>3122</v>
      </c>
      <c r="F355" s="4822"/>
      <c r="G355" s="4822"/>
      <c r="H355" s="4822"/>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4084</v>
      </c>
      <c r="E360" s="4822" t="s">
        <v>3122</v>
      </c>
      <c r="F360" s="4822"/>
      <c r="G360" s="4822"/>
      <c r="H360" s="4822"/>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15</v>
      </c>
      <c r="C363" s="620" t="s">
        <v>2981</v>
      </c>
      <c r="D363" s="638" t="s">
        <v>3124</v>
      </c>
    </row>
    <row r="364" spans="1:8" ht="2.1"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4084</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4084</v>
      </c>
      <c r="E372" s="4822" t="s">
        <v>3122</v>
      </c>
      <c r="F372" s="4822"/>
      <c r="G372" s="4822"/>
      <c r="H372" s="4822"/>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4084</v>
      </c>
      <c r="E377" s="4822" t="s">
        <v>3122</v>
      </c>
      <c r="F377" s="4822"/>
      <c r="G377" s="4822"/>
      <c r="H377" s="4822"/>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9</v>
      </c>
      <c r="C380" s="620" t="s">
        <v>2982</v>
      </c>
      <c r="D380" s="638" t="s">
        <v>3125</v>
      </c>
    </row>
    <row r="381" spans="1:8" ht="2.1"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4084</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4084</v>
      </c>
      <c r="E389" s="4822" t="s">
        <v>3122</v>
      </c>
      <c r="F389" s="4822"/>
      <c r="G389" s="4822"/>
      <c r="H389" s="4822"/>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4084</v>
      </c>
      <c r="E394" s="4822" t="s">
        <v>3122</v>
      </c>
      <c r="F394" s="4822"/>
      <c r="G394" s="4822"/>
      <c r="H394" s="4822"/>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2.1"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4084</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4084</v>
      </c>
      <c r="E406" s="4822" t="s">
        <v>3122</v>
      </c>
      <c r="F406" s="4822"/>
      <c r="G406" s="4822"/>
      <c r="H406" s="4822"/>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4084</v>
      </c>
      <c r="E411" s="4822" t="s">
        <v>3122</v>
      </c>
      <c r="F411" s="4822"/>
      <c r="G411" s="4822"/>
      <c r="H411" s="4822"/>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2.1"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350000000000001" customHeight="1" thickBot="1">
      <c r="A421" s="4823">
        <v>70</v>
      </c>
      <c r="B421" s="4824"/>
      <c r="C421" s="1451" t="s">
        <v>975</v>
      </c>
    </row>
    <row r="422" spans="1:8" ht="9" customHeight="1">
      <c r="A422" s="611"/>
    </row>
    <row r="423" spans="1:8" ht="28.35" customHeight="1">
      <c r="A423" s="4822" t="s">
        <v>4090</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4079</v>
      </c>
      <c r="D425" s="638" t="s">
        <v>4080</v>
      </c>
    </row>
    <row r="426" spans="1:8" ht="2.1"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4084</v>
      </c>
      <c r="E429" s="4822" t="s">
        <v>3122</v>
      </c>
      <c r="F429" s="4822"/>
      <c r="G429" s="4822"/>
      <c r="H429" s="4822"/>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4084</v>
      </c>
      <c r="E434" s="4822" t="s">
        <v>3122</v>
      </c>
      <c r="F434" s="4822"/>
      <c r="G434" s="4822"/>
      <c r="H434" s="4822"/>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4084</v>
      </c>
      <c r="E439" s="4822" t="s">
        <v>3122</v>
      </c>
      <c r="F439" s="4822"/>
      <c r="G439" s="4822"/>
      <c r="H439" s="4822"/>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f>IF('Part V-Revenues &amp; Expenses'!$L$57=0,"",'Part V-Revenues &amp; Expenses'!$L$57)</f>
        <v>4</v>
      </c>
      <c r="C442" s="620" t="s">
        <v>2981</v>
      </c>
      <c r="D442" s="638" t="s">
        <v>3124</v>
      </c>
    </row>
    <row r="443" spans="1:8" ht="2.1"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4084</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4084</v>
      </c>
      <c r="E451" s="4822" t="s">
        <v>3122</v>
      </c>
      <c r="F451" s="4822"/>
      <c r="G451" s="4822"/>
      <c r="H451" s="4822"/>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4084</v>
      </c>
      <c r="E456" s="4822" t="s">
        <v>3122</v>
      </c>
      <c r="F456" s="4822"/>
      <c r="G456" s="4822"/>
      <c r="H456" s="4822"/>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f>IF('Part V-Revenues &amp; Expenses'!$M$57=0,"",'Part V-Revenues &amp; Expenses'!$M$57)</f>
        <v>3</v>
      </c>
      <c r="C459" s="620" t="s">
        <v>2982</v>
      </c>
      <c r="D459" s="638" t="s">
        <v>3125</v>
      </c>
    </row>
    <row r="460" spans="1:8" ht="2.1"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4084</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4084</v>
      </c>
      <c r="E468" s="4822" t="s">
        <v>3122</v>
      </c>
      <c r="F468" s="4822"/>
      <c r="G468" s="4822"/>
      <c r="H468" s="4822"/>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4084</v>
      </c>
      <c r="E473" s="4822" t="s">
        <v>3122</v>
      </c>
      <c r="F473" s="4822"/>
      <c r="G473" s="4822"/>
      <c r="H473" s="4822"/>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2.1"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4084</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4084</v>
      </c>
      <c r="E485" s="4822" t="s">
        <v>3122</v>
      </c>
      <c r="F485" s="4822"/>
      <c r="G485" s="4822"/>
      <c r="H485" s="4822"/>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4084</v>
      </c>
      <c r="E490" s="4822" t="s">
        <v>3122</v>
      </c>
      <c r="F490" s="4822"/>
      <c r="G490" s="4822"/>
      <c r="H490" s="4822"/>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2.1"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350000000000001" customHeight="1" thickBot="1">
      <c r="A500" s="4823">
        <v>80</v>
      </c>
      <c r="B500" s="4824"/>
      <c r="C500" s="1451" t="s">
        <v>975</v>
      </c>
    </row>
    <row r="501" spans="1:8" ht="9" customHeight="1">
      <c r="A501" s="611"/>
    </row>
    <row r="502" spans="1:8" ht="28.35" customHeight="1">
      <c r="A502" s="4822" t="s">
        <v>4091</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4079</v>
      </c>
      <c r="D504" s="638" t="s">
        <v>4080</v>
      </c>
    </row>
    <row r="505" spans="1:8" ht="2.1"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4084</v>
      </c>
      <c r="E508" s="4822" t="s">
        <v>3122</v>
      </c>
      <c r="F508" s="4822"/>
      <c r="G508" s="4822"/>
      <c r="H508" s="4822"/>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4084</v>
      </c>
      <c r="E513" s="4822" t="s">
        <v>3122</v>
      </c>
      <c r="F513" s="4822"/>
      <c r="G513" s="4822"/>
      <c r="H513" s="4822"/>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4084</v>
      </c>
      <c r="E518" s="4822" t="s">
        <v>3122</v>
      </c>
      <c r="F518" s="4822"/>
      <c r="G518" s="4822"/>
      <c r="H518" s="4822"/>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2.1"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4084</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4084</v>
      </c>
      <c r="E530" s="4822" t="s">
        <v>3122</v>
      </c>
      <c r="F530" s="4822"/>
      <c r="G530" s="4822"/>
      <c r="H530" s="4822"/>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4084</v>
      </c>
      <c r="E535" s="4822" t="s">
        <v>3122</v>
      </c>
      <c r="F535" s="4822"/>
      <c r="G535" s="4822"/>
      <c r="H535" s="4822"/>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2.1"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4084</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4084</v>
      </c>
      <c r="E547" s="4822" t="s">
        <v>3122</v>
      </c>
      <c r="F547" s="4822"/>
      <c r="G547" s="4822"/>
      <c r="H547" s="4822"/>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4084</v>
      </c>
      <c r="E552" s="4822" t="s">
        <v>3122</v>
      </c>
      <c r="F552" s="4822"/>
      <c r="G552" s="4822"/>
      <c r="H552" s="4822"/>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2.1"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4084</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4084</v>
      </c>
      <c r="E564" s="4822" t="s">
        <v>3122</v>
      </c>
      <c r="F564" s="4822"/>
      <c r="G564" s="4822"/>
      <c r="H564" s="4822"/>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4084</v>
      </c>
      <c r="E569" s="4822" t="s">
        <v>3122</v>
      </c>
      <c r="F569" s="4822"/>
      <c r="G569" s="4822"/>
      <c r="H569" s="4822"/>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2.1"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4140625" defaultRowHeight="13.8"/>
  <cols>
    <col min="1" max="1" width="2.5546875" style="145" customWidth="1"/>
    <col min="2" max="4" width="1.5546875" style="145" customWidth="1"/>
    <col min="5" max="5" width="14.5546875" style="145" customWidth="1"/>
    <col min="6" max="6" width="6.44140625" style="145" customWidth="1"/>
    <col min="7" max="7" width="2.5546875" style="145" customWidth="1"/>
    <col min="8" max="8" width="8" style="145" customWidth="1"/>
    <col min="9" max="9" width="6.44140625" style="145" customWidth="1"/>
    <col min="10" max="10" width="8.44140625" style="145" customWidth="1"/>
    <col min="11" max="11" width="9.5546875" style="145" customWidth="1"/>
    <col min="12" max="13" width="8.5546875" style="145" customWidth="1"/>
    <col min="14" max="14" width="9.44140625" style="145" customWidth="1"/>
    <col min="15" max="15" width="9.5546875" style="145" customWidth="1"/>
    <col min="16" max="19" width="6.44140625" style="145" customWidth="1"/>
    <col min="20" max="24" width="11.5546875" style="145" customWidth="1"/>
    <col min="25" max="25" width="9.44140625" style="145"/>
    <col min="26" max="26" width="9.44140625" style="1707"/>
    <col min="27" max="16384" width="9.44140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Cusseta Crossing, Columbus, Muscogee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6">
        <v>4</v>
      </c>
    </row>
    <row r="5" spans="1:26" s="144" customFormat="1" ht="8.8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6223</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6223</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6223</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6223</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6223</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6223</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6223</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6223</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80" t="s">
        <v>3297</v>
      </c>
      <c r="B153" s="3180"/>
      <c r="C153" s="3180"/>
      <c r="D153" s="3180"/>
      <c r="E153" s="3180"/>
      <c r="H153" s="1263" t="s">
        <v>2308</v>
      </c>
      <c r="I153" s="3174" t="s">
        <v>6517</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3839</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6221</v>
      </c>
      <c r="E155" s="256"/>
      <c r="H155" s="1216" t="s">
        <v>3839</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3839</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3839</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3839</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3839</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3839</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3890</v>
      </c>
      <c r="E161" s="256"/>
      <c r="H161" s="1216" t="s">
        <v>3839</v>
      </c>
      <c r="I161" s="3076"/>
      <c r="J161" s="3077"/>
      <c r="K161" s="3077"/>
      <c r="L161" s="3077"/>
      <c r="M161" s="3077"/>
      <c r="N161" s="3077"/>
      <c r="O161" s="3077"/>
      <c r="P161" s="3077"/>
      <c r="Q161" s="3077"/>
      <c r="R161" s="3077"/>
      <c r="S161" s="3078"/>
      <c r="Z161" s="1706">
        <v>161</v>
      </c>
    </row>
    <row r="162" spans="1:26" s="144" customFormat="1" ht="15" customHeight="1" thickBot="1">
      <c r="B162" s="476" t="s">
        <v>3889</v>
      </c>
      <c r="C162" s="3177" t="s">
        <v>6474</v>
      </c>
      <c r="D162" s="3178"/>
      <c r="E162" s="3178"/>
      <c r="F162" s="3178"/>
      <c r="G162" s="3179"/>
      <c r="H162" s="1216" t="s">
        <v>3839</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6475</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3839</v>
      </c>
      <c r="J171" s="477" t="s">
        <v>3839</v>
      </c>
      <c r="K171" s="477"/>
      <c r="L171" s="649"/>
      <c r="M171" s="482" t="s">
        <v>3839</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3839</v>
      </c>
      <c r="J172" s="478" t="s">
        <v>3839</v>
      </c>
      <c r="K172" s="478"/>
      <c r="L172" s="650"/>
      <c r="M172" s="483" t="s">
        <v>3839</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3839</v>
      </c>
      <c r="J173" s="478" t="s">
        <v>3839</v>
      </c>
      <c r="K173" s="478"/>
      <c r="L173" s="650"/>
      <c r="M173" s="483" t="s">
        <v>3839</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3839</v>
      </c>
      <c r="J174" s="478" t="s">
        <v>3839</v>
      </c>
      <c r="K174" s="478"/>
      <c r="L174" s="650"/>
      <c r="M174" s="483" t="s">
        <v>3839</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3839</v>
      </c>
      <c r="J175" s="478" t="s">
        <v>3839</v>
      </c>
      <c r="K175" s="478"/>
      <c r="L175" s="650"/>
      <c r="M175" s="483" t="s">
        <v>3839</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3839</v>
      </c>
      <c r="J176" s="478" t="s">
        <v>3839</v>
      </c>
      <c r="K176" s="478"/>
      <c r="L176" s="650"/>
      <c r="M176" s="483" t="s">
        <v>3839</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3839</v>
      </c>
      <c r="J177" s="478" t="s">
        <v>3839</v>
      </c>
      <c r="K177" s="478"/>
      <c r="L177" s="650"/>
      <c r="M177" s="483" t="s">
        <v>3839</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3839</v>
      </c>
      <c r="J178" s="478" t="s">
        <v>3839</v>
      </c>
      <c r="K178" s="478"/>
      <c r="L178" s="650"/>
      <c r="M178" s="483" t="s">
        <v>3839</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3839</v>
      </c>
      <c r="J179" s="478" t="s">
        <v>3839</v>
      </c>
      <c r="K179" s="478"/>
      <c r="L179" s="650"/>
      <c r="M179" s="483" t="s">
        <v>3839</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3839</v>
      </c>
      <c r="J180" s="478" t="s">
        <v>3839</v>
      </c>
      <c r="K180" s="478"/>
      <c r="L180" s="650"/>
      <c r="M180" s="483" t="s">
        <v>3839</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3839</v>
      </c>
      <c r="J181" s="478" t="s">
        <v>3839</v>
      </c>
      <c r="K181" s="478"/>
      <c r="L181" s="650"/>
      <c r="M181" s="483" t="s">
        <v>3839</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3839</v>
      </c>
      <c r="J182" s="478" t="s">
        <v>3839</v>
      </c>
      <c r="K182" s="478"/>
      <c r="L182" s="650"/>
      <c r="M182" s="483" t="s">
        <v>3839</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3839</v>
      </c>
      <c r="J183" s="479" t="s">
        <v>3839</v>
      </c>
      <c r="K183" s="479"/>
      <c r="L183" s="651"/>
      <c r="M183" s="484" t="s">
        <v>3839</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44140625" defaultRowHeight="15.6"/>
  <cols>
    <col min="1" max="1" width="4.5546875" style="432" customWidth="1"/>
    <col min="2" max="2" width="6" style="432" customWidth="1"/>
    <col min="3" max="3" width="8.44140625" style="432" customWidth="1"/>
    <col min="4" max="4" width="7.44140625" style="432" customWidth="1"/>
    <col min="5" max="5" width="7.5546875" style="432" customWidth="1"/>
    <col min="6" max="7" width="6.5546875" style="432" customWidth="1"/>
    <col min="8" max="8" width="5" style="432" customWidth="1"/>
    <col min="9" max="10" width="6.5546875" style="432" customWidth="1"/>
    <col min="11" max="11" width="3.44140625" style="1492" customWidth="1"/>
    <col min="12" max="13" width="6.5546875" style="432" customWidth="1"/>
    <col min="14" max="14" width="8.44140625" style="432" customWidth="1"/>
    <col min="15" max="15" width="9.44140625" style="432"/>
    <col min="16" max="17" width="5.5546875" style="432" customWidth="1"/>
    <col min="18" max="18" width="8.44140625" style="432" customWidth="1"/>
    <col min="19" max="19" width="5.5546875" style="609" customWidth="1"/>
    <col min="20" max="20" width="5.5546875" style="432" customWidth="1"/>
    <col min="21" max="21" width="3.5546875" style="432" customWidth="1"/>
    <col min="22" max="23" width="5.44140625" style="432" customWidth="1"/>
    <col min="24" max="16384" width="9.44140625" style="432"/>
  </cols>
  <sheetData>
    <row r="1" spans="1:14">
      <c r="A1" s="510" t="s">
        <v>2881</v>
      </c>
      <c r="H1" s="614" t="str">
        <f>'Sensitivity Analysis'!C8</f>
        <v>Cusseta Crossing</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29601.062999999998</v>
      </c>
      <c r="M4" s="4868"/>
      <c r="N4" s="1493" t="s">
        <v>3664</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15433947</v>
      </c>
      <c r="M11" s="4827"/>
    </row>
    <row r="12" spans="1:14" ht="1.5" customHeight="1">
      <c r="G12" s="617"/>
      <c r="H12" s="617"/>
    </row>
    <row r="13" spans="1:14" ht="26.1"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4081</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4</v>
      </c>
      <c r="G26" s="1585">
        <f>'Part V-Revenues &amp; Expenses'!M57</f>
        <v>3</v>
      </c>
      <c r="H26" s="1585">
        <f>'Part V-Revenues &amp; Expenses'!N57</f>
        <v>0</v>
      </c>
      <c r="I26" s="1585">
        <f>'Part V-Revenues &amp; Expenses'!O57</f>
        <v>0</v>
      </c>
      <c r="J26" s="1586">
        <f>'Part V-Revenues &amp; Expenses'!P57</f>
        <v>7</v>
      </c>
      <c r="K26" s="432"/>
      <c r="S26" s="432"/>
    </row>
    <row r="27" spans="1:19" ht="15" customHeight="1">
      <c r="C27" s="736" t="s">
        <v>1081</v>
      </c>
      <c r="D27" s="439"/>
      <c r="E27" s="1584">
        <f>'Part V-Revenues &amp; Expenses'!K58</f>
        <v>0</v>
      </c>
      <c r="F27" s="1585">
        <f>'Part V-Revenues &amp; Expenses'!L58</f>
        <v>15</v>
      </c>
      <c r="G27" s="1585">
        <f>'Part V-Revenues &amp; Expenses'!M58</f>
        <v>9</v>
      </c>
      <c r="H27" s="1585">
        <f>'Part V-Revenues &amp; Expenses'!N58</f>
        <v>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11</v>
      </c>
      <c r="G28" s="1585">
        <f>'Part V-Revenues &amp; Expenses'!M59</f>
        <v>6</v>
      </c>
      <c r="H28" s="1585">
        <f>'Part V-Revenues &amp; Expenses'!N59</f>
        <v>0</v>
      </c>
      <c r="I28" s="1585">
        <f>'Part V-Revenues &amp; Expenses'!O59</f>
        <v>0</v>
      </c>
      <c r="J28" s="1586">
        <f>'Part V-Revenues &amp; Expenses'!P59</f>
        <v>17</v>
      </c>
      <c r="K28" s="432"/>
      <c r="S28" s="432"/>
    </row>
    <row r="29" spans="1:19" ht="13.3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3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3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35" customHeight="1">
      <c r="C32" s="439" t="s">
        <v>504</v>
      </c>
      <c r="D32" s="439"/>
      <c r="E32" s="1587">
        <f>'Part V-Revenues &amp; Expenses'!K63</f>
        <v>0</v>
      </c>
      <c r="F32" s="1579">
        <f>'Part V-Revenues &amp; Expenses'!L63</f>
        <v>30</v>
      </c>
      <c r="G32" s="1579">
        <f>'Part V-Revenues &amp; Expenses'!M63</f>
        <v>18</v>
      </c>
      <c r="H32" s="1579">
        <f>'Part V-Revenues &amp; Expenses'!N63</f>
        <v>0</v>
      </c>
      <c r="I32" s="1579">
        <f>'Part V-Revenues &amp; Expenses'!O63</f>
        <v>0</v>
      </c>
      <c r="J32" s="1588">
        <f>'Part V-Revenues &amp; Expenses'!P63</f>
        <v>48</v>
      </c>
      <c r="K32" s="432"/>
      <c r="S32" s="432"/>
    </row>
    <row r="33" spans="1:12" s="432" customFormat="1" ht="13.35" customHeight="1" thickBot="1">
      <c r="K33" s="1492"/>
    </row>
    <row r="34" spans="1:12" s="432" customFormat="1" ht="14.25" customHeight="1" thickBot="1">
      <c r="A34" s="1492"/>
      <c r="B34" s="4842" t="s">
        <v>6172</v>
      </c>
      <c r="E34" s="4843" t="s">
        <v>6068</v>
      </c>
      <c r="F34" s="4844"/>
      <c r="G34" s="4844"/>
      <c r="H34" s="4844"/>
      <c r="I34" s="4844"/>
      <c r="J34" s="4844"/>
      <c r="K34" s="4844"/>
      <c r="L34" s="4845"/>
    </row>
    <row r="35" spans="1:12" s="432" customFormat="1" ht="14.25" customHeight="1">
      <c r="A35" s="1492"/>
      <c r="B35" s="4842"/>
      <c r="C35" s="4846" t="s">
        <v>6173</v>
      </c>
      <c r="D35" s="4842" t="s">
        <v>6174</v>
      </c>
      <c r="E35" s="4847" t="s">
        <v>6071</v>
      </c>
      <c r="F35" s="4848"/>
      <c r="G35" s="4851" t="s">
        <v>1275</v>
      </c>
      <c r="H35" s="4853" t="s">
        <v>6067</v>
      </c>
      <c r="I35" s="4854"/>
      <c r="J35" s="4854"/>
      <c r="K35" s="4854"/>
      <c r="L35" s="4855"/>
    </row>
    <row r="36" spans="1:12" s="432" customFormat="1" ht="23.25" customHeight="1">
      <c r="A36" s="4846" t="s">
        <v>975</v>
      </c>
      <c r="B36" s="4842"/>
      <c r="C36" s="4846"/>
      <c r="D36" s="4842"/>
      <c r="E36" s="4849"/>
      <c r="F36" s="4850"/>
      <c r="G36" s="4852"/>
      <c r="H36" s="4856" t="s">
        <v>6069</v>
      </c>
      <c r="I36" s="4857"/>
      <c r="J36" s="4860" t="s">
        <v>1275</v>
      </c>
      <c r="K36" s="4857" t="s">
        <v>6070</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35" customHeight="1">
      <c r="A39" s="1571">
        <f>'Part V-Revenues &amp; Expenses'!B18</f>
        <v>50</v>
      </c>
      <c r="B39" s="1572">
        <f>'Part V-Revenues &amp; Expenses'!E18</f>
        <v>11</v>
      </c>
      <c r="C39" s="1573" t="str">
        <f>_xlfn.CONCAT('Part V-Revenues &amp; Expenses'!C18," / ",'Part V-Revenues &amp; Expenses'!D18)</f>
        <v>1 / 1</v>
      </c>
      <c r="D39" s="1572">
        <f>'Part V-Revenues &amp; Expenses'!F18</f>
        <v>665</v>
      </c>
      <c r="E39" s="4866">
        <f>'Part V-Revenues &amp; Expenses'!H18</f>
        <v>634</v>
      </c>
      <c r="F39" s="4867"/>
      <c r="G39" s="439"/>
      <c r="H39" s="4836"/>
      <c r="I39" s="4837"/>
      <c r="J39" s="4837"/>
      <c r="K39" s="4837"/>
      <c r="L39" s="4838"/>
    </row>
    <row r="40" spans="1:12" s="432" customFormat="1" ht="13.35" customHeight="1">
      <c r="A40" s="1574">
        <f>'Part V-Revenues &amp; Expenses'!B19</f>
        <v>60</v>
      </c>
      <c r="B40" s="1575">
        <f>'Part V-Revenues &amp; Expenses'!E19</f>
        <v>15</v>
      </c>
      <c r="C40" s="1576" t="str">
        <f>_xlfn.CONCAT('Part V-Revenues &amp; Expenses'!C19," / ",'Part V-Revenues &amp; Expenses'!D19)</f>
        <v>1 / 1</v>
      </c>
      <c r="D40" s="1575">
        <f>'Part V-Revenues &amp; Expenses'!F19</f>
        <v>665</v>
      </c>
      <c r="E40" s="4834">
        <f>'Part V-Revenues &amp; Expenses'!H19</f>
        <v>764</v>
      </c>
      <c r="F40" s="4835"/>
      <c r="G40" s="439"/>
      <c r="H40" s="4831"/>
      <c r="I40" s="4832"/>
      <c r="J40" s="4832"/>
      <c r="K40" s="4832"/>
      <c r="L40" s="4833"/>
    </row>
    <row r="41" spans="1:12" s="432" customFormat="1" ht="13.35" customHeight="1">
      <c r="A41" s="1574">
        <f>'Part V-Revenues &amp; Expenses'!B20</f>
        <v>70</v>
      </c>
      <c r="B41" s="1575">
        <f>'Part V-Revenues &amp; Expenses'!E20</f>
        <v>4</v>
      </c>
      <c r="C41" s="1576" t="str">
        <f>_xlfn.CONCAT('Part V-Revenues &amp; Expenses'!C20," / ",'Part V-Revenues &amp; Expenses'!D20)</f>
        <v>1 / 1</v>
      </c>
      <c r="D41" s="1575">
        <f>'Part V-Revenues &amp; Expenses'!F20</f>
        <v>665</v>
      </c>
      <c r="E41" s="4834">
        <f>'Part V-Revenues &amp; Expenses'!H20</f>
        <v>879</v>
      </c>
      <c r="F41" s="4835"/>
      <c r="G41" s="439"/>
      <c r="H41" s="4831"/>
      <c r="I41" s="4832"/>
      <c r="J41" s="4832"/>
      <c r="K41" s="4832"/>
      <c r="L41" s="4833"/>
    </row>
    <row r="42" spans="1:12" s="432" customFormat="1" ht="13.35" customHeight="1">
      <c r="A42" s="1574">
        <f>'Part V-Revenues &amp; Expenses'!B21</f>
        <v>50</v>
      </c>
      <c r="B42" s="1575">
        <f>'Part V-Revenues &amp; Expenses'!E21</f>
        <v>6</v>
      </c>
      <c r="C42" s="1576" t="str">
        <f>_xlfn.CONCAT('Part V-Revenues &amp; Expenses'!C21," / ",'Part V-Revenues &amp; Expenses'!D21)</f>
        <v>2 / 1</v>
      </c>
      <c r="D42" s="1575">
        <f>'Part V-Revenues &amp; Expenses'!F21</f>
        <v>850</v>
      </c>
      <c r="E42" s="4834">
        <f>'Part V-Revenues &amp; Expenses'!H21</f>
        <v>766</v>
      </c>
      <c r="F42" s="4835"/>
      <c r="G42" s="439"/>
      <c r="H42" s="4831"/>
      <c r="I42" s="4832"/>
      <c r="J42" s="4832"/>
      <c r="K42" s="4832"/>
      <c r="L42" s="4833"/>
    </row>
    <row r="43" spans="1:12" s="432" customFormat="1" ht="13.35" customHeight="1">
      <c r="A43" s="1574">
        <f>'Part V-Revenues &amp; Expenses'!B22</f>
        <v>60</v>
      </c>
      <c r="B43" s="1575">
        <f>'Part V-Revenues &amp; Expenses'!E22</f>
        <v>9</v>
      </c>
      <c r="C43" s="1576" t="str">
        <f>_xlfn.CONCAT('Part V-Revenues &amp; Expenses'!C22," / ",'Part V-Revenues &amp; Expenses'!D22)</f>
        <v>2 / 1</v>
      </c>
      <c r="D43" s="1575">
        <f>'Part V-Revenues &amp; Expenses'!F22</f>
        <v>850</v>
      </c>
      <c r="E43" s="4834">
        <f>'Part V-Revenues &amp; Expenses'!H22</f>
        <v>916</v>
      </c>
      <c r="F43" s="4835"/>
      <c r="G43" s="439"/>
      <c r="H43" s="4831"/>
      <c r="I43" s="4832"/>
      <c r="J43" s="4832"/>
      <c r="K43" s="4832"/>
      <c r="L43" s="4833"/>
    </row>
    <row r="44" spans="1:12" s="432" customFormat="1" ht="13.35" customHeight="1">
      <c r="A44" s="1574">
        <f>'Part V-Revenues &amp; Expenses'!B23</f>
        <v>70</v>
      </c>
      <c r="B44" s="1575">
        <f>'Part V-Revenues &amp; Expenses'!E23</f>
        <v>3</v>
      </c>
      <c r="C44" s="1576" t="str">
        <f>_xlfn.CONCAT('Part V-Revenues &amp; Expenses'!C23," / ",'Part V-Revenues &amp; Expenses'!D23)</f>
        <v>2 / 1</v>
      </c>
      <c r="D44" s="1575">
        <f>'Part V-Revenues &amp; Expenses'!F23</f>
        <v>850</v>
      </c>
      <c r="E44" s="4834">
        <f>'Part V-Revenues &amp; Expenses'!H23</f>
        <v>1061</v>
      </c>
      <c r="F44" s="4835"/>
      <c r="G44" s="439"/>
      <c r="H44" s="4831"/>
      <c r="I44" s="4832"/>
      <c r="J44" s="4832"/>
      <c r="K44" s="4832"/>
      <c r="L44" s="4833"/>
    </row>
    <row r="45" spans="1:12" s="432" customFormat="1" ht="13.3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3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3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3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3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3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3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3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3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3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3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3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3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3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3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3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3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3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3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3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3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3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3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3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3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35" customHeight="1">
      <c r="C70" s="1492"/>
      <c r="F70" s="616"/>
      <c r="G70" s="616"/>
      <c r="H70" s="616"/>
      <c r="I70" s="616"/>
      <c r="J70" s="616"/>
      <c r="K70" s="1491"/>
      <c r="L70" s="616"/>
      <c r="M70" s="616"/>
      <c r="S70" s="432"/>
    </row>
    <row r="71" spans="1:19" ht="13.35" customHeight="1">
      <c r="C71" s="1492"/>
      <c r="F71" s="616"/>
      <c r="G71" s="616"/>
      <c r="H71" s="616"/>
      <c r="I71" s="616"/>
      <c r="J71" s="616"/>
      <c r="K71" s="1491"/>
      <c r="L71" s="616"/>
      <c r="M71" s="616"/>
      <c r="S71" s="432"/>
    </row>
    <row r="72" spans="1:19" ht="13.35" customHeight="1">
      <c r="C72" s="1492"/>
      <c r="F72" s="616"/>
      <c r="G72" s="616"/>
      <c r="H72" s="616"/>
      <c r="I72" s="616"/>
      <c r="J72" s="616"/>
      <c r="K72" s="1491"/>
      <c r="L72" s="616"/>
      <c r="M72" s="616"/>
      <c r="S72" s="432"/>
    </row>
    <row r="73" spans="1:19" ht="13.35" customHeight="1">
      <c r="C73" s="1492"/>
      <c r="F73" s="616"/>
      <c r="G73" s="616"/>
      <c r="H73" s="616"/>
      <c r="I73" s="616"/>
      <c r="J73" s="616"/>
      <c r="K73" s="1491"/>
      <c r="L73" s="616"/>
      <c r="M73" s="616"/>
      <c r="S73" s="432"/>
    </row>
    <row r="74" spans="1:19" ht="13.35" customHeight="1">
      <c r="C74" s="1492"/>
      <c r="F74" s="616"/>
      <c r="G74" s="616"/>
      <c r="H74" s="616"/>
      <c r="I74" s="616"/>
      <c r="J74" s="616"/>
      <c r="K74" s="1491"/>
      <c r="L74" s="616"/>
      <c r="M74" s="616"/>
      <c r="S74" s="432"/>
    </row>
    <row r="75" spans="1:19" ht="13.35" customHeight="1">
      <c r="C75" s="1492"/>
      <c r="F75" s="616"/>
      <c r="G75" s="616"/>
      <c r="H75" s="616"/>
      <c r="I75" s="616"/>
      <c r="J75" s="616"/>
      <c r="K75" s="1491"/>
      <c r="L75" s="616"/>
      <c r="M75" s="616"/>
      <c r="S75" s="432"/>
    </row>
    <row r="76" spans="1:19" ht="13.35" customHeight="1">
      <c r="C76" s="1492"/>
      <c r="F76" s="616"/>
      <c r="G76" s="616"/>
      <c r="H76" s="616"/>
      <c r="I76" s="616"/>
      <c r="J76" s="616"/>
      <c r="K76" s="1491"/>
      <c r="L76" s="616"/>
      <c r="M76" s="616"/>
      <c r="S76" s="432"/>
    </row>
    <row r="77" spans="1:19" ht="13.35" customHeight="1">
      <c r="C77" s="1492"/>
      <c r="F77" s="616"/>
      <c r="G77" s="616"/>
      <c r="H77" s="616"/>
      <c r="I77" s="616"/>
      <c r="J77" s="616"/>
      <c r="K77" s="1491"/>
      <c r="L77" s="616"/>
      <c r="M77" s="616"/>
      <c r="S77" s="432"/>
    </row>
    <row r="78" spans="1:19" ht="13.35" customHeight="1">
      <c r="C78" s="1492"/>
      <c r="F78" s="616"/>
      <c r="G78" s="616"/>
      <c r="H78" s="616"/>
      <c r="I78" s="616"/>
      <c r="J78" s="616"/>
      <c r="K78" s="1491"/>
      <c r="L78" s="616"/>
      <c r="M78" s="616"/>
      <c r="S78" s="432"/>
    </row>
    <row r="79" spans="1:19" ht="13.35" customHeight="1">
      <c r="C79" s="1492"/>
      <c r="F79" s="616"/>
      <c r="G79" s="616"/>
      <c r="H79" s="616"/>
      <c r="I79" s="616"/>
      <c r="J79" s="616"/>
      <c r="K79" s="1491"/>
      <c r="L79" s="616"/>
      <c r="M79" s="616"/>
      <c r="S79" s="432"/>
    </row>
    <row r="80" spans="1:19" ht="13.35" customHeight="1">
      <c r="C80" s="1492"/>
      <c r="F80" s="616"/>
      <c r="G80" s="616"/>
      <c r="H80" s="616"/>
      <c r="I80" s="616"/>
      <c r="J80" s="616"/>
      <c r="K80" s="1491"/>
      <c r="L80" s="616"/>
      <c r="M80" s="616"/>
      <c r="S80" s="432"/>
    </row>
    <row r="81" spans="3:19" ht="13.35" customHeight="1">
      <c r="C81" s="1492"/>
      <c r="F81" s="616"/>
      <c r="G81" s="616"/>
      <c r="H81" s="616"/>
      <c r="I81" s="616"/>
      <c r="J81" s="616"/>
      <c r="K81" s="1491"/>
      <c r="L81" s="616"/>
      <c r="M81" s="616"/>
      <c r="S81" s="432"/>
    </row>
    <row r="82" spans="3:19" ht="13.35" customHeight="1">
      <c r="C82" s="1492"/>
      <c r="F82" s="616"/>
      <c r="G82" s="616"/>
      <c r="H82" s="616"/>
      <c r="I82" s="616"/>
      <c r="J82" s="616"/>
      <c r="K82" s="1491"/>
      <c r="L82" s="616"/>
      <c r="M82" s="616"/>
      <c r="S82" s="432"/>
    </row>
    <row r="83" spans="3:19" ht="13.35" customHeight="1">
      <c r="C83" s="1492"/>
      <c r="F83" s="616"/>
      <c r="G83" s="616"/>
      <c r="H83" s="616"/>
      <c r="I83" s="616"/>
      <c r="J83" s="616"/>
      <c r="K83" s="1491"/>
      <c r="L83" s="616"/>
      <c r="M83" s="616"/>
      <c r="S83" s="432"/>
    </row>
    <row r="84" spans="3:19" ht="13.35" customHeight="1">
      <c r="C84" s="1492"/>
      <c r="F84" s="616"/>
      <c r="G84" s="616"/>
      <c r="H84" s="616"/>
      <c r="I84" s="616"/>
      <c r="J84" s="616"/>
      <c r="K84" s="1491"/>
      <c r="L84" s="616"/>
      <c r="M84" s="616"/>
      <c r="S84" s="432"/>
    </row>
    <row r="85" spans="3:19" ht="13.35" customHeight="1">
      <c r="C85" s="1492"/>
      <c r="F85" s="616"/>
      <c r="G85" s="616"/>
      <c r="H85" s="616"/>
      <c r="I85" s="616"/>
      <c r="J85" s="616"/>
      <c r="K85" s="1491"/>
      <c r="L85" s="616"/>
      <c r="M85" s="616"/>
      <c r="S85" s="432"/>
    </row>
    <row r="86" spans="3:19" ht="13.35" customHeight="1">
      <c r="C86" s="1492"/>
      <c r="F86" s="616"/>
      <c r="G86" s="616"/>
      <c r="H86" s="616"/>
      <c r="I86" s="616"/>
      <c r="J86" s="616"/>
      <c r="K86" s="1491"/>
      <c r="L86" s="616"/>
      <c r="M86" s="616"/>
      <c r="S86" s="432"/>
    </row>
    <row r="87" spans="3:19" ht="13.35" customHeight="1">
      <c r="C87" s="1492"/>
      <c r="F87" s="616"/>
      <c r="G87" s="616"/>
      <c r="H87" s="616"/>
      <c r="I87" s="616"/>
      <c r="J87" s="616"/>
      <c r="K87" s="1491"/>
      <c r="L87" s="616"/>
      <c r="M87" s="616"/>
      <c r="S87" s="432"/>
    </row>
    <row r="88" spans="3:19" ht="13.35" customHeight="1">
      <c r="C88" s="1492"/>
      <c r="F88" s="616"/>
      <c r="G88" s="616"/>
      <c r="H88" s="616"/>
      <c r="I88" s="616"/>
      <c r="J88" s="616"/>
      <c r="K88" s="1491"/>
      <c r="L88" s="616"/>
      <c r="M88" s="616"/>
      <c r="S88" s="432"/>
    </row>
    <row r="89" spans="3:19" ht="13.35" customHeight="1">
      <c r="C89" s="1492"/>
      <c r="F89" s="616"/>
      <c r="G89" s="616"/>
      <c r="H89" s="616"/>
      <c r="I89" s="616"/>
      <c r="J89" s="616"/>
      <c r="K89" s="1491"/>
      <c r="L89" s="616"/>
      <c r="M89" s="616"/>
      <c r="S89" s="432"/>
    </row>
    <row r="90" spans="3:19" ht="13.35" customHeight="1">
      <c r="C90" s="1492"/>
      <c r="F90" s="616"/>
      <c r="G90" s="616"/>
      <c r="H90" s="616"/>
      <c r="I90" s="616"/>
      <c r="J90" s="616"/>
      <c r="K90" s="1491"/>
      <c r="L90" s="616"/>
      <c r="M90" s="616"/>
      <c r="S90" s="432"/>
    </row>
    <row r="91" spans="3:19" ht="13.35" customHeight="1">
      <c r="C91" s="1492"/>
      <c r="F91" s="616"/>
      <c r="G91" s="616"/>
      <c r="H91" s="616"/>
      <c r="I91" s="616"/>
      <c r="J91" s="616"/>
      <c r="K91" s="1491"/>
      <c r="L91" s="616"/>
      <c r="M91" s="616"/>
      <c r="S91" s="432"/>
    </row>
    <row r="92" spans="3:19" ht="13.35" customHeight="1">
      <c r="C92" s="1492"/>
      <c r="F92" s="616"/>
      <c r="G92" s="616"/>
      <c r="H92" s="616"/>
      <c r="I92" s="616"/>
      <c r="J92" s="616"/>
      <c r="K92" s="1491"/>
      <c r="L92" s="616"/>
      <c r="M92" s="616"/>
      <c r="S92" s="432"/>
    </row>
    <row r="93" spans="3:19" ht="13.35" customHeight="1">
      <c r="C93" s="1492"/>
      <c r="F93" s="616"/>
      <c r="G93" s="616"/>
      <c r="H93" s="616"/>
      <c r="I93" s="616"/>
      <c r="J93" s="616"/>
      <c r="K93" s="1491"/>
      <c r="L93" s="616"/>
      <c r="M93" s="616"/>
      <c r="S93" s="432"/>
    </row>
    <row r="94" spans="3:19" ht="13.35" customHeight="1">
      <c r="C94" s="1492"/>
      <c r="F94" s="616"/>
      <c r="G94" s="616"/>
      <c r="H94" s="616"/>
      <c r="I94" s="616"/>
      <c r="J94" s="616"/>
      <c r="K94" s="1491"/>
      <c r="L94" s="616"/>
      <c r="M94" s="616"/>
      <c r="S94" s="432"/>
    </row>
    <row r="95" spans="3:19" ht="13.35" customHeight="1">
      <c r="C95" s="1492"/>
      <c r="F95" s="616"/>
      <c r="G95" s="616"/>
      <c r="H95" s="616"/>
      <c r="I95" s="616"/>
      <c r="J95" s="616"/>
      <c r="K95" s="1491"/>
      <c r="L95" s="616"/>
      <c r="M95" s="616"/>
      <c r="S95" s="432"/>
    </row>
    <row r="96" spans="3:19" ht="13.35" customHeight="1">
      <c r="C96" s="1492"/>
      <c r="F96" s="616"/>
      <c r="G96" s="616"/>
      <c r="H96" s="616"/>
      <c r="I96" s="616"/>
      <c r="J96" s="616"/>
      <c r="K96" s="1491"/>
      <c r="L96" s="616"/>
      <c r="M96" s="616"/>
      <c r="S96" s="432"/>
    </row>
    <row r="97" spans="3:19" ht="13.35" customHeight="1">
      <c r="C97" s="1492"/>
      <c r="F97" s="616"/>
      <c r="G97" s="616"/>
      <c r="H97" s="616"/>
      <c r="I97" s="616"/>
      <c r="J97" s="616"/>
      <c r="K97" s="1491"/>
      <c r="L97" s="616"/>
      <c r="M97" s="616"/>
      <c r="S97" s="432"/>
    </row>
    <row r="98" spans="3:19" ht="13.35" customHeight="1">
      <c r="C98" s="1492"/>
      <c r="F98" s="616"/>
      <c r="G98" s="616"/>
      <c r="H98" s="616"/>
      <c r="I98" s="616"/>
      <c r="J98" s="616"/>
      <c r="K98" s="1491"/>
      <c r="L98" s="616"/>
      <c r="M98" s="616"/>
      <c r="S98" s="432"/>
    </row>
    <row r="99" spans="3:19" ht="13.35" customHeight="1">
      <c r="C99" s="1492"/>
      <c r="F99" s="616"/>
      <c r="G99" s="616"/>
      <c r="H99" s="616"/>
      <c r="I99" s="616"/>
      <c r="J99" s="616"/>
      <c r="K99" s="1491"/>
      <c r="L99" s="616"/>
      <c r="M99" s="616"/>
      <c r="S99" s="432"/>
    </row>
    <row r="100" spans="3:19" ht="13.35" customHeight="1">
      <c r="C100" s="1492"/>
      <c r="F100" s="616"/>
      <c r="G100" s="616"/>
      <c r="H100" s="616"/>
      <c r="I100" s="616"/>
      <c r="J100" s="616"/>
      <c r="K100" s="1491"/>
      <c r="L100" s="616"/>
      <c r="M100" s="616"/>
      <c r="S100" s="432"/>
    </row>
    <row r="101" spans="3:19" ht="13.35" customHeight="1">
      <c r="C101" s="1492"/>
      <c r="F101" s="616"/>
      <c r="G101" s="616"/>
      <c r="H101" s="616"/>
      <c r="I101" s="616"/>
      <c r="J101" s="616"/>
      <c r="K101" s="1491"/>
      <c r="L101" s="616"/>
      <c r="M101" s="616"/>
      <c r="S101" s="432"/>
    </row>
    <row r="102" spans="3:19" ht="13.35" customHeight="1">
      <c r="C102" s="1492"/>
      <c r="F102" s="616"/>
      <c r="G102" s="616"/>
      <c r="H102" s="616"/>
      <c r="I102" s="616"/>
      <c r="J102" s="616"/>
      <c r="K102" s="1491"/>
      <c r="L102" s="616"/>
      <c r="M102" s="616"/>
      <c r="S102" s="432"/>
    </row>
    <row r="103" spans="3:19" ht="13.35" customHeight="1">
      <c r="C103" s="1492"/>
      <c r="F103" s="616"/>
      <c r="G103" s="616"/>
      <c r="H103" s="616"/>
      <c r="I103" s="616"/>
      <c r="J103" s="616"/>
      <c r="K103" s="1491"/>
      <c r="L103" s="616"/>
      <c r="M103" s="616"/>
      <c r="S103" s="432"/>
    </row>
    <row r="104" spans="3:19" ht="13.35" customHeight="1">
      <c r="C104" s="1492"/>
      <c r="F104" s="616"/>
      <c r="G104" s="616"/>
      <c r="H104" s="616"/>
      <c r="I104" s="616"/>
      <c r="J104" s="616"/>
      <c r="K104" s="1491"/>
      <c r="L104" s="616"/>
      <c r="M104" s="616"/>
      <c r="S104" s="432"/>
    </row>
    <row r="105" spans="3:19" ht="13.35" customHeight="1">
      <c r="C105" s="1492"/>
      <c r="F105" s="616"/>
      <c r="G105" s="616"/>
      <c r="H105" s="616"/>
      <c r="I105" s="616"/>
      <c r="J105" s="616"/>
      <c r="K105" s="1491"/>
      <c r="L105" s="616"/>
      <c r="M105" s="616"/>
      <c r="S105" s="432"/>
    </row>
    <row r="106" spans="3:19" ht="13.35" customHeight="1">
      <c r="C106" s="1492"/>
      <c r="F106" s="616"/>
      <c r="G106" s="616"/>
      <c r="H106" s="616"/>
      <c r="I106" s="616"/>
      <c r="J106" s="616"/>
      <c r="K106" s="1491"/>
      <c r="L106" s="616"/>
      <c r="M106" s="616"/>
      <c r="S106" s="432"/>
    </row>
    <row r="107" spans="3:19" ht="13.35" customHeight="1">
      <c r="C107" s="1492"/>
      <c r="F107" s="616"/>
      <c r="G107" s="616"/>
      <c r="H107" s="616"/>
      <c r="I107" s="616"/>
      <c r="J107" s="616"/>
      <c r="K107" s="1491"/>
      <c r="L107" s="616"/>
      <c r="M107" s="616"/>
      <c r="S107" s="432"/>
    </row>
    <row r="108" spans="3:19" ht="13.35" customHeight="1">
      <c r="C108" s="1492" t="s">
        <v>233</v>
      </c>
      <c r="F108" s="616"/>
      <c r="G108" s="616"/>
      <c r="H108" s="616"/>
      <c r="I108" s="616"/>
      <c r="J108" s="616"/>
      <c r="K108" s="1491"/>
      <c r="L108" s="616"/>
      <c r="M108" s="616"/>
      <c r="S108" s="432"/>
    </row>
    <row r="109" spans="3:19" ht="13.35" customHeight="1">
      <c r="C109" s="1492"/>
      <c r="F109" s="616"/>
      <c r="G109" s="616"/>
      <c r="H109" s="616"/>
      <c r="I109" s="616"/>
      <c r="J109" s="616"/>
      <c r="K109" s="1491"/>
      <c r="L109" s="616"/>
      <c r="M109" s="616"/>
      <c r="S109" s="432"/>
    </row>
    <row r="110" spans="3:19" ht="13.35" customHeight="1">
      <c r="C110" s="1492"/>
      <c r="F110" s="616"/>
      <c r="G110" s="616"/>
      <c r="H110" s="616"/>
      <c r="I110" s="616"/>
      <c r="J110" s="616"/>
      <c r="K110" s="1491"/>
      <c r="L110" s="616"/>
      <c r="M110" s="616"/>
      <c r="S110" s="432"/>
    </row>
    <row r="111" spans="3:19" ht="13.35" customHeight="1">
      <c r="C111" s="1492"/>
      <c r="F111" s="616"/>
      <c r="G111" s="616"/>
      <c r="H111" s="616"/>
      <c r="I111" s="616"/>
      <c r="J111" s="616"/>
      <c r="K111" s="1491"/>
      <c r="L111" s="616"/>
      <c r="M111" s="616"/>
      <c r="S111" s="432"/>
    </row>
    <row r="112" spans="3:19" ht="13.35" customHeight="1">
      <c r="C112" s="1492"/>
      <c r="F112" s="616"/>
      <c r="G112" s="616"/>
      <c r="H112" s="616"/>
      <c r="I112" s="616"/>
      <c r="J112" s="616"/>
      <c r="K112" s="1491"/>
      <c r="L112" s="616"/>
      <c r="M112" s="616"/>
      <c r="S112" s="432"/>
    </row>
    <row r="113" spans="3:19" ht="13.35" customHeight="1">
      <c r="C113" s="1492"/>
      <c r="F113" s="616"/>
      <c r="G113" s="616"/>
      <c r="H113" s="616"/>
      <c r="I113" s="616"/>
      <c r="J113" s="616"/>
      <c r="K113" s="1491"/>
      <c r="L113" s="616"/>
      <c r="M113" s="616"/>
      <c r="S113" s="432"/>
    </row>
    <row r="114" spans="3:19" ht="13.35" customHeight="1">
      <c r="C114" s="1492"/>
      <c r="F114" s="616"/>
      <c r="G114" s="616"/>
      <c r="H114" s="616"/>
      <c r="I114" s="616"/>
      <c r="J114" s="616"/>
      <c r="K114" s="1491"/>
      <c r="L114" s="616"/>
      <c r="M114" s="616"/>
      <c r="S114" s="432"/>
    </row>
    <row r="115" spans="3:19" ht="13.35" customHeight="1">
      <c r="C115" s="1492"/>
      <c r="F115" s="616"/>
      <c r="G115" s="616"/>
      <c r="H115" s="616"/>
      <c r="I115" s="616"/>
      <c r="J115" s="616"/>
      <c r="K115" s="1491"/>
      <c r="L115" s="616"/>
      <c r="M115" s="616"/>
      <c r="S115" s="432"/>
    </row>
    <row r="116" spans="3:19" ht="13.35" customHeight="1">
      <c r="C116" s="1492"/>
      <c r="F116" s="616"/>
      <c r="G116" s="616"/>
      <c r="H116" s="616"/>
      <c r="I116" s="616"/>
      <c r="J116" s="616"/>
      <c r="K116" s="1491"/>
      <c r="L116" s="616"/>
      <c r="M116" s="616"/>
      <c r="S116" s="432"/>
    </row>
    <row r="117" spans="3:19" ht="13.35" customHeight="1">
      <c r="C117" s="1492"/>
      <c r="F117" s="616"/>
      <c r="G117" s="616"/>
      <c r="H117" s="616"/>
      <c r="I117" s="616"/>
      <c r="J117" s="616"/>
      <c r="K117" s="1491"/>
      <c r="L117" s="616"/>
      <c r="M117" s="616"/>
      <c r="S117" s="432"/>
    </row>
    <row r="118" spans="3:19" ht="13.35" customHeight="1">
      <c r="C118" s="1492"/>
      <c r="F118" s="616"/>
      <c r="G118" s="616"/>
      <c r="H118" s="616"/>
      <c r="I118" s="616"/>
      <c r="J118" s="616"/>
      <c r="K118" s="1491"/>
      <c r="L118" s="616"/>
      <c r="M118" s="616"/>
      <c r="S118" s="432"/>
    </row>
    <row r="119" spans="3:19" ht="13.35" customHeight="1">
      <c r="C119" s="1492"/>
      <c r="F119" s="616"/>
      <c r="G119" s="616"/>
      <c r="H119" s="616"/>
      <c r="I119" s="616"/>
      <c r="J119" s="616"/>
      <c r="K119" s="1491"/>
      <c r="L119" s="616"/>
      <c r="M119" s="616"/>
      <c r="S119" s="432"/>
    </row>
    <row r="120" spans="3:19" ht="13.35" customHeight="1">
      <c r="C120" s="1492"/>
      <c r="F120" s="616"/>
      <c r="G120" s="616"/>
      <c r="H120" s="616"/>
      <c r="I120" s="616"/>
      <c r="J120" s="616"/>
      <c r="K120" s="1491"/>
      <c r="L120" s="616"/>
      <c r="M120" s="616"/>
      <c r="S120" s="432"/>
    </row>
    <row r="121" spans="3:19" ht="13.35" customHeight="1">
      <c r="C121" s="1492"/>
      <c r="F121" s="616"/>
      <c r="G121" s="616"/>
      <c r="H121" s="616"/>
      <c r="I121" s="616"/>
      <c r="J121" s="616"/>
      <c r="K121" s="1491"/>
      <c r="L121" s="616"/>
      <c r="M121" s="616"/>
      <c r="S121" s="432"/>
    </row>
    <row r="122" spans="3:19" ht="13.35" customHeight="1">
      <c r="C122" s="1492"/>
      <c r="F122" s="616"/>
      <c r="G122" s="616"/>
      <c r="H122" s="616"/>
      <c r="I122" s="616"/>
      <c r="J122" s="616"/>
      <c r="K122" s="1491"/>
      <c r="L122" s="616"/>
      <c r="M122" s="616"/>
      <c r="S122" s="432"/>
    </row>
    <row r="123" spans="3:19" ht="13.35" customHeight="1">
      <c r="C123" s="1492"/>
      <c r="F123" s="616"/>
      <c r="G123" s="616"/>
      <c r="H123" s="616"/>
      <c r="I123" s="616"/>
      <c r="J123" s="616"/>
      <c r="K123" s="1491"/>
      <c r="L123" s="616"/>
      <c r="M123" s="616"/>
      <c r="S123" s="432"/>
    </row>
    <row r="124" spans="3:19" ht="13.35" customHeight="1">
      <c r="C124" s="1492"/>
      <c r="F124" s="616"/>
      <c r="G124" s="616"/>
      <c r="H124" s="616"/>
      <c r="I124" s="616"/>
      <c r="J124" s="616"/>
      <c r="K124" s="1491"/>
      <c r="L124" s="616"/>
      <c r="M124" s="616"/>
      <c r="S124" s="432"/>
    </row>
    <row r="125" spans="3:19" ht="13.35" customHeight="1">
      <c r="C125" s="1492"/>
      <c r="F125" s="616"/>
      <c r="G125" s="616"/>
      <c r="H125" s="616"/>
      <c r="I125" s="616"/>
      <c r="J125" s="616"/>
      <c r="K125" s="1491"/>
      <c r="L125" s="616"/>
      <c r="M125" s="616"/>
      <c r="S125" s="432"/>
    </row>
    <row r="126" spans="3:19" ht="13.35" customHeight="1">
      <c r="C126" s="1492"/>
      <c r="F126" s="616"/>
      <c r="G126" s="616"/>
      <c r="H126" s="616"/>
      <c r="I126" s="616"/>
      <c r="J126" s="616"/>
      <c r="K126" s="1491"/>
      <c r="L126" s="616"/>
      <c r="M126" s="616"/>
      <c r="S126" s="432"/>
    </row>
    <row r="127" spans="3:19" ht="13.35" customHeight="1">
      <c r="C127" s="1492"/>
      <c r="F127" s="616"/>
      <c r="G127" s="616"/>
      <c r="H127" s="616"/>
      <c r="I127" s="616"/>
      <c r="J127" s="616"/>
      <c r="K127" s="1491"/>
      <c r="L127" s="616"/>
      <c r="M127" s="616"/>
      <c r="S127" s="432"/>
    </row>
    <row r="128" spans="3:19" ht="13.35" customHeight="1">
      <c r="C128" s="1492"/>
      <c r="F128" s="616"/>
      <c r="G128" s="616"/>
      <c r="H128" s="616"/>
      <c r="I128" s="616"/>
      <c r="J128" s="616"/>
      <c r="K128" s="1491"/>
      <c r="L128" s="616"/>
      <c r="M128" s="616"/>
      <c r="S128" s="432"/>
    </row>
    <row r="129" spans="3:19" ht="13.35" customHeight="1">
      <c r="C129" s="1492"/>
      <c r="F129" s="616"/>
      <c r="G129" s="616"/>
      <c r="H129" s="616"/>
      <c r="I129" s="616"/>
      <c r="J129" s="616"/>
      <c r="K129" s="1491"/>
      <c r="L129" s="616"/>
      <c r="M129" s="616"/>
      <c r="S129" s="432"/>
    </row>
    <row r="130" spans="3:19" ht="13.35" customHeight="1">
      <c r="C130" s="1492"/>
      <c r="F130" s="616"/>
      <c r="G130" s="616"/>
      <c r="H130" s="616"/>
      <c r="I130" s="616"/>
      <c r="J130" s="616"/>
      <c r="K130" s="1491"/>
      <c r="L130" s="616"/>
      <c r="M130" s="616"/>
      <c r="S130" s="432"/>
    </row>
    <row r="131" spans="3:19" ht="13.35" customHeight="1">
      <c r="C131" s="1492"/>
      <c r="F131" s="616"/>
      <c r="G131" s="616"/>
      <c r="H131" s="616"/>
      <c r="I131" s="616"/>
      <c r="J131" s="616"/>
      <c r="K131" s="1491"/>
      <c r="L131" s="616"/>
      <c r="M131" s="616"/>
      <c r="S131" s="432"/>
    </row>
    <row r="132" spans="3:19" ht="13.35" customHeight="1">
      <c r="C132" s="1492"/>
      <c r="F132" s="616"/>
      <c r="G132" s="616"/>
      <c r="H132" s="616"/>
      <c r="I132" s="616"/>
      <c r="J132" s="616"/>
      <c r="K132" s="1491"/>
      <c r="L132" s="616"/>
      <c r="M132" s="616"/>
      <c r="S132" s="432"/>
    </row>
    <row r="133" spans="3:19" ht="13.35" customHeight="1">
      <c r="C133" s="1492"/>
      <c r="F133" s="616"/>
      <c r="G133" s="616"/>
      <c r="H133" s="616"/>
      <c r="I133" s="616"/>
      <c r="J133" s="616"/>
      <c r="K133" s="1491"/>
      <c r="L133" s="616"/>
      <c r="M133" s="616"/>
      <c r="S133" s="432"/>
    </row>
    <row r="134" spans="3:19" ht="13.35" customHeight="1">
      <c r="C134" s="1492"/>
      <c r="F134" s="616"/>
      <c r="G134" s="616"/>
      <c r="H134" s="616"/>
      <c r="I134" s="616"/>
      <c r="J134" s="616"/>
      <c r="K134" s="1491"/>
      <c r="L134" s="616"/>
      <c r="M134" s="616"/>
      <c r="S134" s="432"/>
    </row>
    <row r="135" spans="3:19" ht="13.35" customHeight="1">
      <c r="C135" s="1492"/>
      <c r="F135" s="616"/>
      <c r="G135" s="616"/>
      <c r="H135" s="616"/>
      <c r="I135" s="616"/>
      <c r="J135" s="616"/>
      <c r="K135" s="1491"/>
      <c r="L135" s="616"/>
      <c r="M135" s="616"/>
      <c r="S135" s="432"/>
    </row>
    <row r="136" spans="3:19" ht="13.35" customHeight="1">
      <c r="C136" s="1492"/>
      <c r="F136" s="616"/>
      <c r="G136" s="616"/>
      <c r="H136" s="616"/>
      <c r="I136" s="616"/>
      <c r="J136" s="616"/>
      <c r="K136" s="1491"/>
      <c r="L136" s="616"/>
      <c r="M136" s="616"/>
      <c r="S136" s="432"/>
    </row>
    <row r="137" spans="3:19" ht="13.35" customHeight="1">
      <c r="C137" s="1492"/>
      <c r="F137" s="616"/>
      <c r="G137" s="616"/>
      <c r="H137" s="616"/>
      <c r="I137" s="616"/>
      <c r="J137" s="616"/>
      <c r="K137" s="1491"/>
      <c r="L137" s="616"/>
      <c r="M137" s="616"/>
      <c r="S137" s="432"/>
    </row>
    <row r="138" spans="3:19" ht="13.35" customHeight="1">
      <c r="C138" s="1492"/>
      <c r="F138" s="616"/>
      <c r="G138" s="616"/>
      <c r="H138" s="616"/>
      <c r="I138" s="616"/>
      <c r="J138" s="616"/>
      <c r="K138" s="1491"/>
      <c r="L138" s="616"/>
      <c r="M138" s="616"/>
      <c r="S138" s="432"/>
    </row>
    <row r="139" spans="3:19" ht="13.35" customHeight="1">
      <c r="C139" s="1492"/>
      <c r="F139" s="616"/>
      <c r="G139" s="616"/>
      <c r="H139" s="616"/>
      <c r="I139" s="616"/>
      <c r="J139" s="616"/>
      <c r="K139" s="1491"/>
      <c r="L139" s="616"/>
      <c r="M139" s="616"/>
      <c r="S139" s="432"/>
    </row>
    <row r="140" spans="3:19" ht="13.35" customHeight="1">
      <c r="C140" s="1492"/>
      <c r="F140" s="616"/>
      <c r="G140" s="616"/>
      <c r="H140" s="616"/>
      <c r="I140" s="616"/>
      <c r="J140" s="616"/>
      <c r="K140" s="1491"/>
      <c r="L140" s="616"/>
      <c r="M140" s="616"/>
      <c r="S140" s="432"/>
    </row>
    <row r="141" spans="3:19" ht="13.35" customHeight="1">
      <c r="C141" s="1492"/>
      <c r="F141" s="616"/>
      <c r="G141" s="616"/>
      <c r="H141" s="616"/>
      <c r="I141" s="616"/>
      <c r="J141" s="616"/>
      <c r="K141" s="1491"/>
      <c r="L141" s="616"/>
      <c r="M141" s="616"/>
      <c r="S141" s="432"/>
    </row>
    <row r="142" spans="3:19" ht="13.35" customHeight="1">
      <c r="C142" s="1492"/>
      <c r="F142" s="616"/>
      <c r="G142" s="616"/>
      <c r="H142" s="616"/>
      <c r="I142" s="616"/>
      <c r="J142" s="616"/>
      <c r="K142" s="1491"/>
      <c r="L142" s="616"/>
      <c r="M142" s="616"/>
      <c r="S142" s="432"/>
    </row>
    <row r="143" spans="3:19" ht="13.35" customHeight="1">
      <c r="C143" s="1492"/>
      <c r="F143" s="616"/>
      <c r="G143" s="616"/>
      <c r="H143" s="616"/>
      <c r="I143" s="616"/>
      <c r="J143" s="616"/>
      <c r="K143" s="1491"/>
      <c r="L143" s="616"/>
      <c r="M143" s="616"/>
      <c r="S143" s="432"/>
    </row>
    <row r="144" spans="3:19" ht="13.35" customHeight="1">
      <c r="C144" s="1492"/>
      <c r="F144" s="616"/>
      <c r="G144" s="616"/>
      <c r="H144" s="616"/>
      <c r="I144" s="616"/>
      <c r="J144" s="616"/>
      <c r="K144" s="1491"/>
      <c r="L144" s="616"/>
      <c r="M144" s="616"/>
      <c r="S144" s="432"/>
    </row>
    <row r="145" spans="3:19" ht="13.35" customHeight="1">
      <c r="C145" s="1492"/>
      <c r="F145" s="616"/>
      <c r="G145" s="616"/>
      <c r="H145" s="616"/>
      <c r="I145" s="616"/>
      <c r="J145" s="616"/>
      <c r="K145" s="1491"/>
      <c r="L145" s="616"/>
      <c r="M145" s="616"/>
      <c r="S145" s="432"/>
    </row>
    <row r="146" spans="3:19" ht="13.35" customHeight="1">
      <c r="C146" s="1492"/>
      <c r="F146" s="616"/>
      <c r="G146" s="616"/>
      <c r="H146" s="616"/>
      <c r="I146" s="616"/>
      <c r="J146" s="616"/>
      <c r="K146" s="1491"/>
      <c r="L146" s="616"/>
      <c r="M146" s="616"/>
      <c r="S146" s="432"/>
    </row>
    <row r="147" spans="3:19" ht="13.35" customHeight="1">
      <c r="C147" s="1492"/>
      <c r="F147" s="616"/>
      <c r="G147" s="616"/>
      <c r="H147" s="616"/>
      <c r="I147" s="616"/>
      <c r="J147" s="616"/>
      <c r="K147" s="1491"/>
      <c r="L147" s="616"/>
      <c r="M147" s="616"/>
      <c r="S147" s="432"/>
    </row>
    <row r="148" spans="3:19" ht="13.35" customHeight="1">
      <c r="C148" s="1492"/>
      <c r="F148" s="616"/>
      <c r="G148" s="616"/>
      <c r="H148" s="616"/>
      <c r="I148" s="616"/>
      <c r="J148" s="616"/>
      <c r="K148" s="1491"/>
      <c r="L148" s="616"/>
      <c r="M148" s="616"/>
      <c r="S148" s="432"/>
    </row>
    <row r="149" spans="3:19" ht="13.35" customHeight="1">
      <c r="C149" s="1492"/>
      <c r="F149" s="616"/>
      <c r="G149" s="616"/>
      <c r="H149" s="616"/>
      <c r="I149" s="616"/>
      <c r="J149" s="616"/>
      <c r="K149" s="1491"/>
      <c r="L149" s="616"/>
      <c r="M149" s="616"/>
      <c r="S149" s="432"/>
    </row>
    <row r="150" spans="3:19" ht="13.35" customHeight="1">
      <c r="C150" s="1492"/>
      <c r="F150" s="616"/>
      <c r="G150" s="616"/>
      <c r="H150" s="616"/>
      <c r="I150" s="616"/>
      <c r="J150" s="616"/>
      <c r="K150" s="1491"/>
      <c r="L150" s="616"/>
      <c r="M150" s="616"/>
      <c r="S150" s="432"/>
    </row>
    <row r="151" spans="3:19" ht="13.35" customHeight="1">
      <c r="C151" s="1492"/>
      <c r="F151" s="616"/>
      <c r="G151" s="616"/>
      <c r="H151" s="616"/>
      <c r="I151" s="616"/>
      <c r="J151" s="616"/>
      <c r="K151" s="1491"/>
      <c r="L151" s="616"/>
      <c r="M151" s="616"/>
      <c r="S151" s="432"/>
    </row>
    <row r="152" spans="3:19" ht="13.35" customHeight="1">
      <c r="C152" s="1492"/>
      <c r="F152" s="616"/>
      <c r="G152" s="616"/>
      <c r="H152" s="616"/>
      <c r="I152" s="616"/>
      <c r="J152" s="616"/>
      <c r="K152" s="1491"/>
      <c r="L152" s="616"/>
      <c r="M152" s="616"/>
      <c r="S152" s="432"/>
    </row>
    <row r="153" spans="3:19" ht="13.35" customHeight="1">
      <c r="C153" s="1492"/>
      <c r="F153" s="616"/>
      <c r="G153" s="616"/>
      <c r="H153" s="616"/>
      <c r="I153" s="616"/>
      <c r="J153" s="616"/>
      <c r="K153" s="1491"/>
      <c r="L153" s="616"/>
      <c r="M153" s="616"/>
      <c r="S153" s="432"/>
    </row>
    <row r="154" spans="3:19" ht="13.35" customHeight="1">
      <c r="C154" s="1492"/>
      <c r="F154" s="616"/>
      <c r="G154" s="616"/>
      <c r="H154" s="616"/>
      <c r="I154" s="616"/>
      <c r="J154" s="616"/>
      <c r="K154" s="1491"/>
      <c r="L154" s="616"/>
      <c r="M154" s="616"/>
      <c r="S154" s="432"/>
    </row>
    <row r="155" spans="3:19" ht="13.35" customHeight="1">
      <c r="C155" s="1492"/>
      <c r="F155" s="616"/>
      <c r="G155" s="616"/>
      <c r="H155" s="616"/>
      <c r="I155" s="616"/>
      <c r="J155" s="616"/>
      <c r="K155" s="1491"/>
      <c r="L155" s="616"/>
      <c r="M155" s="616"/>
      <c r="S155" s="432"/>
    </row>
    <row r="156" spans="3:19" ht="13.35" customHeight="1">
      <c r="C156" s="1492"/>
      <c r="F156" s="616"/>
      <c r="G156" s="616"/>
      <c r="H156" s="616"/>
      <c r="I156" s="616"/>
      <c r="J156" s="616"/>
      <c r="K156" s="1491"/>
      <c r="L156" s="616"/>
      <c r="M156" s="616"/>
      <c r="S156" s="432"/>
    </row>
    <row r="157" spans="3:19" ht="13.35" customHeight="1">
      <c r="C157" s="1492"/>
      <c r="F157" s="616"/>
      <c r="G157" s="616"/>
      <c r="H157" s="616"/>
      <c r="I157" s="616"/>
      <c r="J157" s="616"/>
      <c r="K157" s="1491"/>
      <c r="L157" s="616"/>
      <c r="M157" s="616"/>
      <c r="S157" s="432"/>
    </row>
    <row r="158" spans="3:19" ht="13.35" customHeight="1">
      <c r="C158" s="1492"/>
      <c r="F158" s="616"/>
      <c r="G158" s="616"/>
      <c r="H158" s="616"/>
      <c r="I158" s="616"/>
      <c r="J158" s="616"/>
      <c r="K158" s="1491"/>
      <c r="L158" s="616"/>
      <c r="M158" s="616"/>
      <c r="S158" s="432"/>
    </row>
    <row r="159" spans="3:19" ht="13.35" customHeight="1">
      <c r="C159" s="1492"/>
      <c r="F159" s="616"/>
      <c r="G159" s="616"/>
      <c r="H159" s="616"/>
      <c r="I159" s="616"/>
      <c r="J159" s="616"/>
      <c r="K159" s="1491"/>
      <c r="L159" s="616"/>
      <c r="M159" s="616"/>
      <c r="S159" s="432"/>
    </row>
    <row r="160" spans="3:19" ht="13.35" customHeight="1">
      <c r="C160" s="1492"/>
      <c r="F160" s="616"/>
      <c r="G160" s="616"/>
      <c r="H160" s="616"/>
      <c r="I160" s="616"/>
      <c r="J160" s="616"/>
      <c r="K160" s="1491"/>
      <c r="L160" s="616"/>
      <c r="M160" s="616"/>
      <c r="S160" s="432"/>
    </row>
    <row r="161" spans="3:19" ht="13.35" customHeight="1">
      <c r="C161" s="1492"/>
      <c r="F161" s="616"/>
      <c r="G161" s="616"/>
      <c r="H161" s="616"/>
      <c r="I161" s="616"/>
      <c r="J161" s="616"/>
      <c r="K161" s="1491"/>
      <c r="L161" s="616"/>
      <c r="M161" s="616"/>
      <c r="S161" s="432"/>
    </row>
    <row r="162" spans="3:19" ht="13.35" customHeight="1">
      <c r="C162" s="1492"/>
      <c r="F162" s="616"/>
      <c r="G162" s="616"/>
      <c r="H162" s="616"/>
      <c r="I162" s="616"/>
      <c r="J162" s="616"/>
      <c r="K162" s="1491"/>
      <c r="L162" s="616"/>
      <c r="M162" s="616"/>
      <c r="S162" s="432"/>
    </row>
    <row r="163" spans="3:19" ht="13.35" customHeight="1">
      <c r="C163" s="1492"/>
      <c r="F163" s="616"/>
      <c r="G163" s="616"/>
      <c r="H163" s="616"/>
      <c r="I163" s="616"/>
      <c r="J163" s="616"/>
      <c r="K163" s="1491"/>
      <c r="L163" s="616"/>
      <c r="M163" s="616"/>
      <c r="S163" s="432"/>
    </row>
    <row r="164" spans="3:19" ht="13.35" customHeight="1">
      <c r="C164" s="1492"/>
      <c r="F164" s="616"/>
      <c r="G164" s="616"/>
      <c r="H164" s="616"/>
      <c r="I164" s="616"/>
      <c r="J164" s="616"/>
      <c r="K164" s="1491"/>
      <c r="L164" s="616"/>
      <c r="M164" s="616"/>
      <c r="S164" s="432"/>
    </row>
    <row r="165" spans="3:19" ht="13.35" customHeight="1">
      <c r="C165" s="1492"/>
      <c r="F165" s="616"/>
      <c r="G165" s="616"/>
      <c r="H165" s="616"/>
      <c r="I165" s="616"/>
      <c r="J165" s="616"/>
      <c r="K165" s="1491"/>
      <c r="L165" s="616"/>
      <c r="M165" s="616"/>
      <c r="S165" s="432"/>
    </row>
    <row r="166" spans="3:19" ht="13.35" customHeight="1">
      <c r="C166" s="1492"/>
      <c r="F166" s="616"/>
      <c r="G166" s="616"/>
      <c r="H166" s="616"/>
      <c r="I166" s="616"/>
      <c r="J166" s="616"/>
      <c r="K166" s="1491"/>
      <c r="L166" s="616"/>
      <c r="M166" s="616"/>
      <c r="S166" s="432"/>
    </row>
    <row r="167" spans="3:19" ht="13.35" customHeight="1">
      <c r="C167" s="1492"/>
      <c r="F167" s="616"/>
      <c r="G167" s="616"/>
      <c r="H167" s="616"/>
      <c r="I167" s="616"/>
      <c r="J167" s="616"/>
      <c r="K167" s="1491"/>
      <c r="L167" s="616"/>
      <c r="M167" s="616"/>
      <c r="S167" s="432"/>
    </row>
    <row r="168" spans="3:19" ht="13.35" customHeight="1">
      <c r="C168" s="1492"/>
      <c r="F168" s="616"/>
      <c r="G168" s="616"/>
      <c r="H168" s="616"/>
      <c r="I168" s="616"/>
      <c r="J168" s="616"/>
      <c r="K168" s="1491"/>
      <c r="L168" s="616"/>
      <c r="M168" s="616"/>
      <c r="S168" s="432"/>
    </row>
    <row r="169" spans="3:19" ht="13.35" customHeight="1">
      <c r="C169" s="1492"/>
      <c r="F169" s="616"/>
      <c r="G169" s="616"/>
      <c r="H169" s="616"/>
      <c r="I169" s="616"/>
      <c r="J169" s="616"/>
      <c r="K169" s="1491"/>
      <c r="L169" s="616"/>
      <c r="M169" s="616"/>
      <c r="S169" s="432"/>
    </row>
    <row r="170" spans="3:19" ht="13.35" customHeight="1">
      <c r="C170" s="1492"/>
      <c r="F170" s="616"/>
      <c r="G170" s="616"/>
      <c r="H170" s="616"/>
      <c r="I170" s="616"/>
      <c r="J170" s="616"/>
      <c r="K170" s="1491"/>
      <c r="L170" s="616"/>
      <c r="M170" s="616"/>
      <c r="S170" s="432"/>
    </row>
    <row r="171" spans="3:19" ht="13.35" customHeight="1">
      <c r="C171" s="1492"/>
      <c r="F171" s="616"/>
      <c r="G171" s="616"/>
      <c r="H171" s="616"/>
      <c r="I171" s="616"/>
      <c r="J171" s="616"/>
      <c r="K171" s="1491"/>
      <c r="L171" s="616"/>
      <c r="M171" s="616"/>
      <c r="S171" s="432"/>
    </row>
    <row r="172" spans="3:19" ht="13.35" customHeight="1">
      <c r="C172" s="1492"/>
      <c r="F172" s="616"/>
      <c r="G172" s="616"/>
      <c r="H172" s="616"/>
      <c r="I172" s="616"/>
      <c r="J172" s="616"/>
      <c r="K172" s="1491"/>
      <c r="L172" s="616"/>
      <c r="M172" s="616"/>
      <c r="S172" s="432"/>
    </row>
    <row r="173" spans="3:19" ht="13.35" customHeight="1">
      <c r="C173" s="1492"/>
      <c r="F173" s="616"/>
      <c r="G173" s="616"/>
      <c r="H173" s="616"/>
      <c r="I173" s="616"/>
      <c r="J173" s="616"/>
      <c r="K173" s="1491"/>
      <c r="L173" s="616"/>
      <c r="M173" s="616"/>
      <c r="S173" s="432"/>
    </row>
    <row r="174" spans="3:19" ht="13.35" customHeight="1">
      <c r="C174" s="1492"/>
      <c r="F174" s="616"/>
      <c r="G174" s="616"/>
      <c r="H174" s="616"/>
      <c r="I174" s="616"/>
      <c r="J174" s="616"/>
      <c r="K174" s="1491"/>
      <c r="L174" s="616"/>
      <c r="M174" s="616"/>
      <c r="S174" s="432"/>
    </row>
    <row r="175" spans="3:19" ht="13.35" customHeight="1">
      <c r="C175" s="1492"/>
      <c r="F175" s="616"/>
      <c r="G175" s="616"/>
      <c r="H175" s="616"/>
      <c r="I175" s="616"/>
      <c r="J175" s="616"/>
      <c r="K175" s="1491"/>
      <c r="L175" s="616"/>
      <c r="M175" s="616"/>
      <c r="S175" s="432"/>
    </row>
    <row r="176" spans="3:19" ht="13.35" customHeight="1">
      <c r="C176" s="1492"/>
      <c r="F176" s="616"/>
      <c r="G176" s="616"/>
      <c r="H176" s="616"/>
      <c r="I176" s="616"/>
      <c r="J176" s="616"/>
      <c r="K176" s="1491"/>
      <c r="L176" s="616"/>
      <c r="M176" s="616"/>
      <c r="S176" s="432"/>
    </row>
    <row r="177" spans="3:19" ht="13.35" customHeight="1">
      <c r="C177" s="1492"/>
      <c r="F177" s="616"/>
      <c r="G177" s="616"/>
      <c r="H177" s="616"/>
      <c r="I177" s="616"/>
      <c r="J177" s="616"/>
      <c r="K177" s="1491"/>
      <c r="L177" s="616"/>
      <c r="M177" s="616"/>
      <c r="S177" s="432"/>
    </row>
    <row r="178" spans="3:19" ht="13.35" customHeight="1">
      <c r="C178" s="1492"/>
      <c r="F178" s="616"/>
      <c r="G178" s="616"/>
      <c r="H178" s="616"/>
      <c r="I178" s="616"/>
      <c r="J178" s="616"/>
      <c r="K178" s="1491"/>
      <c r="L178" s="616"/>
      <c r="M178" s="616"/>
      <c r="S178" s="432"/>
    </row>
    <row r="179" spans="3:19" ht="13.35" customHeight="1">
      <c r="C179" s="1492"/>
      <c r="F179" s="616"/>
      <c r="G179" s="616"/>
      <c r="H179" s="616"/>
      <c r="I179" s="616"/>
      <c r="J179" s="616"/>
      <c r="K179" s="1491"/>
      <c r="L179" s="616"/>
      <c r="M179" s="616"/>
      <c r="S179" s="432"/>
    </row>
    <row r="180" spans="3:19" ht="13.35" customHeight="1">
      <c r="C180" s="1492"/>
      <c r="F180" s="616"/>
      <c r="G180" s="616"/>
      <c r="H180" s="616"/>
      <c r="I180" s="616"/>
      <c r="J180" s="616"/>
      <c r="K180" s="1491"/>
      <c r="L180" s="616"/>
      <c r="M180" s="616"/>
      <c r="S180" s="432"/>
    </row>
    <row r="181" spans="3:19" ht="13.35" customHeight="1">
      <c r="C181" s="1492"/>
      <c r="F181" s="616"/>
      <c r="G181" s="616"/>
      <c r="H181" s="616"/>
      <c r="I181" s="616"/>
      <c r="J181" s="616"/>
      <c r="K181" s="1491"/>
      <c r="L181" s="616"/>
      <c r="M181" s="616"/>
      <c r="S181" s="432"/>
    </row>
    <row r="182" spans="3:19" ht="13.35" customHeight="1">
      <c r="C182" s="1492"/>
      <c r="F182" s="616"/>
      <c r="G182" s="616"/>
      <c r="H182" s="616"/>
      <c r="I182" s="616"/>
      <c r="J182" s="616"/>
      <c r="K182" s="1491"/>
      <c r="L182" s="616"/>
      <c r="M182" s="616"/>
      <c r="S182" s="432"/>
    </row>
    <row r="183" spans="3:19" ht="13.35" customHeight="1">
      <c r="C183" s="1492"/>
      <c r="F183" s="616"/>
      <c r="G183" s="616"/>
      <c r="H183" s="616"/>
      <c r="I183" s="616"/>
      <c r="J183" s="616"/>
      <c r="K183" s="1491"/>
      <c r="L183" s="616"/>
      <c r="M183" s="616"/>
      <c r="S183" s="432"/>
    </row>
    <row r="184" spans="3:19" ht="13.35" customHeight="1">
      <c r="C184" s="1492"/>
      <c r="F184" s="616"/>
      <c r="G184" s="616"/>
      <c r="H184" s="616"/>
      <c r="I184" s="616"/>
      <c r="J184" s="616"/>
      <c r="K184" s="1491"/>
      <c r="L184" s="616"/>
      <c r="M184" s="616"/>
      <c r="S184" s="432"/>
    </row>
    <row r="185" spans="3:19" ht="13.35" customHeight="1">
      <c r="C185" s="1492"/>
      <c r="F185" s="616"/>
      <c r="G185" s="616"/>
      <c r="H185" s="616"/>
      <c r="I185" s="616"/>
      <c r="J185" s="616"/>
      <c r="K185" s="1491"/>
      <c r="L185" s="616"/>
      <c r="M185" s="616"/>
      <c r="S185" s="432"/>
    </row>
    <row r="186" spans="3:19" ht="13.35" customHeight="1">
      <c r="C186" s="1492"/>
      <c r="F186" s="616"/>
      <c r="G186" s="616"/>
      <c r="H186" s="616"/>
      <c r="I186" s="616"/>
      <c r="J186" s="616"/>
      <c r="K186" s="1491"/>
      <c r="L186" s="616"/>
      <c r="M186" s="616"/>
      <c r="S186" s="432"/>
    </row>
    <row r="187" spans="3:19" ht="13.35" customHeight="1">
      <c r="C187" s="1492" t="s">
        <v>233</v>
      </c>
      <c r="F187" s="616"/>
      <c r="G187" s="616"/>
      <c r="H187" s="616"/>
      <c r="I187" s="616"/>
      <c r="J187" s="616"/>
      <c r="K187" s="1491"/>
      <c r="L187" s="616"/>
      <c r="M187" s="616"/>
      <c r="S187" s="432"/>
    </row>
    <row r="188" spans="3:19" ht="13.35" customHeight="1">
      <c r="C188" s="1492"/>
      <c r="F188" s="616"/>
      <c r="G188" s="616"/>
      <c r="H188" s="616"/>
      <c r="I188" s="616"/>
      <c r="J188" s="616"/>
      <c r="K188" s="1491"/>
      <c r="L188" s="616"/>
      <c r="M188" s="616"/>
      <c r="S188" s="432"/>
    </row>
    <row r="189" spans="3:19" ht="13.35" customHeight="1">
      <c r="C189" s="1492"/>
      <c r="F189" s="616"/>
      <c r="G189" s="616"/>
      <c r="H189" s="616"/>
      <c r="I189" s="616"/>
      <c r="J189" s="616"/>
      <c r="K189" s="1491"/>
      <c r="L189" s="616"/>
      <c r="M189" s="616"/>
      <c r="S189" s="432"/>
    </row>
    <row r="190" spans="3:19" ht="13.35" customHeight="1">
      <c r="C190" s="1492"/>
      <c r="F190" s="616"/>
      <c r="G190" s="616"/>
      <c r="H190" s="616"/>
      <c r="I190" s="616"/>
      <c r="J190" s="616"/>
      <c r="K190" s="1491"/>
      <c r="L190" s="616"/>
      <c r="M190" s="616"/>
      <c r="S190" s="432"/>
    </row>
    <row r="191" spans="3:19" ht="13.35" customHeight="1">
      <c r="C191" s="1492"/>
      <c r="F191" s="616"/>
      <c r="G191" s="616"/>
      <c r="H191" s="616"/>
      <c r="I191" s="616"/>
      <c r="J191" s="616"/>
      <c r="K191" s="1491"/>
      <c r="L191" s="616"/>
      <c r="M191" s="616"/>
      <c r="S191" s="432"/>
    </row>
    <row r="192" spans="3:19" ht="13.35" customHeight="1">
      <c r="C192" s="1492"/>
      <c r="F192" s="616"/>
      <c r="G192" s="616"/>
      <c r="H192" s="616"/>
      <c r="I192" s="616"/>
      <c r="J192" s="616"/>
      <c r="K192" s="1491"/>
      <c r="L192" s="616"/>
      <c r="M192" s="616"/>
      <c r="S192" s="432"/>
    </row>
    <row r="193" spans="3:19" ht="13.35" customHeight="1">
      <c r="C193" s="1492"/>
      <c r="F193" s="560"/>
      <c r="G193" s="560"/>
      <c r="H193" s="560"/>
      <c r="I193" s="560"/>
      <c r="J193" s="560"/>
      <c r="K193" s="1491"/>
      <c r="L193" s="560"/>
      <c r="M193" s="560"/>
      <c r="S193" s="432"/>
    </row>
    <row r="194" spans="3:19" ht="13.35" customHeight="1">
      <c r="C194" s="1492"/>
      <c r="F194" s="560"/>
      <c r="G194" s="560"/>
      <c r="H194" s="560"/>
      <c r="I194" s="560"/>
      <c r="J194" s="560"/>
      <c r="K194" s="1491"/>
      <c r="L194" s="560"/>
      <c r="M194" s="560"/>
      <c r="S194" s="432"/>
    </row>
    <row r="195" spans="3:19" ht="13.35" customHeight="1">
      <c r="C195" s="1492"/>
      <c r="F195" s="560"/>
      <c r="G195" s="560"/>
      <c r="H195" s="560"/>
      <c r="I195" s="560"/>
      <c r="J195" s="560"/>
      <c r="K195" s="1491"/>
      <c r="L195" s="560"/>
      <c r="M195" s="560"/>
      <c r="S195" s="432"/>
    </row>
    <row r="196" spans="3:19" ht="13.35" customHeight="1">
      <c r="C196" s="1492"/>
      <c r="F196" s="560"/>
      <c r="G196" s="560"/>
      <c r="H196" s="560"/>
      <c r="I196" s="560"/>
      <c r="J196" s="560"/>
      <c r="K196" s="1491"/>
      <c r="L196" s="560"/>
      <c r="M196" s="560"/>
      <c r="S196" s="432"/>
    </row>
    <row r="197" spans="3:19" ht="13.35" customHeight="1">
      <c r="C197" s="1492"/>
      <c r="F197" s="560"/>
      <c r="G197" s="560"/>
      <c r="H197" s="560"/>
      <c r="I197" s="560"/>
      <c r="J197" s="560"/>
      <c r="K197" s="1491"/>
      <c r="L197" s="560"/>
      <c r="M197" s="560"/>
      <c r="S197" s="432"/>
    </row>
    <row r="198" spans="3:19" ht="13.35" customHeight="1">
      <c r="C198" s="1492"/>
      <c r="F198" s="560"/>
      <c r="G198" s="560"/>
      <c r="H198" s="560"/>
      <c r="I198" s="560"/>
      <c r="J198" s="560"/>
      <c r="K198" s="1491"/>
      <c r="L198" s="560"/>
      <c r="M198" s="560"/>
      <c r="S198" s="432"/>
    </row>
    <row r="199" spans="3:19" ht="13.35" customHeight="1">
      <c r="C199" s="1492"/>
      <c r="F199" s="560"/>
      <c r="G199" s="560"/>
      <c r="H199" s="560"/>
      <c r="I199" s="560"/>
      <c r="J199" s="560"/>
      <c r="K199" s="1491"/>
      <c r="L199" s="560"/>
      <c r="M199" s="560"/>
      <c r="S199" s="432"/>
    </row>
    <row r="200" spans="3:19" ht="13.35" customHeight="1">
      <c r="C200" s="1492"/>
      <c r="F200" s="560"/>
      <c r="G200" s="560"/>
      <c r="H200" s="560"/>
      <c r="I200" s="560"/>
      <c r="J200" s="560"/>
      <c r="K200" s="1491"/>
      <c r="L200" s="560"/>
      <c r="M200" s="560"/>
      <c r="S200" s="432"/>
    </row>
    <row r="201" spans="3:19" ht="13.35" customHeight="1">
      <c r="C201" s="1492"/>
      <c r="F201" s="560"/>
      <c r="G201" s="560"/>
      <c r="H201" s="560"/>
      <c r="I201" s="560"/>
      <c r="J201" s="560"/>
      <c r="K201" s="1491"/>
      <c r="L201" s="560"/>
      <c r="M201" s="560"/>
      <c r="S201" s="432"/>
    </row>
    <row r="202" spans="3:19" ht="13.35" customHeight="1">
      <c r="C202" s="1492"/>
      <c r="F202" s="560"/>
      <c r="G202" s="560"/>
      <c r="H202" s="560"/>
      <c r="I202" s="560"/>
      <c r="J202" s="560"/>
      <c r="K202" s="1491"/>
      <c r="L202" s="560"/>
      <c r="M202" s="560"/>
      <c r="S202" s="432"/>
    </row>
    <row r="203" spans="3:19" ht="13.35" customHeight="1">
      <c r="C203" s="1492"/>
      <c r="F203" s="560"/>
      <c r="G203" s="560"/>
      <c r="H203" s="560"/>
      <c r="I203" s="560"/>
      <c r="J203" s="560"/>
      <c r="K203" s="1491"/>
      <c r="L203" s="560"/>
      <c r="M203" s="560"/>
      <c r="S203" s="432"/>
    </row>
    <row r="204" spans="3:19" ht="13.35" customHeight="1">
      <c r="C204" s="1492"/>
      <c r="F204" s="560"/>
      <c r="G204" s="560"/>
      <c r="H204" s="560"/>
      <c r="I204" s="560"/>
      <c r="J204" s="560"/>
      <c r="K204" s="1491"/>
      <c r="L204" s="560"/>
      <c r="M204" s="560"/>
      <c r="S204" s="432"/>
    </row>
    <row r="205" spans="3:19" ht="13.35" customHeight="1">
      <c r="C205" s="1492"/>
      <c r="F205" s="560"/>
      <c r="G205" s="560"/>
      <c r="H205" s="560"/>
      <c r="I205" s="560"/>
      <c r="J205" s="560"/>
      <c r="K205" s="1491"/>
      <c r="L205" s="560"/>
      <c r="M205" s="560"/>
      <c r="S205" s="432"/>
    </row>
    <row r="206" spans="3:19" ht="13.35" customHeight="1">
      <c r="C206" s="1492"/>
      <c r="F206" s="560"/>
      <c r="G206" s="560"/>
      <c r="H206" s="560"/>
      <c r="I206" s="560"/>
      <c r="J206" s="560"/>
      <c r="K206" s="1491"/>
      <c r="L206" s="560"/>
      <c r="M206" s="560"/>
      <c r="S206" s="432"/>
    </row>
    <row r="207" spans="3:19" ht="13.35" customHeight="1">
      <c r="C207" s="1492"/>
      <c r="F207" s="560"/>
      <c r="G207" s="560"/>
      <c r="H207" s="560"/>
      <c r="I207" s="560"/>
      <c r="J207" s="560"/>
      <c r="K207" s="1491"/>
      <c r="L207" s="560"/>
      <c r="M207" s="560"/>
      <c r="S207" s="432"/>
    </row>
    <row r="208" spans="3:19" ht="13.35" customHeight="1">
      <c r="C208" s="1492"/>
      <c r="F208" s="560"/>
      <c r="G208" s="560"/>
      <c r="H208" s="560"/>
      <c r="I208" s="560"/>
      <c r="J208" s="560"/>
      <c r="K208" s="1491"/>
      <c r="L208" s="560"/>
      <c r="M208" s="560"/>
      <c r="S208" s="432"/>
    </row>
    <row r="209" spans="3:19" ht="13.35" customHeight="1">
      <c r="C209" s="1492"/>
      <c r="F209" s="560"/>
      <c r="G209" s="560"/>
      <c r="H209" s="560"/>
      <c r="I209" s="560"/>
      <c r="J209" s="560"/>
      <c r="K209" s="1491"/>
      <c r="L209" s="560"/>
      <c r="M209" s="560"/>
      <c r="S209" s="432"/>
    </row>
    <row r="210" spans="3:19" ht="13.35" customHeight="1">
      <c r="C210" s="1492"/>
      <c r="F210" s="560"/>
      <c r="G210" s="560"/>
      <c r="H210" s="560"/>
      <c r="I210" s="560"/>
      <c r="J210" s="560"/>
      <c r="K210" s="1491"/>
      <c r="L210" s="560"/>
      <c r="M210" s="560"/>
      <c r="S210" s="432"/>
    </row>
    <row r="211" spans="3:19" ht="13.35" customHeight="1">
      <c r="C211" s="1492"/>
      <c r="F211" s="560"/>
      <c r="G211" s="560"/>
      <c r="H211" s="560"/>
      <c r="I211" s="560"/>
      <c r="J211" s="560"/>
      <c r="K211" s="1491"/>
      <c r="L211" s="560"/>
      <c r="M211" s="560"/>
      <c r="S211" s="432"/>
    </row>
    <row r="212" spans="3:19" ht="13.35" customHeight="1">
      <c r="C212" s="1492"/>
      <c r="F212" s="560"/>
      <c r="G212" s="560"/>
      <c r="H212" s="560"/>
      <c r="I212" s="560"/>
      <c r="J212" s="560"/>
      <c r="K212" s="1491"/>
      <c r="L212" s="560"/>
      <c r="M212" s="560"/>
      <c r="S212" s="432"/>
    </row>
    <row r="213" spans="3:19" ht="13.35" customHeight="1">
      <c r="C213" s="1492"/>
      <c r="F213" s="560"/>
      <c r="G213" s="560"/>
      <c r="H213" s="560"/>
      <c r="I213" s="560"/>
      <c r="J213" s="560"/>
      <c r="K213" s="1491"/>
      <c r="L213" s="560"/>
      <c r="M213" s="560"/>
      <c r="S213" s="432"/>
    </row>
    <row r="214" spans="3:19" ht="13.35" customHeight="1">
      <c r="C214" s="1492"/>
      <c r="F214" s="560"/>
      <c r="G214" s="560"/>
      <c r="H214" s="560"/>
      <c r="I214" s="560"/>
      <c r="J214" s="560"/>
      <c r="K214" s="1491"/>
      <c r="L214" s="560"/>
      <c r="M214" s="560"/>
      <c r="S214" s="432"/>
    </row>
    <row r="215" spans="3:19" ht="13.35" customHeight="1">
      <c r="C215" s="1492"/>
      <c r="F215" s="560"/>
      <c r="G215" s="560"/>
      <c r="H215" s="560"/>
      <c r="I215" s="560"/>
      <c r="J215" s="560"/>
      <c r="K215" s="1491"/>
      <c r="L215" s="560"/>
      <c r="M215" s="560"/>
      <c r="S215" s="432"/>
    </row>
    <row r="216" spans="3:19" ht="13.35" customHeight="1">
      <c r="C216" s="1492"/>
      <c r="F216" s="560"/>
      <c r="G216" s="560"/>
      <c r="H216" s="560"/>
      <c r="I216" s="560"/>
      <c r="J216" s="560"/>
      <c r="K216" s="1491"/>
      <c r="L216" s="560"/>
      <c r="M216" s="560"/>
      <c r="S216" s="432"/>
    </row>
    <row r="217" spans="3:19" ht="13.35" customHeight="1">
      <c r="C217" s="1492"/>
      <c r="F217" s="560"/>
      <c r="G217" s="560"/>
      <c r="H217" s="560"/>
      <c r="I217" s="560"/>
      <c r="J217" s="560"/>
      <c r="K217" s="1491"/>
      <c r="L217" s="560"/>
      <c r="M217" s="560"/>
      <c r="S217" s="432"/>
    </row>
    <row r="218" spans="3:19" ht="13.35" customHeight="1">
      <c r="C218" s="1492"/>
      <c r="F218" s="560"/>
      <c r="G218" s="560"/>
      <c r="H218" s="560"/>
      <c r="I218" s="560"/>
      <c r="J218" s="560"/>
      <c r="K218" s="1491"/>
      <c r="L218" s="560"/>
      <c r="M218" s="560"/>
      <c r="S218" s="432"/>
    </row>
    <row r="219" spans="3:19" ht="13.35" customHeight="1">
      <c r="C219" s="1492"/>
      <c r="F219" s="560"/>
      <c r="G219" s="560"/>
      <c r="H219" s="560"/>
      <c r="I219" s="560"/>
      <c r="J219" s="560"/>
      <c r="K219" s="1491"/>
      <c r="L219" s="560"/>
      <c r="M219" s="560"/>
      <c r="S219" s="432"/>
    </row>
    <row r="220" spans="3:19" ht="13.35" customHeight="1">
      <c r="C220" s="1492"/>
      <c r="F220" s="560"/>
      <c r="G220" s="560"/>
      <c r="H220" s="560"/>
      <c r="I220" s="560"/>
      <c r="J220" s="560"/>
      <c r="K220" s="1491"/>
      <c r="L220" s="560"/>
      <c r="M220" s="560"/>
      <c r="S220" s="432"/>
    </row>
    <row r="221" spans="3:19" ht="13.35" customHeight="1">
      <c r="C221" s="1492"/>
      <c r="F221" s="560"/>
      <c r="G221" s="560"/>
      <c r="H221" s="560"/>
      <c r="I221" s="560"/>
      <c r="J221" s="560"/>
      <c r="K221" s="1491"/>
      <c r="L221" s="560"/>
      <c r="M221" s="560"/>
      <c r="S221" s="432"/>
    </row>
    <row r="222" spans="3:19" ht="13.35" customHeight="1">
      <c r="C222" s="1492"/>
      <c r="F222" s="560"/>
      <c r="G222" s="560"/>
      <c r="H222" s="560"/>
      <c r="I222" s="560"/>
      <c r="J222" s="560"/>
      <c r="K222" s="1491"/>
      <c r="L222" s="560"/>
      <c r="M222" s="560"/>
      <c r="S222" s="432"/>
    </row>
    <row r="223" spans="3:19" ht="13.35" customHeight="1">
      <c r="C223" s="1492"/>
      <c r="F223" s="560"/>
      <c r="G223" s="560"/>
      <c r="H223" s="560"/>
      <c r="I223" s="560"/>
      <c r="J223" s="560"/>
      <c r="K223" s="1491"/>
      <c r="L223" s="560"/>
      <c r="M223" s="560"/>
      <c r="S223" s="432"/>
    </row>
    <row r="224" spans="3:19" ht="13.35" customHeight="1">
      <c r="C224" s="1492"/>
      <c r="F224" s="560"/>
      <c r="G224" s="560"/>
      <c r="H224" s="560"/>
      <c r="I224" s="560"/>
      <c r="J224" s="560"/>
      <c r="K224" s="1491"/>
      <c r="L224" s="560"/>
      <c r="M224" s="560"/>
      <c r="S224" s="432"/>
    </row>
    <row r="225" spans="3:19" ht="13.35" customHeight="1">
      <c r="C225" s="1492"/>
      <c r="F225" s="560"/>
      <c r="G225" s="560"/>
      <c r="H225" s="560"/>
      <c r="I225" s="560"/>
      <c r="J225" s="560"/>
      <c r="K225" s="1491"/>
      <c r="L225" s="560"/>
      <c r="M225" s="560"/>
      <c r="S225" s="432"/>
    </row>
    <row r="226" spans="3:19" ht="13.35" customHeight="1">
      <c r="C226" s="1492"/>
      <c r="F226" s="560"/>
      <c r="G226" s="560"/>
      <c r="H226" s="560"/>
      <c r="I226" s="560"/>
      <c r="J226" s="560"/>
      <c r="K226" s="1491"/>
      <c r="L226" s="560"/>
      <c r="M226" s="560"/>
      <c r="S226" s="432"/>
    </row>
    <row r="227" spans="3:19" ht="13.35" customHeight="1">
      <c r="C227" s="1492"/>
      <c r="F227" s="560"/>
      <c r="G227" s="560"/>
      <c r="H227" s="560"/>
      <c r="I227" s="560"/>
      <c r="J227" s="560"/>
      <c r="K227" s="1491"/>
      <c r="L227" s="560"/>
      <c r="M227" s="560"/>
      <c r="S227" s="432"/>
    </row>
    <row r="228" spans="3:19" ht="13.35" customHeight="1">
      <c r="C228" s="1492"/>
      <c r="F228" s="560"/>
      <c r="G228" s="560"/>
      <c r="H228" s="560"/>
      <c r="I228" s="560"/>
      <c r="J228" s="560"/>
      <c r="K228" s="1491"/>
      <c r="L228" s="560"/>
      <c r="M228" s="560"/>
      <c r="S228" s="432"/>
    </row>
    <row r="229" spans="3:19" ht="13.35" customHeight="1">
      <c r="C229" s="1492"/>
      <c r="F229" s="560"/>
      <c r="G229" s="560"/>
      <c r="H229" s="560"/>
      <c r="I229" s="560"/>
      <c r="J229" s="560"/>
      <c r="K229" s="1491"/>
      <c r="L229" s="560"/>
      <c r="M229" s="560"/>
      <c r="S229" s="432"/>
    </row>
    <row r="230" spans="3:19" ht="13.35" customHeight="1">
      <c r="C230" s="1492"/>
      <c r="F230" s="560"/>
      <c r="G230" s="560"/>
      <c r="H230" s="560"/>
      <c r="I230" s="560"/>
      <c r="J230" s="560"/>
      <c r="K230" s="1491"/>
      <c r="L230" s="560"/>
      <c r="M230" s="560"/>
      <c r="S230" s="432"/>
    </row>
    <row r="231" spans="3:19" ht="13.35" customHeight="1">
      <c r="C231" s="1492"/>
      <c r="F231" s="560"/>
      <c r="G231" s="560"/>
      <c r="H231" s="560"/>
      <c r="I231" s="560"/>
      <c r="J231" s="560"/>
      <c r="K231" s="1491"/>
      <c r="L231" s="560"/>
      <c r="M231" s="560"/>
      <c r="S231" s="432"/>
    </row>
    <row r="232" spans="3:19" ht="13.35" customHeight="1">
      <c r="C232" s="1492"/>
      <c r="F232" s="560"/>
      <c r="G232" s="560"/>
      <c r="H232" s="560"/>
      <c r="I232" s="560"/>
      <c r="J232" s="560"/>
      <c r="K232" s="1491"/>
      <c r="L232" s="560"/>
      <c r="M232" s="560"/>
      <c r="S232" s="432"/>
    </row>
    <row r="233" spans="3:19" ht="13.35" customHeight="1">
      <c r="C233" s="1492"/>
      <c r="F233" s="560"/>
      <c r="G233" s="560"/>
      <c r="H233" s="560"/>
      <c r="I233" s="560"/>
      <c r="J233" s="560"/>
      <c r="K233" s="1491"/>
      <c r="L233" s="560"/>
      <c r="M233" s="560"/>
      <c r="S233" s="432"/>
    </row>
    <row r="234" spans="3:19" ht="13.35" customHeight="1">
      <c r="C234" s="1492"/>
      <c r="F234" s="560"/>
      <c r="G234" s="560"/>
      <c r="H234" s="560"/>
      <c r="I234" s="560"/>
      <c r="J234" s="560"/>
      <c r="K234" s="1491"/>
      <c r="L234" s="560"/>
      <c r="M234" s="560"/>
      <c r="S234" s="432"/>
    </row>
    <row r="235" spans="3:19" ht="13.35" customHeight="1">
      <c r="C235" s="1492"/>
      <c r="F235" s="560"/>
      <c r="G235" s="560"/>
      <c r="H235" s="560"/>
      <c r="I235" s="560"/>
      <c r="J235" s="560"/>
      <c r="K235" s="1491"/>
      <c r="L235" s="560"/>
      <c r="M235" s="560"/>
      <c r="S235" s="432"/>
    </row>
    <row r="236" spans="3:19" ht="13.35" customHeight="1">
      <c r="C236" s="1492"/>
      <c r="F236" s="560"/>
      <c r="G236" s="560"/>
      <c r="H236" s="560"/>
      <c r="I236" s="560"/>
      <c r="J236" s="560"/>
      <c r="K236" s="1491"/>
      <c r="L236" s="560"/>
      <c r="M236" s="560"/>
      <c r="S236" s="432"/>
    </row>
    <row r="237" spans="3:19" ht="13.35" customHeight="1">
      <c r="C237" s="1492"/>
      <c r="F237" s="560"/>
      <c r="G237" s="560"/>
      <c r="H237" s="560"/>
      <c r="I237" s="560"/>
      <c r="J237" s="560"/>
      <c r="K237" s="1491"/>
      <c r="L237" s="560"/>
      <c r="M237" s="560"/>
      <c r="S237" s="432"/>
    </row>
    <row r="238" spans="3:19" ht="13.35" customHeight="1">
      <c r="C238" s="1492"/>
      <c r="F238" s="560"/>
      <c r="G238" s="560"/>
      <c r="H238" s="560"/>
      <c r="I238" s="560"/>
      <c r="J238" s="560"/>
      <c r="K238" s="1491"/>
      <c r="L238" s="560"/>
      <c r="M238" s="560"/>
      <c r="S238" s="432"/>
    </row>
    <row r="239" spans="3:19" ht="13.35" customHeight="1">
      <c r="C239" s="1492"/>
      <c r="F239" s="560"/>
      <c r="G239" s="560"/>
      <c r="H239" s="560"/>
      <c r="I239" s="560"/>
      <c r="J239" s="560"/>
      <c r="K239" s="1491"/>
      <c r="L239" s="560"/>
      <c r="M239" s="560"/>
      <c r="S239" s="432"/>
    </row>
    <row r="240" spans="3:19" ht="13.35" customHeight="1">
      <c r="C240" s="1492"/>
      <c r="F240" s="560"/>
      <c r="G240" s="560"/>
      <c r="H240" s="560"/>
      <c r="I240" s="560"/>
      <c r="J240" s="560"/>
      <c r="K240" s="1491"/>
      <c r="L240" s="560"/>
      <c r="M240" s="560"/>
      <c r="S240" s="432"/>
    </row>
    <row r="241" spans="3:19" ht="13.35" customHeight="1">
      <c r="C241" s="1492"/>
      <c r="F241" s="560"/>
      <c r="G241" s="560"/>
      <c r="H241" s="560"/>
      <c r="I241" s="560"/>
      <c r="J241" s="560"/>
      <c r="K241" s="1491"/>
      <c r="L241" s="560"/>
      <c r="M241" s="560"/>
      <c r="S241" s="432"/>
    </row>
    <row r="242" spans="3:19" ht="13.35" customHeight="1">
      <c r="C242" s="1492"/>
      <c r="F242" s="560"/>
      <c r="G242" s="560"/>
      <c r="H242" s="560"/>
      <c r="I242" s="560"/>
      <c r="J242" s="560"/>
      <c r="K242" s="1491"/>
      <c r="L242" s="560"/>
      <c r="M242" s="560"/>
      <c r="S242" s="432"/>
    </row>
    <row r="243" spans="3:19" ht="13.35" customHeight="1">
      <c r="C243" s="1492"/>
      <c r="F243" s="560"/>
      <c r="G243" s="560"/>
      <c r="H243" s="560"/>
      <c r="I243" s="560"/>
      <c r="J243" s="560"/>
      <c r="K243" s="1491"/>
      <c r="L243" s="560"/>
      <c r="M243" s="560"/>
      <c r="S243" s="432"/>
    </row>
    <row r="244" spans="3:19" ht="13.35" customHeight="1">
      <c r="C244" s="1492"/>
      <c r="F244" s="560"/>
      <c r="G244" s="560"/>
      <c r="H244" s="560"/>
      <c r="I244" s="560"/>
      <c r="J244" s="560"/>
      <c r="K244" s="1491"/>
      <c r="L244" s="560"/>
      <c r="M244" s="560"/>
      <c r="S244" s="432"/>
    </row>
    <row r="245" spans="3:19" ht="13.35" customHeight="1">
      <c r="C245" s="1492"/>
      <c r="F245" s="560"/>
      <c r="G245" s="560"/>
      <c r="H245" s="560"/>
      <c r="I245" s="560"/>
      <c r="J245" s="560"/>
      <c r="K245" s="1491"/>
      <c r="L245" s="560"/>
      <c r="M245" s="560"/>
      <c r="S245" s="432"/>
    </row>
    <row r="246" spans="3:19" ht="13.35" customHeight="1">
      <c r="C246" s="1492"/>
      <c r="K246" s="609"/>
      <c r="S246" s="432"/>
    </row>
    <row r="247" spans="3:19" ht="13.35" customHeight="1">
      <c r="C247" s="1492"/>
      <c r="K247" s="609"/>
      <c r="S247" s="432"/>
    </row>
    <row r="248" spans="3:19" ht="13.35" customHeight="1">
      <c r="C248" s="1492"/>
      <c r="K248" s="609"/>
      <c r="S248" s="432"/>
    </row>
    <row r="249" spans="3:19" ht="13.35" customHeight="1">
      <c r="C249" s="1492"/>
      <c r="K249" s="609"/>
      <c r="S249" s="432"/>
    </row>
    <row r="250" spans="3:19" ht="13.35" customHeight="1">
      <c r="C250" s="1492"/>
      <c r="K250" s="609"/>
      <c r="S250" s="432"/>
    </row>
    <row r="251" spans="3:19" ht="13.35" customHeight="1">
      <c r="C251" s="1492"/>
      <c r="K251" s="609"/>
      <c r="S251" s="432"/>
    </row>
    <row r="252" spans="3:19" ht="13.35" customHeight="1">
      <c r="C252" s="1492"/>
      <c r="K252" s="609"/>
      <c r="S252" s="432"/>
    </row>
    <row r="253" spans="3:19" ht="13.35" customHeight="1">
      <c r="C253" s="1492"/>
      <c r="K253" s="609"/>
      <c r="S253" s="432"/>
    </row>
    <row r="254" spans="3:19" ht="13.35" customHeight="1">
      <c r="C254" s="1492"/>
      <c r="K254" s="609"/>
      <c r="S254" s="432"/>
    </row>
    <row r="255" spans="3:19" ht="13.35" customHeight="1">
      <c r="C255" s="1492"/>
      <c r="K255" s="609"/>
      <c r="S255" s="432"/>
    </row>
    <row r="256" spans="3:19" ht="13.35" customHeight="1">
      <c r="C256" s="1492"/>
      <c r="K256" s="609"/>
      <c r="S256" s="432"/>
    </row>
    <row r="257" spans="3:19" ht="13.35" customHeight="1">
      <c r="C257" s="1492"/>
      <c r="K257" s="609"/>
      <c r="S257" s="432"/>
    </row>
    <row r="258" spans="3:19" ht="13.35" customHeight="1">
      <c r="C258" s="1492"/>
      <c r="K258" s="609"/>
      <c r="S258" s="432"/>
    </row>
    <row r="259" spans="3:19" ht="13.35" customHeight="1">
      <c r="C259" s="1492"/>
      <c r="K259" s="609"/>
      <c r="S259" s="432"/>
    </row>
    <row r="260" spans="3:19" ht="13.35" customHeight="1">
      <c r="C260" s="1492"/>
      <c r="K260" s="609"/>
      <c r="S260" s="432"/>
    </row>
    <row r="261" spans="3:19" ht="13.35" customHeight="1">
      <c r="C261" s="1492"/>
      <c r="K261" s="609"/>
      <c r="S261" s="432"/>
    </row>
    <row r="262" spans="3:19" ht="13.35" customHeight="1">
      <c r="C262" s="1492"/>
      <c r="K262" s="609"/>
      <c r="S262" s="432"/>
    </row>
    <row r="263" spans="3:19" ht="13.35" customHeight="1">
      <c r="C263" s="1492"/>
      <c r="K263" s="609"/>
      <c r="S263" s="432"/>
    </row>
    <row r="264" spans="3:19" ht="13.35" customHeight="1">
      <c r="C264" s="1492"/>
      <c r="K264" s="609"/>
      <c r="S264" s="432"/>
    </row>
    <row r="265" spans="3:19" ht="13.35" customHeight="1">
      <c r="C265" s="1492"/>
      <c r="K265" s="609"/>
      <c r="S265" s="432"/>
    </row>
    <row r="266" spans="3:19" ht="13.35" customHeight="1">
      <c r="C266" s="1492"/>
      <c r="K266" s="609"/>
      <c r="S266" s="432"/>
    </row>
    <row r="267" spans="3:19" ht="13.35" customHeight="1">
      <c r="C267" s="1492" t="s">
        <v>233</v>
      </c>
      <c r="K267" s="609"/>
      <c r="S267" s="432"/>
    </row>
    <row r="268" spans="3:19" ht="13.35" customHeight="1">
      <c r="C268" s="1492"/>
      <c r="K268" s="609"/>
      <c r="S268" s="432"/>
    </row>
    <row r="269" spans="3:19" ht="13.35" customHeight="1">
      <c r="C269" s="1492"/>
      <c r="K269" s="609"/>
      <c r="S269" s="432"/>
    </row>
    <row r="270" spans="3:19" ht="13.35" customHeight="1">
      <c r="C270" s="1492"/>
      <c r="K270" s="609"/>
      <c r="S270" s="432"/>
    </row>
    <row r="271" spans="3:19" ht="13.35" customHeight="1">
      <c r="C271" s="1492"/>
      <c r="K271" s="609"/>
      <c r="S271" s="432"/>
    </row>
    <row r="272" spans="3:19" ht="13.35" customHeight="1">
      <c r="C272" s="1492"/>
      <c r="K272" s="609"/>
      <c r="S272" s="432"/>
    </row>
    <row r="273" spans="3:19" ht="13.35" customHeight="1">
      <c r="C273" s="1492"/>
      <c r="K273" s="609"/>
      <c r="S273" s="432"/>
    </row>
    <row r="274" spans="3:19" ht="13.35" customHeight="1">
      <c r="C274" s="1492"/>
      <c r="K274" s="609"/>
      <c r="S274" s="432"/>
    </row>
    <row r="275" spans="3:19" ht="13.35" customHeight="1">
      <c r="C275" s="1492"/>
      <c r="K275" s="609"/>
      <c r="S275" s="432"/>
    </row>
    <row r="276" spans="3:19" ht="13.35" customHeight="1">
      <c r="C276" s="1492"/>
      <c r="K276" s="609"/>
      <c r="S276" s="432"/>
    </row>
    <row r="277" spans="3:19" ht="13.35" customHeight="1">
      <c r="C277" s="1492"/>
      <c r="K277" s="609"/>
      <c r="S277" s="432"/>
    </row>
    <row r="278" spans="3:19" ht="13.35" customHeight="1">
      <c r="C278" s="1492"/>
      <c r="K278" s="609"/>
      <c r="S278" s="432"/>
    </row>
    <row r="279" spans="3:19" ht="13.35" customHeight="1">
      <c r="C279" s="1492"/>
      <c r="K279" s="609"/>
      <c r="S279" s="432"/>
    </row>
    <row r="280" spans="3:19" ht="13.35" customHeight="1">
      <c r="C280" s="1492"/>
      <c r="K280" s="609"/>
      <c r="S280" s="432"/>
    </row>
    <row r="281" spans="3:19" ht="13.35" customHeight="1">
      <c r="C281" s="1492"/>
      <c r="K281" s="609"/>
      <c r="S281" s="432"/>
    </row>
    <row r="282" spans="3:19" ht="13.35" customHeight="1">
      <c r="C282" s="1492"/>
      <c r="K282" s="609"/>
      <c r="S282" s="432"/>
    </row>
    <row r="283" spans="3:19" ht="13.35" customHeight="1">
      <c r="C283" s="1492"/>
      <c r="K283" s="609"/>
      <c r="S283" s="432"/>
    </row>
    <row r="284" spans="3:19" ht="13.35" customHeight="1">
      <c r="C284" s="1492"/>
      <c r="K284" s="609"/>
      <c r="S284" s="432"/>
    </row>
    <row r="285" spans="3:19" ht="13.35" customHeight="1">
      <c r="C285" s="1492"/>
      <c r="K285" s="609"/>
      <c r="S285" s="432"/>
    </row>
    <row r="286" spans="3:19" ht="13.35" customHeight="1">
      <c r="C286" s="1492"/>
      <c r="K286" s="609"/>
      <c r="S286" s="432"/>
    </row>
    <row r="287" spans="3:19" ht="13.35" customHeight="1">
      <c r="C287" s="1492"/>
      <c r="K287" s="609"/>
      <c r="S287" s="432"/>
    </row>
    <row r="288" spans="3:19" ht="13.35" customHeight="1">
      <c r="C288" s="1492"/>
      <c r="K288" s="609"/>
      <c r="S288" s="432"/>
    </row>
    <row r="289" spans="3:19" ht="13.35" customHeight="1">
      <c r="C289" s="1492"/>
      <c r="K289" s="609"/>
      <c r="S289" s="432"/>
    </row>
    <row r="290" spans="3:19" ht="13.35" customHeight="1">
      <c r="C290" s="1492"/>
      <c r="K290" s="609"/>
      <c r="S290" s="432"/>
    </row>
    <row r="291" spans="3:19" ht="13.35" customHeight="1">
      <c r="C291" s="1492"/>
      <c r="K291" s="609"/>
      <c r="S291" s="432"/>
    </row>
    <row r="292" spans="3:19" ht="13.35" customHeight="1">
      <c r="C292" s="1492"/>
      <c r="K292" s="609"/>
      <c r="S292" s="432"/>
    </row>
    <row r="293" spans="3:19" ht="13.35" customHeight="1">
      <c r="C293" s="1492"/>
      <c r="K293" s="609"/>
      <c r="S293" s="432"/>
    </row>
    <row r="294" spans="3:19" ht="13.35" customHeight="1">
      <c r="C294" s="1492"/>
      <c r="K294" s="609"/>
      <c r="S294" s="432"/>
    </row>
    <row r="295" spans="3:19" ht="13.35" customHeight="1">
      <c r="C295" s="1492"/>
      <c r="K295" s="609"/>
      <c r="S295" s="432"/>
    </row>
    <row r="296" spans="3:19" ht="13.35" customHeight="1">
      <c r="C296" s="1492"/>
      <c r="K296" s="609"/>
      <c r="S296" s="432"/>
    </row>
    <row r="297" spans="3:19" ht="13.35" customHeight="1">
      <c r="C297" s="1492"/>
      <c r="K297" s="609"/>
      <c r="S297" s="432"/>
    </row>
    <row r="298" spans="3:19" ht="13.35" customHeight="1">
      <c r="C298" s="1492"/>
      <c r="K298" s="609"/>
      <c r="S298" s="432"/>
    </row>
    <row r="299" spans="3:19" ht="13.35" customHeight="1">
      <c r="C299" s="1492"/>
      <c r="K299" s="609"/>
      <c r="S299" s="432"/>
    </row>
    <row r="300" spans="3:19" ht="13.35" customHeight="1">
      <c r="C300" s="1492"/>
      <c r="K300" s="609"/>
      <c r="S300" s="432"/>
    </row>
    <row r="301" spans="3:19" ht="13.35" customHeight="1">
      <c r="C301" s="1492"/>
      <c r="K301" s="609"/>
      <c r="S301" s="432"/>
    </row>
    <row r="302" spans="3:19" ht="13.35" customHeight="1">
      <c r="C302" s="1492"/>
      <c r="K302" s="609"/>
      <c r="S302" s="432"/>
    </row>
    <row r="303" spans="3:19" ht="13.35" customHeight="1">
      <c r="C303" s="1492"/>
      <c r="K303" s="609"/>
      <c r="S303" s="432"/>
    </row>
    <row r="304" spans="3:19" ht="13.35" customHeight="1">
      <c r="C304" s="1492"/>
      <c r="K304" s="609"/>
      <c r="S304" s="432"/>
    </row>
    <row r="305" spans="3:19" ht="13.35" customHeight="1">
      <c r="C305" s="1492"/>
      <c r="K305" s="609"/>
      <c r="S305" s="432"/>
    </row>
    <row r="306" spans="3:19" ht="13.35" customHeight="1">
      <c r="C306" s="1492"/>
      <c r="K306" s="609"/>
      <c r="S306" s="432"/>
    </row>
    <row r="307" spans="3:19" ht="13.35" customHeight="1">
      <c r="C307" s="1492"/>
      <c r="K307" s="609"/>
      <c r="S307" s="432"/>
    </row>
    <row r="308" spans="3:19" ht="13.35" customHeight="1">
      <c r="C308" s="1492"/>
      <c r="K308" s="609"/>
      <c r="S308" s="432"/>
    </row>
    <row r="309" spans="3:19" ht="13.35" customHeight="1">
      <c r="C309" s="1492"/>
      <c r="K309" s="609"/>
      <c r="S309" s="432"/>
    </row>
    <row r="310" spans="3:19" ht="13.35" customHeight="1">
      <c r="C310" s="1492"/>
      <c r="K310" s="609"/>
      <c r="S310" s="432"/>
    </row>
    <row r="311" spans="3:19" ht="13.35" customHeight="1">
      <c r="C311" s="1492"/>
      <c r="K311" s="609"/>
      <c r="S311" s="432"/>
    </row>
    <row r="312" spans="3:19" ht="13.35" customHeight="1">
      <c r="C312" s="1492"/>
      <c r="K312" s="609"/>
      <c r="S312" s="432"/>
    </row>
    <row r="313" spans="3:19" ht="13.35" customHeight="1">
      <c r="C313" s="1492"/>
      <c r="K313" s="609"/>
      <c r="S313" s="432"/>
    </row>
    <row r="314" spans="3:19" ht="13.35" customHeight="1">
      <c r="C314" s="1492"/>
      <c r="K314" s="609"/>
      <c r="S314" s="432"/>
    </row>
    <row r="315" spans="3:19" ht="13.35" customHeight="1">
      <c r="C315" s="1492"/>
      <c r="K315" s="609"/>
      <c r="S315" s="432"/>
    </row>
    <row r="316" spans="3:19" ht="13.35" customHeight="1">
      <c r="C316" s="1492"/>
      <c r="K316" s="609"/>
      <c r="S316" s="432"/>
    </row>
    <row r="317" spans="3:19" ht="13.35" customHeight="1">
      <c r="C317" s="1492"/>
      <c r="K317" s="609"/>
      <c r="S317" s="432"/>
    </row>
    <row r="318" spans="3:19" ht="13.35" customHeight="1">
      <c r="C318" s="1492"/>
      <c r="K318" s="609"/>
      <c r="S318" s="432"/>
    </row>
    <row r="319" spans="3:19" ht="13.35" customHeight="1">
      <c r="C319" s="1492"/>
      <c r="K319" s="609"/>
      <c r="S319" s="432"/>
    </row>
    <row r="320" spans="3:19" ht="13.35" customHeight="1">
      <c r="C320" s="1492"/>
      <c r="K320" s="609"/>
      <c r="S320" s="432"/>
    </row>
    <row r="321" spans="3:19" ht="13.35" customHeight="1">
      <c r="C321" s="1492"/>
      <c r="K321" s="609"/>
      <c r="S321" s="432"/>
    </row>
    <row r="322" spans="3:19" ht="13.35" customHeight="1">
      <c r="C322" s="1492"/>
      <c r="K322" s="609"/>
      <c r="S322" s="432"/>
    </row>
    <row r="323" spans="3:19" ht="13.35" customHeight="1">
      <c r="C323" s="1492"/>
      <c r="K323" s="609"/>
      <c r="S323" s="432"/>
    </row>
    <row r="324" spans="3:19" ht="13.35" customHeight="1">
      <c r="C324" s="1492"/>
      <c r="K324" s="609"/>
      <c r="S324" s="432"/>
    </row>
    <row r="325" spans="3:19" ht="13.35" customHeight="1">
      <c r="C325" s="1492"/>
      <c r="K325" s="609"/>
      <c r="S325" s="432"/>
    </row>
    <row r="326" spans="3:19" ht="13.35" customHeight="1">
      <c r="C326" s="1492"/>
      <c r="K326" s="609"/>
      <c r="S326" s="432"/>
    </row>
    <row r="327" spans="3:19" ht="13.35" customHeight="1">
      <c r="C327" s="1492"/>
      <c r="K327" s="609"/>
      <c r="S327" s="432"/>
    </row>
    <row r="328" spans="3:19" ht="13.35" customHeight="1">
      <c r="C328" s="1492"/>
      <c r="K328" s="609"/>
      <c r="S328" s="432"/>
    </row>
    <row r="329" spans="3:19" ht="13.35" customHeight="1">
      <c r="C329" s="1492"/>
      <c r="K329" s="609"/>
      <c r="S329" s="432"/>
    </row>
    <row r="330" spans="3:19" ht="13.35" customHeight="1">
      <c r="C330" s="1492"/>
      <c r="K330" s="609"/>
      <c r="S330" s="432"/>
    </row>
    <row r="331" spans="3:19" ht="13.35" customHeight="1">
      <c r="C331" s="1492"/>
      <c r="K331" s="609"/>
      <c r="S331" s="432"/>
    </row>
    <row r="332" spans="3:19" ht="13.35" customHeight="1">
      <c r="C332" s="1492"/>
      <c r="K332" s="609"/>
      <c r="S332" s="432"/>
    </row>
    <row r="333" spans="3:19" ht="13.35" customHeight="1">
      <c r="C333" s="1492"/>
      <c r="K333" s="609"/>
      <c r="S333" s="432"/>
    </row>
    <row r="334" spans="3:19" ht="13.35" customHeight="1">
      <c r="C334" s="1492"/>
      <c r="K334" s="609"/>
      <c r="S334" s="432"/>
    </row>
    <row r="335" spans="3:19" ht="13.35" customHeight="1">
      <c r="C335" s="1492"/>
      <c r="K335" s="609"/>
      <c r="S335" s="432"/>
    </row>
    <row r="336" spans="3:19" ht="13.35" customHeight="1">
      <c r="C336" s="1492"/>
      <c r="K336" s="609"/>
      <c r="S336" s="432"/>
    </row>
    <row r="337" spans="3:19" ht="13.35" customHeight="1">
      <c r="C337" s="1492"/>
      <c r="K337" s="609"/>
      <c r="S337" s="432"/>
    </row>
    <row r="338" spans="3:19" ht="13.35" customHeight="1">
      <c r="C338" s="1492"/>
      <c r="K338" s="609"/>
      <c r="S338" s="432"/>
    </row>
    <row r="339" spans="3:19" ht="13.35" customHeight="1">
      <c r="C339" s="1492"/>
      <c r="K339" s="609"/>
      <c r="S339" s="432"/>
    </row>
    <row r="340" spans="3:19" ht="13.35" customHeight="1">
      <c r="C340" s="1492"/>
      <c r="K340" s="609"/>
      <c r="S340" s="432"/>
    </row>
    <row r="341" spans="3:19" ht="13.35" customHeight="1">
      <c r="C341" s="1492"/>
      <c r="K341" s="609"/>
      <c r="S341" s="432"/>
    </row>
    <row r="342" spans="3:19" ht="13.35" customHeight="1">
      <c r="C342" s="1492"/>
      <c r="K342" s="609"/>
      <c r="S342" s="432"/>
    </row>
    <row r="343" spans="3:19" ht="13.35" customHeight="1">
      <c r="C343" s="1492"/>
      <c r="K343" s="609"/>
      <c r="S343" s="432"/>
    </row>
    <row r="344" spans="3:19" ht="13.35" customHeight="1">
      <c r="C344" s="1492"/>
      <c r="K344" s="609"/>
      <c r="S344" s="432"/>
    </row>
    <row r="345" spans="3:19" ht="13.35" customHeight="1">
      <c r="C345" s="1492"/>
      <c r="K345" s="609"/>
      <c r="S345" s="432"/>
    </row>
    <row r="346" spans="3:19" ht="13.35" customHeight="1">
      <c r="C346" s="1492" t="s">
        <v>233</v>
      </c>
      <c r="K346" s="609"/>
      <c r="S346" s="432"/>
    </row>
    <row r="347" spans="3:19" ht="13.35" customHeight="1">
      <c r="C347" s="1492"/>
      <c r="K347" s="609"/>
      <c r="S347" s="432"/>
    </row>
    <row r="348" spans="3:19" ht="13.35" customHeight="1">
      <c r="C348" s="1492"/>
      <c r="K348" s="609"/>
      <c r="S348" s="432"/>
    </row>
    <row r="349" spans="3:19" ht="13.35" customHeight="1">
      <c r="C349" s="1492"/>
      <c r="K349" s="609"/>
      <c r="S349" s="432"/>
    </row>
    <row r="350" spans="3:19" ht="13.35" customHeight="1">
      <c r="C350" s="1492"/>
      <c r="K350" s="609"/>
      <c r="S350" s="432"/>
    </row>
    <row r="351" spans="3:19" ht="13.35" customHeight="1">
      <c r="C351" s="1492"/>
      <c r="K351" s="609"/>
      <c r="S351" s="432"/>
    </row>
    <row r="352" spans="3:19" ht="13.35" customHeight="1">
      <c r="C352" s="1492"/>
      <c r="K352" s="609"/>
      <c r="S352" s="432"/>
    </row>
    <row r="353" spans="3:19" ht="13.35" customHeight="1">
      <c r="C353" s="1492"/>
      <c r="K353" s="609"/>
      <c r="S353" s="432"/>
    </row>
    <row r="354" spans="3:19" ht="13.35" customHeight="1">
      <c r="C354" s="1492"/>
      <c r="K354" s="609"/>
      <c r="S354" s="432"/>
    </row>
    <row r="355" spans="3:19" ht="13.35" customHeight="1">
      <c r="C355" s="1492"/>
      <c r="K355" s="609"/>
      <c r="S355" s="432"/>
    </row>
    <row r="356" spans="3:19" ht="13.35" customHeight="1">
      <c r="C356" s="1492"/>
      <c r="K356" s="609"/>
      <c r="S356" s="432"/>
    </row>
    <row r="357" spans="3:19" ht="13.35" customHeight="1">
      <c r="C357" s="1492"/>
      <c r="K357" s="609"/>
      <c r="S357" s="432"/>
    </row>
    <row r="358" spans="3:19" ht="13.35" customHeight="1">
      <c r="C358" s="1492"/>
      <c r="K358" s="609"/>
      <c r="S358" s="432"/>
    </row>
    <row r="359" spans="3:19" ht="13.35" customHeight="1">
      <c r="C359" s="1492"/>
      <c r="K359" s="609"/>
      <c r="S359" s="432"/>
    </row>
    <row r="360" spans="3:19" ht="13.35" customHeight="1">
      <c r="C360" s="1492"/>
      <c r="K360" s="609"/>
      <c r="S360" s="432"/>
    </row>
    <row r="361" spans="3:19" ht="13.35" customHeight="1">
      <c r="C361" s="1492"/>
      <c r="K361" s="609"/>
      <c r="S361" s="432"/>
    </row>
    <row r="362" spans="3:19" ht="13.35" customHeight="1">
      <c r="C362" s="1492"/>
      <c r="K362" s="609"/>
      <c r="S362" s="432"/>
    </row>
    <row r="363" spans="3:19" ht="13.35" customHeight="1">
      <c r="C363" s="1492"/>
      <c r="K363" s="609"/>
      <c r="S363" s="432"/>
    </row>
    <row r="364" spans="3:19" ht="13.35" customHeight="1">
      <c r="C364" s="1492"/>
      <c r="K364" s="609"/>
      <c r="S364" s="432"/>
    </row>
    <row r="365" spans="3:19" ht="13.35" customHeight="1">
      <c r="C365" s="1492"/>
      <c r="K365" s="609"/>
      <c r="S365" s="432"/>
    </row>
    <row r="366" spans="3:19" ht="13.35" customHeight="1">
      <c r="C366" s="1492"/>
      <c r="K366" s="609"/>
      <c r="S366" s="432"/>
    </row>
    <row r="367" spans="3:19" ht="13.35" customHeight="1">
      <c r="C367" s="1492"/>
      <c r="K367" s="609"/>
      <c r="S367" s="432"/>
    </row>
    <row r="368" spans="3:19" ht="13.35" customHeight="1">
      <c r="C368" s="1492"/>
      <c r="K368" s="609"/>
      <c r="S368" s="432"/>
    </row>
    <row r="369" spans="3:19" ht="13.35" customHeight="1">
      <c r="C369" s="1492"/>
      <c r="K369" s="609"/>
      <c r="S369" s="432"/>
    </row>
    <row r="370" spans="3:19" ht="13.35" customHeight="1">
      <c r="C370" s="1492"/>
      <c r="K370" s="609"/>
      <c r="S370" s="432"/>
    </row>
    <row r="371" spans="3:19" ht="13.35" customHeight="1">
      <c r="C371" s="1492"/>
      <c r="K371" s="609"/>
      <c r="S371" s="432"/>
    </row>
    <row r="372" spans="3:19" ht="13.35" customHeight="1">
      <c r="C372" s="1492"/>
      <c r="K372" s="609"/>
      <c r="S372" s="432"/>
    </row>
    <row r="373" spans="3:19" ht="13.35" customHeight="1">
      <c r="C373" s="1492"/>
      <c r="K373" s="609"/>
      <c r="S373" s="432"/>
    </row>
    <row r="374" spans="3:19" ht="13.35" customHeight="1">
      <c r="C374" s="1492"/>
      <c r="K374" s="609"/>
      <c r="S374" s="432"/>
    </row>
    <row r="375" spans="3:19" ht="13.35" customHeight="1">
      <c r="C375" s="1492"/>
      <c r="K375" s="609"/>
      <c r="S375" s="432"/>
    </row>
    <row r="376" spans="3:19" ht="13.35" customHeight="1">
      <c r="C376" s="1492"/>
      <c r="K376" s="609"/>
      <c r="S376" s="432"/>
    </row>
    <row r="377" spans="3:19" ht="13.35" customHeight="1">
      <c r="C377" s="1492"/>
      <c r="K377" s="609"/>
      <c r="S377" s="432"/>
    </row>
    <row r="378" spans="3:19" ht="13.35" customHeight="1">
      <c r="C378" s="1492"/>
      <c r="K378" s="609"/>
      <c r="S378" s="432"/>
    </row>
    <row r="379" spans="3:19" ht="13.35" customHeight="1">
      <c r="C379" s="1492"/>
      <c r="K379" s="609"/>
      <c r="S379" s="432"/>
    </row>
    <row r="380" spans="3:19" ht="13.35" customHeight="1">
      <c r="C380" s="1492"/>
      <c r="K380" s="609"/>
      <c r="S380" s="432"/>
    </row>
    <row r="381" spans="3:19" ht="13.35" customHeight="1">
      <c r="C381" s="1492"/>
      <c r="K381" s="609"/>
      <c r="S381" s="432"/>
    </row>
    <row r="382" spans="3:19" ht="13.35" customHeight="1">
      <c r="C382" s="1492"/>
      <c r="K382" s="609"/>
      <c r="S382" s="432"/>
    </row>
    <row r="383" spans="3:19" ht="13.35" customHeight="1">
      <c r="C383" s="1492"/>
      <c r="K383" s="609"/>
      <c r="S383" s="432"/>
    </row>
    <row r="384" spans="3:19" ht="13.35" customHeight="1">
      <c r="C384" s="1492"/>
      <c r="K384" s="609"/>
      <c r="S384" s="432"/>
    </row>
    <row r="385" spans="3:19" ht="13.35" customHeight="1">
      <c r="C385" s="1492"/>
      <c r="K385" s="609"/>
      <c r="S385" s="432"/>
    </row>
    <row r="386" spans="3:19" ht="13.35" customHeight="1">
      <c r="C386" s="1492"/>
      <c r="K386" s="609"/>
      <c r="S386" s="432"/>
    </row>
    <row r="387" spans="3:19" ht="13.35" customHeight="1">
      <c r="C387" s="1492"/>
      <c r="K387" s="609"/>
      <c r="S387" s="432"/>
    </row>
    <row r="388" spans="3:19" ht="13.35" customHeight="1">
      <c r="C388" s="1492"/>
      <c r="K388" s="609"/>
      <c r="S388" s="432"/>
    </row>
    <row r="389" spans="3:19" ht="13.35" customHeight="1">
      <c r="C389" s="1492"/>
      <c r="K389" s="609"/>
      <c r="S389" s="432"/>
    </row>
    <row r="390" spans="3:19" ht="13.35" customHeight="1">
      <c r="C390" s="1492"/>
      <c r="K390" s="609"/>
      <c r="S390" s="432"/>
    </row>
    <row r="391" spans="3:19" ht="13.35" customHeight="1">
      <c r="C391" s="1492"/>
      <c r="K391" s="609"/>
      <c r="S391" s="432"/>
    </row>
    <row r="392" spans="3:19" ht="13.35" customHeight="1">
      <c r="C392" s="1492"/>
      <c r="K392" s="609"/>
      <c r="S392" s="432"/>
    </row>
    <row r="393" spans="3:19" ht="13.35" customHeight="1">
      <c r="C393" s="1492"/>
      <c r="K393" s="609"/>
      <c r="S393" s="432"/>
    </row>
    <row r="394" spans="3:19" ht="13.35" customHeight="1">
      <c r="C394" s="1492"/>
      <c r="K394" s="609"/>
      <c r="S394" s="432"/>
    </row>
    <row r="395" spans="3:19" ht="13.35" customHeight="1">
      <c r="C395" s="1492"/>
      <c r="K395" s="609"/>
      <c r="S395" s="432"/>
    </row>
    <row r="396" spans="3:19" ht="13.35" customHeight="1">
      <c r="C396" s="1492"/>
      <c r="K396" s="609"/>
      <c r="S396" s="432"/>
    </row>
    <row r="397" spans="3:19" ht="13.35" customHeight="1">
      <c r="C397" s="1492"/>
      <c r="K397" s="609"/>
      <c r="S397" s="432"/>
    </row>
    <row r="398" spans="3:19" ht="13.35" customHeight="1">
      <c r="C398" s="1492"/>
      <c r="K398" s="609"/>
      <c r="S398" s="432"/>
    </row>
    <row r="399" spans="3:19" ht="13.35" customHeight="1">
      <c r="C399" s="1492"/>
      <c r="K399" s="609"/>
      <c r="S399" s="432"/>
    </row>
    <row r="400" spans="3:19" ht="13.35" customHeight="1">
      <c r="C400" s="1492"/>
      <c r="K400" s="609"/>
      <c r="S400" s="432"/>
    </row>
    <row r="401" spans="3:19" ht="13.35" customHeight="1">
      <c r="C401" s="1492"/>
      <c r="K401" s="609"/>
      <c r="S401" s="432"/>
    </row>
    <row r="402" spans="3:19" ht="13.35" customHeight="1">
      <c r="C402" s="1492"/>
      <c r="K402" s="609"/>
      <c r="S402" s="432"/>
    </row>
    <row r="403" spans="3:19" ht="13.35" customHeight="1">
      <c r="C403" s="1492"/>
      <c r="K403" s="609"/>
      <c r="S403" s="432"/>
    </row>
    <row r="404" spans="3:19" ht="13.35" customHeight="1">
      <c r="C404" s="1492"/>
      <c r="K404" s="609"/>
      <c r="S404" s="432"/>
    </row>
    <row r="405" spans="3:19" ht="13.35" customHeight="1">
      <c r="C405" s="1492"/>
      <c r="K405" s="609"/>
      <c r="S405" s="432"/>
    </row>
    <row r="406" spans="3:19" ht="13.35" customHeight="1">
      <c r="C406" s="1492"/>
      <c r="K406" s="609"/>
      <c r="S406" s="432"/>
    </row>
    <row r="407" spans="3:19" ht="13.35" customHeight="1">
      <c r="C407" s="1492"/>
      <c r="K407" s="609"/>
      <c r="S407" s="432"/>
    </row>
    <row r="408" spans="3:19" ht="13.35" customHeight="1">
      <c r="C408" s="1492"/>
      <c r="K408" s="609"/>
      <c r="S408" s="432"/>
    </row>
    <row r="409" spans="3:19" ht="13.35" customHeight="1">
      <c r="C409" s="1492"/>
      <c r="K409" s="609"/>
      <c r="S409" s="432"/>
    </row>
    <row r="410" spans="3:19" ht="13.35" customHeight="1">
      <c r="C410" s="1492"/>
      <c r="K410" s="609"/>
      <c r="S410" s="432"/>
    </row>
    <row r="411" spans="3:19" ht="13.35" customHeight="1">
      <c r="C411" s="1492"/>
      <c r="K411" s="609"/>
      <c r="S411" s="432"/>
    </row>
    <row r="412" spans="3:19" ht="13.35" customHeight="1">
      <c r="C412" s="1492"/>
      <c r="K412" s="609"/>
      <c r="S412" s="432"/>
    </row>
    <row r="413" spans="3:19" ht="13.35" customHeight="1">
      <c r="C413" s="1492"/>
      <c r="K413" s="609"/>
      <c r="S413" s="432"/>
    </row>
    <row r="414" spans="3:19" ht="13.35" customHeight="1">
      <c r="C414" s="1492"/>
      <c r="K414" s="609"/>
      <c r="S414" s="432"/>
    </row>
    <row r="415" spans="3:19" ht="13.35" customHeight="1">
      <c r="C415" s="1492"/>
      <c r="K415" s="609"/>
      <c r="S415" s="432"/>
    </row>
    <row r="416" spans="3:19" ht="13.35" customHeight="1">
      <c r="C416" s="1492"/>
      <c r="K416" s="609"/>
      <c r="S416" s="432"/>
    </row>
    <row r="417" spans="3:19" ht="13.35" customHeight="1">
      <c r="C417" s="1492"/>
      <c r="K417" s="609"/>
      <c r="S417" s="432"/>
    </row>
    <row r="418" spans="3:19" ht="13.35" customHeight="1">
      <c r="C418" s="1492"/>
      <c r="K418" s="609"/>
      <c r="S418" s="432"/>
    </row>
    <row r="419" spans="3:19" ht="13.35" customHeight="1">
      <c r="C419" s="1492"/>
      <c r="K419" s="609"/>
      <c r="S419" s="432"/>
    </row>
    <row r="420" spans="3:19" ht="13.35" customHeight="1">
      <c r="C420" s="1492"/>
      <c r="K420" s="609"/>
      <c r="S420" s="432"/>
    </row>
    <row r="421" spans="3:19" ht="13.35" customHeight="1">
      <c r="C421" s="1492"/>
      <c r="K421" s="609"/>
      <c r="S421" s="432"/>
    </row>
    <row r="422" spans="3:19" ht="13.35" customHeight="1">
      <c r="C422" s="1492"/>
      <c r="K422" s="609"/>
      <c r="S422" s="432"/>
    </row>
    <row r="423" spans="3:19" ht="13.35" customHeight="1">
      <c r="C423" s="1492"/>
      <c r="K423" s="609"/>
      <c r="S423" s="432"/>
    </row>
    <row r="424" spans="3:19" ht="13.35" customHeight="1">
      <c r="C424" s="1492"/>
      <c r="K424" s="609"/>
      <c r="S424" s="432"/>
    </row>
    <row r="425" spans="3:19" ht="13.35" customHeight="1">
      <c r="C425" s="1492" t="s">
        <v>233</v>
      </c>
      <c r="K425" s="609"/>
      <c r="S425" s="432"/>
    </row>
    <row r="426" spans="3:19" ht="13.35" customHeight="1">
      <c r="C426" s="1492"/>
      <c r="K426" s="609"/>
      <c r="S426" s="432"/>
    </row>
    <row r="427" spans="3:19" ht="13.35" customHeight="1">
      <c r="C427" s="1492"/>
      <c r="K427" s="609"/>
      <c r="S427" s="432"/>
    </row>
    <row r="428" spans="3:19" ht="13.3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44140625" defaultRowHeight="13.2"/>
  <cols>
    <col min="1" max="1" width="2.44140625" style="432" customWidth="1"/>
    <col min="2" max="3" width="12.44140625" style="432" customWidth="1"/>
    <col min="4" max="4" width="9.5546875" style="432" customWidth="1"/>
    <col min="5" max="5" width="10.44140625" style="432" customWidth="1"/>
    <col min="6" max="6" width="9.44140625" style="432"/>
    <col min="7" max="7" width="11" style="432" customWidth="1"/>
    <col min="8" max="8" width="14.44140625" style="432" customWidth="1"/>
    <col min="9" max="9" width="10.44140625" style="432" customWidth="1"/>
    <col min="10" max="16384" width="9.44140625" style="432"/>
  </cols>
  <sheetData>
    <row r="1" spans="2:13" ht="15.6">
      <c r="B1" s="4726" t="s">
        <v>3480</v>
      </c>
      <c r="C1" s="4726"/>
      <c r="D1" s="4726"/>
      <c r="E1" s="4726"/>
      <c r="F1" s="4726"/>
      <c r="G1" s="4726"/>
      <c r="H1" s="4726"/>
      <c r="I1" s="4726"/>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Cusseta Crossing</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6" t="s">
        <v>3488</v>
      </c>
      <c r="I35" s="4891"/>
    </row>
    <row r="36" spans="2:9">
      <c r="B36" s="1059" t="s">
        <v>3487</v>
      </c>
      <c r="C36" s="523"/>
      <c r="D36" s="523"/>
      <c r="F36" s="1258"/>
      <c r="G36" s="617"/>
      <c r="H36" s="4826"/>
      <c r="I36" s="4891"/>
    </row>
    <row r="37" spans="2:9">
      <c r="B37" s="1059" t="s">
        <v>3485</v>
      </c>
      <c r="D37" s="523"/>
      <c r="F37" s="1259"/>
      <c r="G37" s="617"/>
      <c r="H37" s="4826"/>
      <c r="I37" s="489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3490</v>
      </c>
      <c r="C52" s="4871" t="str">
        <f>'Part I-Project Identification'!F26</f>
        <v>Columbus</v>
      </c>
      <c r="D52" s="487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11163393</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11163393</v>
      </c>
      <c r="G84" s="4895"/>
      <c r="I84" s="1049"/>
    </row>
    <row r="85" spans="2:9">
      <c r="B85" s="1047"/>
      <c r="C85" s="432" t="s">
        <v>2928</v>
      </c>
      <c r="F85" s="4870">
        <f>'Part II-Sources of Funds'!I47+'Part II-Sources of Funds'!L47</f>
        <v>37949.047140708826</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11212342.047140708</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11212342.047140708</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5546875" defaultRowHeight="13.2"/>
  <cols>
    <col min="1" max="1" width="1.5546875" customWidth="1"/>
    <col min="2" max="2" width="5.44140625" customWidth="1"/>
    <col min="3" max="3" width="9.5546875" customWidth="1"/>
    <col min="4" max="6" width="7.5546875" customWidth="1"/>
    <col min="7" max="7" width="10.5546875" customWidth="1"/>
    <col min="8" max="8" width="7.5546875" customWidth="1"/>
    <col min="9" max="9" width="17.5546875" customWidth="1"/>
    <col min="10" max="10" width="7.5546875" customWidth="1"/>
    <col min="11" max="11" width="7.44140625" customWidth="1"/>
    <col min="12" max="12" width="7.5546875" customWidth="1"/>
    <col min="13" max="13" width="7.44140625" customWidth="1"/>
    <col min="14" max="16" width="7.5546875" customWidth="1"/>
    <col min="17" max="18" width="8.44140625" customWidth="1"/>
    <col min="27" max="28" width="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8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8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8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8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8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4" t="s">
        <v>6618</v>
      </c>
      <c r="R11" s="4924"/>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3908</v>
      </c>
      <c r="R13" s="4906"/>
      <c r="S13" s="144"/>
      <c r="T13" s="144"/>
      <c r="U13" s="144"/>
      <c r="AA13" s="68"/>
      <c r="AB13" s="68"/>
    </row>
    <row r="14" spans="1:28" s="145" customFormat="1" ht="12.75" hidden="1" customHeight="1">
      <c r="A14" s="147"/>
      <c r="B14" s="147"/>
      <c r="C14" s="147"/>
      <c r="K14" s="236" t="s">
        <v>3909</v>
      </c>
      <c r="L14" s="236"/>
      <c r="N14" s="234"/>
      <c r="O14" s="147"/>
      <c r="P14" s="144"/>
      <c r="Q14" s="4904">
        <v>0.2</v>
      </c>
      <c r="R14" s="4905"/>
      <c r="S14" s="144"/>
      <c r="T14" s="144"/>
      <c r="U14" s="144"/>
      <c r="AA14" s="68"/>
      <c r="AB14" s="68"/>
    </row>
    <row r="15" spans="1:28" s="145" customFormat="1" ht="12.75" hidden="1" customHeight="1">
      <c r="A15" s="147"/>
      <c r="B15" s="147"/>
      <c r="C15" s="147"/>
      <c r="K15" s="236" t="s">
        <v>3910</v>
      </c>
      <c r="L15" s="236"/>
      <c r="N15" s="234"/>
      <c r="O15" s="147"/>
      <c r="P15" s="144"/>
      <c r="Q15" s="4927">
        <v>0.15</v>
      </c>
      <c r="R15" s="4928"/>
      <c r="S15" s="144"/>
      <c r="T15" s="144"/>
      <c r="U15" s="144"/>
      <c r="AA15" s="68"/>
      <c r="AB15" s="68"/>
    </row>
    <row r="16" spans="1:28" s="145" customFormat="1" ht="12.75" hidden="1" customHeight="1">
      <c r="A16" s="147"/>
      <c r="B16" s="147"/>
      <c r="C16" s="147"/>
      <c r="K16" s="236" t="s">
        <v>3911</v>
      </c>
      <c r="L16" s="236"/>
      <c r="N16" s="234"/>
      <c r="O16" s="147"/>
      <c r="P16" s="144"/>
      <c r="Q16" s="4927">
        <v>0.15</v>
      </c>
      <c r="R16" s="4928"/>
      <c r="S16" s="144"/>
      <c r="T16" s="144"/>
      <c r="U16" s="144"/>
      <c r="AA16" s="68"/>
      <c r="AB16" s="68"/>
    </row>
    <row r="17" spans="1:28" s="145" customFormat="1" ht="12.75" hidden="1" customHeight="1">
      <c r="A17" s="147"/>
      <c r="B17" s="147"/>
      <c r="C17" s="147"/>
      <c r="K17" s="236" t="s">
        <v>3912</v>
      </c>
      <c r="L17" s="236"/>
      <c r="N17" s="234"/>
      <c r="O17" s="147"/>
      <c r="P17" s="144"/>
      <c r="Q17" s="4927">
        <v>0.1</v>
      </c>
      <c r="R17" s="4928"/>
      <c r="S17" s="144"/>
      <c r="T17" s="144"/>
      <c r="U17" s="144"/>
      <c r="AA17" s="68"/>
      <c r="AB17" s="68"/>
    </row>
    <row r="18" spans="1:28" s="145" customFormat="1" ht="12.75" hidden="1" customHeight="1">
      <c r="A18" s="147"/>
      <c r="B18" s="147"/>
      <c r="C18" s="147"/>
      <c r="K18" s="236" t="s">
        <v>3913</v>
      </c>
      <c r="L18" s="236"/>
      <c r="N18" s="234"/>
      <c r="O18" s="147"/>
      <c r="P18" s="144"/>
      <c r="Q18" s="4925">
        <v>0.1</v>
      </c>
      <c r="R18" s="4926"/>
      <c r="S18" s="144"/>
      <c r="T18" s="144"/>
      <c r="U18" s="144"/>
      <c r="AA18" s="68"/>
      <c r="AB18" s="68"/>
    </row>
    <row r="19" spans="1:28" s="145" customFormat="1" ht="11.85" customHeight="1">
      <c r="A19" s="147"/>
      <c r="B19" s="147"/>
      <c r="C19" s="147"/>
      <c r="D19" s="144"/>
      <c r="E19" s="144"/>
      <c r="O19" s="147"/>
      <c r="T19" s="230"/>
      <c r="U19" s="144"/>
      <c r="V19" s="322"/>
      <c r="W19" s="322"/>
      <c r="X19" s="322"/>
      <c r="AA19" s="68"/>
      <c r="AB19" s="68"/>
    </row>
    <row r="20" spans="1:28" s="145" customFormat="1" ht="11.8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8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8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8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8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8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8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8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8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8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8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8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8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8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8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8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8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8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85" customHeight="1">
      <c r="A42" s="144"/>
      <c r="B42" s="236" t="s">
        <v>3283</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8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85" customHeight="1">
      <c r="A44" s="147"/>
      <c r="B44" s="147"/>
      <c r="C44" s="147"/>
      <c r="D44" s="147"/>
      <c r="E44" s="144"/>
      <c r="F44" s="147" t="s">
        <v>3324</v>
      </c>
      <c r="G44" s="147"/>
      <c r="H44" s="144"/>
      <c r="I44" s="144"/>
      <c r="J44" s="147" t="s">
        <v>3320</v>
      </c>
      <c r="K44" s="147"/>
      <c r="L44" s="147"/>
      <c r="M44" s="147"/>
      <c r="N44" s="147"/>
      <c r="O44" s="147"/>
      <c r="P44" s="144"/>
      <c r="Q44" s="4911">
        <v>2500</v>
      </c>
      <c r="R44" s="4912"/>
      <c r="S44" s="236"/>
      <c r="T44" s="236"/>
      <c r="U44" s="236"/>
      <c r="AA44" s="68"/>
      <c r="AB44" s="68"/>
    </row>
    <row r="45" spans="1:28" s="145" customFormat="1" ht="11.85" customHeight="1">
      <c r="A45" s="147"/>
      <c r="B45" s="147"/>
      <c r="C45" s="147"/>
      <c r="D45" s="147"/>
      <c r="E45" s="144"/>
      <c r="G45" s="147"/>
      <c r="H45" s="144"/>
      <c r="I45" s="144"/>
      <c r="J45" s="147" t="s">
        <v>3321</v>
      </c>
      <c r="K45" s="147"/>
      <c r="L45" s="147"/>
      <c r="M45" s="147"/>
      <c r="N45" s="147"/>
      <c r="O45" s="147"/>
      <c r="P45" s="144"/>
      <c r="Q45" s="4911">
        <v>2500</v>
      </c>
      <c r="R45" s="4912"/>
      <c r="S45" s="236"/>
      <c r="T45" s="236"/>
      <c r="U45" s="236"/>
      <c r="AA45" s="68"/>
      <c r="AB45" s="68"/>
    </row>
    <row r="46" spans="1:28" s="145" customFormat="1" ht="11.85" customHeight="1">
      <c r="A46" s="147"/>
      <c r="B46" s="147"/>
      <c r="C46" s="147"/>
      <c r="D46" s="147"/>
      <c r="E46" s="144"/>
      <c r="G46" s="147"/>
      <c r="H46" s="144"/>
      <c r="I46" s="144"/>
      <c r="J46" s="147" t="s">
        <v>3322</v>
      </c>
      <c r="K46" s="147"/>
      <c r="L46" s="147"/>
      <c r="M46" s="147"/>
      <c r="N46" s="147"/>
      <c r="O46" s="147"/>
      <c r="P46" s="144"/>
      <c r="Q46" s="4911">
        <v>2000</v>
      </c>
      <c r="R46" s="4912"/>
      <c r="S46" s="236"/>
      <c r="T46" s="236"/>
      <c r="U46" s="236"/>
      <c r="AA46" s="68"/>
      <c r="AB46" s="68"/>
    </row>
    <row r="47" spans="1:28" s="145" customFormat="1" ht="11.85" customHeight="1">
      <c r="A47" s="147"/>
      <c r="B47" s="147"/>
      <c r="C47" s="147"/>
      <c r="D47" s="147"/>
      <c r="E47" s="144"/>
      <c r="G47" s="147"/>
      <c r="H47" s="144"/>
      <c r="I47" s="144"/>
      <c r="J47" s="147" t="s">
        <v>3323</v>
      </c>
      <c r="K47" s="147"/>
      <c r="L47" s="147"/>
      <c r="M47" s="147"/>
      <c r="N47" s="147"/>
      <c r="O47" s="147"/>
      <c r="P47" s="144"/>
      <c r="Q47" s="4914">
        <v>1500</v>
      </c>
      <c r="R47" s="4915"/>
      <c r="S47" s="236"/>
      <c r="T47" s="236"/>
      <c r="U47" s="236"/>
      <c r="AA47" s="68"/>
      <c r="AB47" s="68"/>
    </row>
    <row r="48" spans="1:28" s="145" customFormat="1" ht="11.85" customHeight="1">
      <c r="A48" s="147"/>
      <c r="B48" s="147"/>
      <c r="C48" s="147"/>
      <c r="D48" s="147"/>
      <c r="E48" s="144"/>
      <c r="F48" s="236" t="s">
        <v>6763</v>
      </c>
      <c r="G48" s="147"/>
      <c r="H48" s="144"/>
      <c r="I48" s="144"/>
      <c r="J48" s="147" t="s">
        <v>1126</v>
      </c>
      <c r="K48" s="147"/>
      <c r="L48" s="147"/>
      <c r="M48" s="147"/>
      <c r="N48" s="147"/>
      <c r="O48" s="147"/>
      <c r="P48" s="144"/>
      <c r="Q48" s="4911">
        <v>6500</v>
      </c>
      <c r="R48" s="4912"/>
      <c r="S48" s="236"/>
      <c r="T48" s="236"/>
      <c r="U48" s="236"/>
      <c r="AA48" s="68"/>
      <c r="AB48" s="68"/>
    </row>
    <row r="49" spans="1:28" s="145" customFormat="1" ht="11.85" customHeight="1">
      <c r="A49" s="147"/>
      <c r="B49" s="147"/>
      <c r="C49" s="147"/>
      <c r="D49" s="147"/>
      <c r="E49" s="144"/>
      <c r="F49" s="147" t="s">
        <v>6764</v>
      </c>
      <c r="G49" s="147"/>
      <c r="H49" s="144"/>
      <c r="I49" s="144"/>
      <c r="J49" s="147" t="s">
        <v>1127</v>
      </c>
      <c r="K49" s="147"/>
      <c r="L49" s="147"/>
      <c r="M49" s="147"/>
      <c r="N49" s="147"/>
      <c r="O49" s="147"/>
      <c r="P49" s="144"/>
      <c r="Q49" s="4911">
        <v>5500</v>
      </c>
      <c r="R49" s="4912"/>
      <c r="S49" s="236"/>
      <c r="T49" s="236"/>
      <c r="U49" s="236"/>
      <c r="AA49" s="68"/>
      <c r="AB49" s="68"/>
    </row>
    <row r="50" spans="1:28" s="145" customFormat="1" ht="11.85" customHeight="1">
      <c r="A50" s="147"/>
      <c r="B50" s="147"/>
      <c r="C50" s="147"/>
      <c r="D50" s="147"/>
      <c r="E50" s="144"/>
      <c r="F50" s="147"/>
      <c r="G50" s="147" t="s">
        <v>3775</v>
      </c>
      <c r="H50" s="144"/>
      <c r="I50" s="144"/>
      <c r="J50" s="147" t="s">
        <v>3776</v>
      </c>
      <c r="K50" s="147"/>
      <c r="L50" s="147"/>
      <c r="M50" s="147"/>
      <c r="N50" s="147"/>
      <c r="O50" s="147"/>
      <c r="P50" s="144"/>
      <c r="Q50" s="4911">
        <v>500</v>
      </c>
      <c r="R50" s="4912"/>
      <c r="S50" s="236"/>
      <c r="T50" s="236"/>
      <c r="U50" s="236"/>
      <c r="AA50" s="68"/>
      <c r="AB50" s="68"/>
    </row>
    <row r="51" spans="1:28" s="145" customFormat="1" ht="11.85" customHeight="1">
      <c r="A51" s="147"/>
      <c r="B51" s="147"/>
      <c r="C51" s="147"/>
      <c r="D51" s="147"/>
      <c r="E51" s="144"/>
      <c r="F51" s="147" t="s">
        <v>6762</v>
      </c>
      <c r="G51" s="147"/>
      <c r="H51" s="144"/>
      <c r="I51" s="144"/>
      <c r="J51" s="147" t="s">
        <v>1126</v>
      </c>
      <c r="K51" s="147"/>
      <c r="L51" s="147"/>
      <c r="M51" s="147"/>
      <c r="N51" s="147"/>
      <c r="O51" s="147"/>
      <c r="P51" s="144"/>
      <c r="Q51" s="4911">
        <v>10000</v>
      </c>
      <c r="R51" s="4912"/>
      <c r="S51" s="236"/>
      <c r="T51" s="236"/>
      <c r="U51" s="236"/>
      <c r="AA51" s="68"/>
      <c r="AB51" s="68"/>
    </row>
    <row r="52" spans="1:28" s="145" customFormat="1" ht="11.8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85" customHeight="1">
      <c r="A53" s="147"/>
      <c r="B53" s="147"/>
      <c r="C53" s="147"/>
      <c r="D53" s="147"/>
      <c r="E53" s="144"/>
      <c r="F53" s="147" t="s">
        <v>3318</v>
      </c>
      <c r="G53" s="147"/>
      <c r="H53" s="144"/>
      <c r="I53" s="144"/>
      <c r="J53" s="147"/>
      <c r="K53" s="147"/>
      <c r="L53" s="147"/>
      <c r="M53" s="147"/>
      <c r="N53" s="147"/>
      <c r="O53" s="147"/>
      <c r="P53" s="144"/>
      <c r="Q53" s="4911">
        <v>1500</v>
      </c>
      <c r="R53" s="4912"/>
      <c r="S53" s="236"/>
      <c r="T53" s="236"/>
      <c r="U53" s="236"/>
      <c r="AA53" s="68"/>
      <c r="AB53" s="68"/>
    </row>
    <row r="54" spans="1:28" s="145" customFormat="1" ht="11.85" customHeight="1">
      <c r="A54" s="147"/>
      <c r="B54" s="147"/>
      <c r="C54" s="147"/>
      <c r="D54" s="147"/>
      <c r="E54" s="144"/>
      <c r="F54" s="147" t="s">
        <v>6765</v>
      </c>
      <c r="G54" s="147"/>
      <c r="H54" s="144"/>
      <c r="I54" s="144"/>
      <c r="J54" s="147" t="s">
        <v>6766</v>
      </c>
      <c r="K54" s="147"/>
      <c r="L54" s="147"/>
      <c r="M54" s="147"/>
      <c r="N54" s="147"/>
      <c r="O54" s="147"/>
      <c r="P54" s="144"/>
      <c r="Q54" s="4911">
        <v>1500</v>
      </c>
      <c r="R54" s="4912"/>
      <c r="S54" s="236"/>
      <c r="T54" s="236"/>
      <c r="U54" s="236"/>
      <c r="AA54" s="68"/>
      <c r="AB54" s="68"/>
    </row>
    <row r="55" spans="1:28" s="145" customFormat="1" ht="11.85" customHeight="1">
      <c r="A55" s="147"/>
      <c r="C55" s="147"/>
      <c r="D55" s="144"/>
      <c r="E55" s="144"/>
      <c r="F55" s="147" t="s">
        <v>6767</v>
      </c>
      <c r="H55" s="147"/>
      <c r="I55" s="144"/>
      <c r="J55" s="147"/>
      <c r="K55" s="147"/>
      <c r="L55" s="147"/>
      <c r="M55" s="147"/>
      <c r="N55" s="147"/>
      <c r="O55" s="147"/>
      <c r="P55" s="144"/>
      <c r="Q55" s="4911">
        <v>2500</v>
      </c>
      <c r="R55" s="4912"/>
      <c r="S55" s="236"/>
      <c r="T55" s="236"/>
      <c r="U55" s="236"/>
      <c r="AA55" s="68"/>
      <c r="AB55" s="68"/>
    </row>
    <row r="56" spans="1:28" s="145" customFormat="1" ht="11.85" customHeight="1">
      <c r="A56" s="147"/>
      <c r="C56" s="147"/>
      <c r="D56" s="144"/>
      <c r="E56" s="144"/>
      <c r="F56" s="147" t="s">
        <v>6768</v>
      </c>
      <c r="H56" s="147"/>
      <c r="I56" s="144"/>
      <c r="J56" s="147" t="s">
        <v>889</v>
      </c>
      <c r="K56" s="147"/>
      <c r="L56" s="147"/>
      <c r="M56" s="147"/>
      <c r="N56" s="147"/>
      <c r="O56" s="147"/>
      <c r="P56" s="144"/>
      <c r="Q56" s="4913">
        <v>0.08</v>
      </c>
      <c r="R56" s="4913"/>
      <c r="S56" s="236"/>
      <c r="T56" s="236"/>
      <c r="U56" s="236"/>
      <c r="AA56" s="68"/>
      <c r="AB56" s="68"/>
    </row>
    <row r="57" spans="1:28" s="145" customFormat="1" ht="11.85" customHeight="1">
      <c r="A57" s="147"/>
      <c r="C57" s="147"/>
      <c r="D57" s="144"/>
      <c r="E57" s="144"/>
      <c r="F57" s="147" t="s">
        <v>6102</v>
      </c>
      <c r="H57" s="147"/>
      <c r="I57" s="144"/>
      <c r="J57" s="147" t="s">
        <v>889</v>
      </c>
      <c r="K57" s="147"/>
      <c r="L57" s="147"/>
      <c r="M57" s="147"/>
      <c r="N57" s="147"/>
      <c r="O57" s="147"/>
      <c r="P57" s="144"/>
      <c r="Q57" s="4913">
        <v>0.08</v>
      </c>
      <c r="R57" s="4913"/>
      <c r="S57" s="236"/>
      <c r="T57" s="236"/>
      <c r="U57" s="236"/>
      <c r="AA57" s="68"/>
      <c r="AB57" s="68"/>
    </row>
    <row r="58" spans="1:28" s="145" customFormat="1" ht="11.85" customHeight="1">
      <c r="A58" s="147"/>
      <c r="B58" s="147"/>
      <c r="C58" s="147"/>
      <c r="D58" s="144"/>
      <c r="E58" s="144"/>
      <c r="F58" s="147" t="s">
        <v>6769</v>
      </c>
      <c r="I58" s="144"/>
      <c r="J58" s="147" t="s">
        <v>1638</v>
      </c>
      <c r="K58" s="147"/>
      <c r="L58" s="147"/>
      <c r="M58" s="147"/>
      <c r="N58" s="147"/>
      <c r="O58" s="147"/>
      <c r="P58" s="144"/>
      <c r="Q58" s="4911">
        <v>8000</v>
      </c>
      <c r="R58" s="4912"/>
      <c r="S58" s="236"/>
      <c r="T58" s="236"/>
      <c r="U58" s="236"/>
      <c r="AA58" s="68"/>
      <c r="AB58" s="68"/>
    </row>
    <row r="59" spans="1:28" s="145" customFormat="1" ht="11.85" customHeight="1">
      <c r="A59" s="147"/>
      <c r="C59" s="147"/>
      <c r="D59" s="144"/>
      <c r="E59" s="144"/>
      <c r="F59" s="147" t="s">
        <v>3777</v>
      </c>
      <c r="H59" s="147"/>
      <c r="I59" s="144"/>
      <c r="J59" s="147"/>
      <c r="K59" s="147"/>
      <c r="L59" s="147"/>
      <c r="M59" s="147"/>
      <c r="N59" s="147"/>
      <c r="O59" s="147"/>
      <c r="P59" s="144"/>
      <c r="Q59" s="4911"/>
      <c r="R59" s="4912"/>
      <c r="S59" s="236"/>
      <c r="T59" s="236"/>
      <c r="U59" s="236"/>
      <c r="AA59" s="68"/>
      <c r="AB59" s="68"/>
    </row>
    <row r="60" spans="1:28" s="145" customFormat="1" ht="11.85" customHeight="1">
      <c r="A60" s="147"/>
      <c r="C60" s="147" t="s">
        <v>6770</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85" customHeight="1">
      <c r="A61" s="147"/>
      <c r="C61" s="147"/>
      <c r="D61" s="144"/>
      <c r="E61" s="144"/>
      <c r="F61" s="147"/>
      <c r="H61" s="147"/>
      <c r="I61" s="147" t="s">
        <v>3778</v>
      </c>
      <c r="J61" s="147" t="s">
        <v>1432</v>
      </c>
      <c r="K61" s="147"/>
      <c r="L61" s="147"/>
      <c r="M61" s="147"/>
      <c r="N61" s="147"/>
      <c r="O61" s="147"/>
      <c r="P61" s="144"/>
      <c r="Q61" s="4940">
        <v>1000</v>
      </c>
      <c r="R61" s="4941"/>
      <c r="S61" s="236"/>
      <c r="T61" s="236"/>
      <c r="U61" s="236"/>
      <c r="AA61" s="68"/>
      <c r="AB61" s="68"/>
    </row>
    <row r="62" spans="1:28" s="145" customFormat="1" ht="11.85" customHeight="1">
      <c r="A62" s="147"/>
      <c r="B62" s="147"/>
      <c r="C62" s="147"/>
      <c r="D62" s="144"/>
      <c r="E62" s="144"/>
      <c r="H62" s="147" t="s">
        <v>2447</v>
      </c>
      <c r="I62" s="144"/>
      <c r="J62" s="147" t="s">
        <v>1432</v>
      </c>
      <c r="K62" s="147" t="s">
        <v>3298</v>
      </c>
      <c r="L62" s="147"/>
      <c r="M62" s="147"/>
      <c r="N62" s="147"/>
      <c r="O62" s="147"/>
      <c r="P62" s="144"/>
      <c r="Q62" s="4940">
        <v>800</v>
      </c>
      <c r="R62" s="4941"/>
      <c r="S62" s="236"/>
      <c r="T62" s="236"/>
      <c r="U62" s="236"/>
      <c r="AA62" s="68"/>
      <c r="AB62" s="68"/>
    </row>
    <row r="63" spans="1:28" s="145" customFormat="1" ht="11.8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85" customHeight="1">
      <c r="A64" s="147"/>
      <c r="B64" s="147"/>
      <c r="C64" s="147"/>
      <c r="D64" s="144"/>
      <c r="E64" s="144"/>
      <c r="F64" s="147" t="s">
        <v>3413</v>
      </c>
      <c r="I64" s="144"/>
      <c r="J64" s="147" t="s">
        <v>3779</v>
      </c>
      <c r="K64" s="147"/>
      <c r="L64" s="147"/>
      <c r="M64" s="147"/>
      <c r="N64" s="147"/>
      <c r="O64" s="147"/>
      <c r="P64" s="144"/>
      <c r="Q64" s="4561">
        <v>750</v>
      </c>
      <c r="R64" s="4562"/>
      <c r="S64" s="236"/>
      <c r="T64" s="236"/>
      <c r="U64" s="236"/>
      <c r="AA64" s="68"/>
      <c r="AB64" s="68"/>
    </row>
    <row r="65" spans="1:28" s="145" customFormat="1" ht="11.8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3916</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18">
        <v>0.15</v>
      </c>
      <c r="R79" s="4919"/>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8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85" customHeight="1">
      <c r="A91" s="147"/>
      <c r="B91" s="147"/>
      <c r="C91" s="147"/>
      <c r="D91" s="144"/>
      <c r="E91" s="144"/>
      <c r="O91" s="147"/>
      <c r="T91" s="230"/>
      <c r="U91" s="144"/>
      <c r="V91" s="322"/>
      <c r="W91" s="322"/>
      <c r="X91" s="322"/>
      <c r="AA91" s="68"/>
      <c r="AB91" s="68"/>
    </row>
    <row r="92" spans="1:28" s="145" customFormat="1" ht="11.8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8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85" customHeight="1">
      <c r="A98" s="147"/>
      <c r="B98" s="147" t="s">
        <v>952</v>
      </c>
      <c r="C98" s="147"/>
      <c r="D98" s="144"/>
      <c r="E98" s="144"/>
      <c r="F98" s="144"/>
      <c r="G98" s="147"/>
      <c r="H98" s="144"/>
      <c r="I98" s="144"/>
      <c r="J98" s="147" t="s">
        <v>6759</v>
      </c>
      <c r="K98" s="147"/>
      <c r="L98" s="147"/>
      <c r="M98" s="147"/>
      <c r="N98" s="147"/>
      <c r="O98" s="147"/>
      <c r="P98" s="144"/>
      <c r="Q98" s="4909">
        <v>0.02</v>
      </c>
      <c r="R98" s="4909"/>
      <c r="S98" s="236"/>
      <c r="T98" s="236"/>
      <c r="U98" s="236"/>
      <c r="AA98" s="68"/>
      <c r="AB98" s="68"/>
    </row>
    <row r="99" spans="1:28" s="236" customFormat="1" ht="11.8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8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8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8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8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8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8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85" customHeight="1">
      <c r="A107" s="229"/>
      <c r="B107" s="147"/>
      <c r="C107" s="147"/>
      <c r="D107" s="144"/>
      <c r="E107" s="144"/>
      <c r="F107" s="147"/>
      <c r="G107" s="147" t="s">
        <v>3307</v>
      </c>
      <c r="I107" s="144"/>
      <c r="J107" s="147" t="s">
        <v>3308</v>
      </c>
      <c r="K107" s="147"/>
      <c r="L107" s="147"/>
      <c r="M107" s="147"/>
      <c r="N107" s="147"/>
      <c r="O107" s="147"/>
      <c r="P107" s="144"/>
      <c r="Q107" s="4935">
        <v>1225000</v>
      </c>
      <c r="R107" s="4935"/>
      <c r="S107" s="144"/>
      <c r="T107" s="144"/>
      <c r="U107" s="144"/>
      <c r="V107" s="715"/>
      <c r="W107" s="715"/>
      <c r="X107" s="148"/>
      <c r="AA107" s="68"/>
      <c r="AB107" s="68"/>
    </row>
    <row r="108" spans="1:28" s="145" customFormat="1" ht="11.85" customHeight="1">
      <c r="A108" s="147"/>
      <c r="B108" s="147"/>
      <c r="C108" s="147"/>
      <c r="D108" s="144"/>
      <c r="E108" s="144"/>
      <c r="F108" s="147"/>
      <c r="G108" s="147" t="s">
        <v>6506</v>
      </c>
      <c r="H108" s="147" t="s">
        <v>6760</v>
      </c>
      <c r="J108" s="147" t="s">
        <v>6515</v>
      </c>
      <c r="K108" s="147"/>
      <c r="L108" s="147"/>
      <c r="M108" s="147"/>
      <c r="O108" s="147" t="s">
        <v>6509</v>
      </c>
      <c r="P108" s="144"/>
      <c r="Q108" s="4936">
        <v>1105000</v>
      </c>
      <c r="R108" s="4936"/>
      <c r="S108" s="230"/>
      <c r="T108" s="230"/>
      <c r="U108" s="144"/>
      <c r="V108" s="322"/>
      <c r="W108" s="322"/>
      <c r="X108" s="322"/>
      <c r="AA108" s="68"/>
      <c r="AB108" s="68"/>
    </row>
    <row r="109" spans="1:28" s="145" customFormat="1" ht="11.85" customHeight="1">
      <c r="A109" s="147"/>
      <c r="B109" s="147"/>
      <c r="C109" s="147"/>
      <c r="D109" s="144"/>
      <c r="E109" s="144"/>
      <c r="F109" s="147"/>
      <c r="G109" s="147"/>
      <c r="H109" s="147" t="s">
        <v>6100</v>
      </c>
      <c r="J109" s="147" t="s">
        <v>6515</v>
      </c>
      <c r="K109" s="147"/>
      <c r="L109" s="147"/>
      <c r="M109" s="147"/>
      <c r="O109" s="147" t="s">
        <v>6509</v>
      </c>
      <c r="P109" s="144"/>
      <c r="Q109" s="4910">
        <v>1225000</v>
      </c>
      <c r="R109" s="4910"/>
      <c r="S109" s="230"/>
      <c r="T109" s="230"/>
      <c r="U109" s="144"/>
      <c r="V109" s="322"/>
      <c r="W109" s="322"/>
      <c r="X109" s="322"/>
      <c r="AA109" s="68"/>
      <c r="AB109" s="68"/>
    </row>
    <row r="110" spans="1:28" s="145" customFormat="1" ht="11.85" customHeight="1">
      <c r="A110" s="147"/>
      <c r="B110" s="147"/>
      <c r="C110" s="147"/>
      <c r="D110" s="144"/>
      <c r="E110" s="144"/>
      <c r="F110" s="147"/>
      <c r="G110" s="147"/>
      <c r="H110" s="147" t="s">
        <v>6508</v>
      </c>
      <c r="I110" s="144"/>
      <c r="J110" s="147" t="s">
        <v>6515</v>
      </c>
      <c r="K110" s="147"/>
      <c r="O110" s="147" t="s">
        <v>6510</v>
      </c>
      <c r="Q110" s="4910">
        <v>1105000</v>
      </c>
      <c r="R110" s="4910"/>
      <c r="S110" s="230"/>
      <c r="T110" s="230"/>
      <c r="U110" s="144"/>
      <c r="V110" s="322"/>
      <c r="W110" s="322"/>
      <c r="X110" s="322"/>
      <c r="AA110" s="68"/>
      <c r="AB110" s="68"/>
    </row>
    <row r="111" spans="1:28" s="145" customFormat="1" ht="11.85" customHeight="1">
      <c r="A111" s="147"/>
      <c r="B111" s="147"/>
      <c r="C111" s="147"/>
      <c r="D111" s="144"/>
      <c r="E111" s="144"/>
      <c r="F111" s="147"/>
      <c r="G111" s="147"/>
      <c r="H111" s="147" t="s">
        <v>6507</v>
      </c>
      <c r="I111" s="144"/>
      <c r="J111" s="147" t="s">
        <v>6515</v>
      </c>
      <c r="K111" s="147"/>
      <c r="O111" s="147" t="s">
        <v>6509</v>
      </c>
      <c r="Q111" s="4938">
        <v>1105000</v>
      </c>
      <c r="R111" s="4939"/>
      <c r="S111" s="230"/>
      <c r="T111" s="230"/>
      <c r="U111" s="144"/>
      <c r="V111" s="322"/>
      <c r="W111" s="322"/>
      <c r="X111" s="322"/>
      <c r="AA111" s="68"/>
      <c r="AB111" s="68"/>
    </row>
    <row r="112" spans="1:28" s="145" customFormat="1" ht="11.85" customHeight="1">
      <c r="A112" s="147"/>
      <c r="B112" s="147"/>
      <c r="C112" s="147"/>
      <c r="D112" s="144"/>
      <c r="E112" s="144"/>
      <c r="F112" s="147"/>
      <c r="G112" s="147" t="s">
        <v>3773</v>
      </c>
      <c r="I112" s="144"/>
      <c r="J112" s="147" t="s">
        <v>6515</v>
      </c>
      <c r="K112" s="147"/>
      <c r="L112" s="147"/>
      <c r="M112" s="147"/>
      <c r="O112" s="147" t="s">
        <v>6511</v>
      </c>
      <c r="P112" s="144"/>
      <c r="Q112" s="4932">
        <v>1150000</v>
      </c>
      <c r="R112" s="4932"/>
      <c r="S112" s="230"/>
      <c r="T112" s="230"/>
      <c r="U112" s="144"/>
      <c r="V112" s="322"/>
      <c r="W112" s="322"/>
      <c r="X112" s="322"/>
      <c r="AA112" s="68"/>
      <c r="AB112" s="68"/>
    </row>
    <row r="113" spans="1:28" s="145" customFormat="1" ht="11.85" customHeight="1">
      <c r="A113" s="147"/>
      <c r="B113" s="147"/>
      <c r="C113" s="147"/>
      <c r="D113" s="144"/>
      <c r="E113" s="144"/>
      <c r="F113" s="147"/>
      <c r="G113" s="147" t="s">
        <v>6125</v>
      </c>
      <c r="H113" s="225" t="s">
        <v>2510</v>
      </c>
      <c r="I113" s="144"/>
      <c r="J113" s="225" t="s">
        <v>2445</v>
      </c>
      <c r="K113" s="147"/>
      <c r="L113" s="147"/>
      <c r="M113" s="147"/>
      <c r="O113" s="147"/>
      <c r="P113" s="144"/>
      <c r="Q113" s="4952" t="s">
        <v>6761</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6101</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85" customHeight="1">
      <c r="A118" s="147"/>
      <c r="B118" s="147"/>
      <c r="C118" s="147"/>
      <c r="D118" s="144"/>
      <c r="E118" s="144"/>
      <c r="G118" s="147" t="s">
        <v>6514</v>
      </c>
      <c r="H118" s="147"/>
      <c r="I118" s="144"/>
      <c r="J118" s="147" t="s">
        <v>6516</v>
      </c>
      <c r="K118" s="147"/>
      <c r="L118" s="147"/>
      <c r="M118" s="147"/>
      <c r="N118" s="147"/>
      <c r="O118" s="147"/>
      <c r="P118" s="144"/>
      <c r="Q118" s="4933"/>
      <c r="R118" s="4934"/>
      <c r="S118" s="230"/>
      <c r="T118" s="230"/>
      <c r="U118" s="144"/>
      <c r="V118" s="322"/>
      <c r="W118" s="322"/>
      <c r="X118" s="322"/>
      <c r="AA118" s="68"/>
      <c r="AB118" s="68"/>
    </row>
    <row r="119" spans="1:28" s="145" customFormat="1" ht="11.85" customHeight="1">
      <c r="A119" s="147"/>
      <c r="B119" s="147"/>
      <c r="C119" s="147"/>
      <c r="D119" s="144"/>
      <c r="E119" s="144"/>
      <c r="F119" s="147" t="s">
        <v>2218</v>
      </c>
      <c r="G119" s="147" t="s">
        <v>2444</v>
      </c>
      <c r="I119" s="144"/>
      <c r="J119" s="147" t="s">
        <v>3314</v>
      </c>
      <c r="K119" s="147"/>
      <c r="L119" s="147"/>
      <c r="M119" s="147"/>
      <c r="N119" s="147"/>
      <c r="O119" s="147"/>
      <c r="P119" s="144"/>
      <c r="Q119" s="4967">
        <v>4000000</v>
      </c>
      <c r="R119" s="4967"/>
      <c r="S119" s="230"/>
      <c r="T119" s="230"/>
      <c r="U119" s="144"/>
      <c r="V119" s="322"/>
      <c r="W119" s="322"/>
      <c r="X119" s="322"/>
      <c r="AA119" s="68"/>
      <c r="AB119" s="68"/>
    </row>
    <row r="120" spans="1:28" s="145" customFormat="1" ht="11.85" customHeight="1">
      <c r="A120" s="147"/>
      <c r="B120" s="147"/>
      <c r="C120" s="147"/>
      <c r="D120" s="144"/>
      <c r="E120" s="144"/>
      <c r="F120" s="147"/>
      <c r="G120" s="147" t="s">
        <v>6513</v>
      </c>
      <c r="H120" s="144"/>
      <c r="I120" s="144"/>
      <c r="J120" s="147" t="s">
        <v>6515</v>
      </c>
      <c r="K120" s="147"/>
      <c r="O120" s="147" t="s">
        <v>6509</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6757</v>
      </c>
      <c r="B125" s="4968"/>
      <c r="C125" s="2002"/>
      <c r="D125" s="497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8">
      <c r="A127" s="4968"/>
      <c r="B127" s="4968"/>
      <c r="C127" s="147"/>
      <c r="D127" s="4971"/>
      <c r="H127" s="4965" t="s">
        <v>6755</v>
      </c>
      <c r="J127" s="142" t="s">
        <v>748</v>
      </c>
      <c r="K127" s="142"/>
      <c r="L127" s="223"/>
    </row>
    <row r="128" spans="1:28" ht="13.8">
      <c r="C128" s="715" t="s">
        <v>751</v>
      </c>
      <c r="D128" s="1304" t="s">
        <v>2995</v>
      </c>
      <c r="F128" s="715" t="s">
        <v>6753</v>
      </c>
      <c r="H128" s="4966"/>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4058</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3962</v>
      </c>
      <c r="D303" s="4948" t="s">
        <v>3963</v>
      </c>
      <c r="E303" s="4948" t="s">
        <v>3964</v>
      </c>
      <c r="F303" s="4948" t="s">
        <v>3965</v>
      </c>
      <c r="G303" s="4945" t="s">
        <v>3962</v>
      </c>
      <c r="H303" s="4948" t="s">
        <v>3963</v>
      </c>
      <c r="I303" s="4948" t="s">
        <v>3964</v>
      </c>
      <c r="J303" s="4948" t="s">
        <v>3965</v>
      </c>
      <c r="L303" s="4945" t="s">
        <v>3962</v>
      </c>
      <c r="M303" s="4948" t="s">
        <v>3963</v>
      </c>
      <c r="N303" s="4948" t="s">
        <v>3964</v>
      </c>
      <c r="O303" s="4948" t="s">
        <v>3965</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109375" defaultRowHeight="13.2"/>
  <cols>
    <col min="1" max="8" width="9.44140625" style="357" bestFit="1" customWidth="1"/>
    <col min="9" max="9" width="14.44140625" style="357" bestFit="1" customWidth="1"/>
    <col min="10" max="17" width="9.44140625" style="357" bestFit="1" customWidth="1"/>
    <col min="18" max="18" width="9.109375" style="357"/>
    <col min="19" max="21" width="9.44140625" style="357" bestFit="1" customWidth="1"/>
    <col min="22" max="22" width="9.88671875" style="357" bestFit="1" customWidth="1"/>
    <col min="23" max="23" width="9.44140625" style="357" bestFit="1" customWidth="1"/>
    <col min="24" max="24" width="11.44140625" style="357" bestFit="1" customWidth="1"/>
    <col min="25" max="359" width="9.441406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Columbus, Cusseta Crossing,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3290</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3267</v>
      </c>
      <c r="G9" s="1819"/>
      <c r="H9" s="1819"/>
      <c r="I9" s="2543">
        <f>'Part III-A-Uses of Funds'!$J$191</f>
        <v>1225000</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2023PA-007</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MACO Development Company, LLC</v>
      </c>
      <c r="G14" s="1819"/>
      <c r="H14" s="1819"/>
      <c r="I14" s="1819" t="s">
        <v>1670</v>
      </c>
      <c r="J14" s="1819" t="str">
        <f>'Part I-Project Identification'!J15</f>
        <v>Jason Maddox</v>
      </c>
      <c r="K14" s="1819"/>
      <c r="L14" s="1819"/>
      <c r="M14" s="2623" t="s">
        <v>1839</v>
      </c>
      <c r="N14" s="1819" t="str">
        <f>'Part I-Project Identification'!N15</f>
        <v>Manager</v>
      </c>
      <c r="O14" s="1819"/>
      <c r="P14" s="1819"/>
    </row>
    <row r="15" spans="1:26" s="1819" customFormat="1" ht="12.75" customHeight="1">
      <c r="B15" s="2623" t="s">
        <v>1599</v>
      </c>
      <c r="F15" s="2628">
        <f>'Part I-Project Identification'!F16</f>
        <v>5734483000</v>
      </c>
      <c r="G15" s="2628"/>
      <c r="H15" s="2628"/>
      <c r="I15" s="2623" t="s">
        <v>1598</v>
      </c>
      <c r="J15" s="2629">
        <f>'Part I-Project Identification'!J16</f>
        <v>0</v>
      </c>
      <c r="M15" s="2623" t="s">
        <v>1600</v>
      </c>
      <c r="N15" s="2628">
        <f>'Part I-Project Identification'!N16</f>
        <v>5734483000</v>
      </c>
      <c r="O15" s="2628"/>
      <c r="P15" s="2628"/>
      <c r="Q15" s="357"/>
      <c r="R15" s="357"/>
      <c r="S15" s="357"/>
      <c r="V15" s="2630"/>
      <c r="W15" s="2630"/>
      <c r="X15" s="2630"/>
      <c r="Z15" s="1622">
        <v>18</v>
      </c>
    </row>
    <row r="16" spans="1:26" s="1819" customFormat="1" ht="13.8">
      <c r="B16" s="2623" t="s">
        <v>1842</v>
      </c>
      <c r="F16" s="2631" t="str">
        <f>'Part I-Project Identification'!F17</f>
        <v>Jason@MACOCompanies.com</v>
      </c>
      <c r="G16" s="2631"/>
      <c r="H16" s="2631"/>
      <c r="I16" s="2631"/>
      <c r="J16" s="2631"/>
      <c r="K16" s="2631"/>
      <c r="L16" s="2631"/>
      <c r="M16" s="2623" t="s">
        <v>1838</v>
      </c>
      <c r="N16" s="2628">
        <f>'Part I-Project Identification'!N17</f>
        <v>5734483551</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MACO Development Company, LLC</v>
      </c>
      <c r="G18" s="1819"/>
      <c r="H18" s="1819"/>
      <c r="I18" s="1819" t="s">
        <v>1670</v>
      </c>
      <c r="J18" s="1819" t="str">
        <f>'Part I-Project Identification'!J19</f>
        <v>Deanna Earnhart</v>
      </c>
      <c r="K18" s="1819"/>
      <c r="L18" s="1819"/>
      <c r="M18" s="2623" t="s">
        <v>1839</v>
      </c>
      <c r="N18" s="1819" t="str">
        <f>'Part I-Project Identification'!N19</f>
        <v>Executive Assistant / Project Coordinator</v>
      </c>
      <c r="O18" s="1819"/>
      <c r="P18" s="1819"/>
    </row>
    <row r="19" spans="1:26" s="1819" customFormat="1" ht="12.75" customHeight="1">
      <c r="B19" s="2623" t="s">
        <v>1599</v>
      </c>
      <c r="F19" s="2628">
        <f>'Part I-Project Identification'!F20</f>
        <v>5734483000</v>
      </c>
      <c r="G19" s="2628"/>
      <c r="H19" s="2628"/>
      <c r="I19" s="2623" t="s">
        <v>1598</v>
      </c>
      <c r="J19" s="2629">
        <f>'Part I-Project Identification'!J20</f>
        <v>0</v>
      </c>
      <c r="M19" s="2623" t="s">
        <v>1600</v>
      </c>
      <c r="N19" s="2628">
        <f>'Part I-Project Identification'!N20</f>
        <v>5734483000</v>
      </c>
      <c r="O19" s="2628"/>
      <c r="P19" s="2628"/>
      <c r="Q19" s="357"/>
      <c r="R19" s="357"/>
      <c r="S19" s="357"/>
      <c r="V19" s="2630"/>
      <c r="W19" s="2630"/>
      <c r="X19" s="2630"/>
      <c r="Z19" s="1622">
        <v>18</v>
      </c>
    </row>
    <row r="20" spans="1:26" s="1819" customFormat="1" ht="13.8">
      <c r="B20" s="2623" t="s">
        <v>1842</v>
      </c>
      <c r="F20" s="2631" t="str">
        <f>'Part I-Project Identification'!F21</f>
        <v>Deanna@MACOCompanies.com</v>
      </c>
      <c r="G20" s="2631"/>
      <c r="H20" s="2631"/>
      <c r="I20" s="2631"/>
      <c r="J20" s="2631"/>
      <c r="K20" s="2631"/>
      <c r="L20" s="2631"/>
      <c r="M20" s="2623" t="s">
        <v>1838</v>
      </c>
      <c r="N20" s="2628">
        <f>'Part I-Project Identification'!N21</f>
        <v>5733910816</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Cusseta Crossing</v>
      </c>
      <c r="G24" s="1819"/>
      <c r="H24" s="1819"/>
      <c r="I24" s="1819"/>
      <c r="J24" s="1819"/>
      <c r="K24" s="1819"/>
      <c r="L24" s="1819"/>
      <c r="M24" s="2623" t="s">
        <v>425</v>
      </c>
      <c r="N24" s="1819"/>
      <c r="O24" s="1819"/>
      <c r="P24" s="2545" t="str">
        <f>'Part I-Project Identification'!P25</f>
        <v>Yes</v>
      </c>
    </row>
    <row r="25" spans="1:26" ht="13.8">
      <c r="A25" s="2615"/>
      <c r="B25" s="1819" t="s">
        <v>575</v>
      </c>
      <c r="C25" s="1819"/>
      <c r="D25" s="1819"/>
      <c r="E25" s="1819"/>
      <c r="F25" s="1819" t="str">
        <f>'Part I-Project Identification'!F26</f>
        <v>Columbus</v>
      </c>
      <c r="G25" s="1819"/>
      <c r="H25" s="1819"/>
      <c r="I25" s="2632" t="s">
        <v>576</v>
      </c>
      <c r="J25" s="1819" t="str">
        <f>'Part I-Project Identification'!J26</f>
        <v>Muscogee</v>
      </c>
      <c r="K25" s="1819"/>
      <c r="L25" s="1819"/>
      <c r="M25" s="2623" t="s">
        <v>426</v>
      </c>
      <c r="N25" s="1819"/>
      <c r="O25" s="1819"/>
      <c r="P25" s="2545" t="str">
        <f>'Part I-Project Identification'!P26</f>
        <v>No</v>
      </c>
    </row>
    <row r="26" spans="1:26" ht="13.8">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7</v>
      </c>
      <c r="P26" s="2634"/>
    </row>
    <row r="27" spans="1:26" ht="13.8">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Columbus</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6654</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6653</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3933</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Cusseta Crossing, Columbus, Muscogee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f>'Part II-Sources of Funds'!E6</f>
        <v>0</v>
      </c>
      <c r="F49" s="2619" t="s">
        <v>6080</v>
      </c>
      <c r="G49" s="1819"/>
      <c r="H49" s="2641"/>
      <c r="I49" s="2643">
        <f>'Part II-Sources of Funds'!I6</f>
        <v>0</v>
      </c>
      <c r="J49" s="359"/>
      <c r="K49" s="2641"/>
      <c r="L49" s="1622">
        <f>'Part II-Sources of Funds'!L6</f>
        <v>0</v>
      </c>
      <c r="M49" s="2619" t="s">
        <v>1437</v>
      </c>
      <c r="N49" s="2641"/>
      <c r="O49" s="2641"/>
      <c r="P49" s="2641"/>
      <c r="Q49" s="2639"/>
    </row>
    <row r="50" spans="1:17" ht="13.8">
      <c r="A50" s="2615"/>
      <c r="B50" s="1622">
        <f>'Part II-Sources of Funds'!B7</f>
        <v>0</v>
      </c>
      <c r="C50" s="2619" t="s">
        <v>3877</v>
      </c>
      <c r="D50" s="1819"/>
      <c r="E50" s="1622">
        <f>'Part II-Sources of Funds'!E7</f>
        <v>0</v>
      </c>
      <c r="F50" s="2619" t="s">
        <v>6081</v>
      </c>
      <c r="G50" s="2641"/>
      <c r="H50" s="2641"/>
      <c r="I50" s="2643">
        <f>'Part II-Sources of Funds'!I7</f>
        <v>0</v>
      </c>
      <c r="J50" s="359"/>
      <c r="K50" s="2641"/>
      <c r="L50" s="1622">
        <f>'Part II-Sources of Funds'!L7</f>
        <v>0</v>
      </c>
      <c r="M50" s="2619" t="s">
        <v>514</v>
      </c>
      <c r="N50" s="2641"/>
      <c r="O50" s="2641"/>
      <c r="P50" s="2639"/>
      <c r="Q50" s="2639"/>
    </row>
    <row r="51" spans="1:17" ht="13.8">
      <c r="A51" s="1819"/>
      <c r="B51" s="1622">
        <f>'Part II-Sources of Funds'!B8</f>
        <v>0</v>
      </c>
      <c r="C51" s="2619" t="s">
        <v>6661</v>
      </c>
      <c r="D51" s="2641"/>
      <c r="E51" s="2641"/>
      <c r="F51" s="2641" t="s">
        <v>6664</v>
      </c>
      <c r="G51" s="2641"/>
      <c r="H51" s="2641" t="str">
        <f>'Part II-Sources of Funds'!H8</f>
        <v>Specify Other HOME Source here</v>
      </c>
      <c r="I51" s="2641"/>
      <c r="J51" s="2641"/>
      <c r="K51" s="2641"/>
      <c r="L51" s="1622">
        <f>'Part II-Sources of Funds'!L8</f>
        <v>0</v>
      </c>
      <c r="M51" s="2619" t="s">
        <v>6666</v>
      </c>
      <c r="N51" s="2641"/>
      <c r="O51" s="2641"/>
      <c r="P51" s="2639"/>
      <c r="Q51" s="2639"/>
    </row>
    <row r="52" spans="1:17" ht="13.8">
      <c r="A52" s="2615"/>
      <c r="B52" s="1622">
        <f>'Part II-Sources of Funds'!B9</f>
        <v>0</v>
      </c>
      <c r="C52" s="2641" t="s">
        <v>3301</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3878</v>
      </c>
      <c r="N52" s="2641"/>
      <c r="O52" s="2641"/>
      <c r="P52" s="2641"/>
      <c r="Q52" s="2639"/>
    </row>
    <row r="53" spans="1:17" ht="13.8">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3193</v>
      </c>
      <c r="N53" s="2641"/>
      <c r="O53" s="2641"/>
      <c r="P53" s="2639"/>
      <c r="Q53" s="2639"/>
    </row>
    <row r="54" spans="1:17" ht="13.8">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8">
      <c r="A55" s="2615"/>
      <c r="B55" s="1622">
        <f>'Part II-Sources of Funds'!B12</f>
        <v>0</v>
      </c>
      <c r="C55" s="2619" t="s">
        <v>3194</v>
      </c>
      <c r="D55" s="2641"/>
      <c r="E55" s="2641"/>
      <c r="F55" s="2641" t="str">
        <f>'Part II-Sources of Funds'!F12</f>
        <v>Specify Source/Administrator of Other STATE/LOCAL Funding here</v>
      </c>
      <c r="G55" s="2641"/>
      <c r="H55" s="2641"/>
      <c r="I55" s="2641"/>
      <c r="J55" s="2641"/>
      <c r="K55" s="2641"/>
      <c r="L55" s="1622">
        <f>'Part II-Sources of Funds'!L12</f>
        <v>0</v>
      </c>
      <c r="M55" s="2641" t="s">
        <v>3220</v>
      </c>
      <c r="N55" s="2641"/>
      <c r="O55" s="2641"/>
      <c r="P55" s="2641"/>
      <c r="Q55" s="2641"/>
    </row>
    <row r="56" spans="1:17" ht="13.8">
      <c r="A56" s="2615"/>
      <c r="B56" s="1622">
        <f>'Part II-Sources of Funds'!B13</f>
        <v>0</v>
      </c>
      <c r="C56" s="2619" t="s">
        <v>6663</v>
      </c>
      <c r="D56" s="2641"/>
      <c r="E56" s="1622">
        <f>'Part II-Sources of Funds'!E13</f>
        <v>0</v>
      </c>
      <c r="F56" s="2619" t="s">
        <v>6665</v>
      </c>
      <c r="G56" s="2641"/>
      <c r="H56" s="2641" t="str">
        <f>'Part II-Sources of Funds'!H13</f>
        <v>Specify Other PBRA Source here</v>
      </c>
      <c r="I56" s="2641"/>
      <c r="J56" s="2641"/>
      <c r="K56" s="2641"/>
      <c r="L56" s="1622">
        <f>'Part II-Sources of Funds'!L13</f>
        <v>0</v>
      </c>
      <c r="M56" s="2641" t="s">
        <v>6079</v>
      </c>
      <c r="N56" s="2641"/>
      <c r="O56" s="2641"/>
      <c r="P56" s="2641"/>
      <c r="Q56" s="2641"/>
    </row>
    <row r="57" spans="1:17" ht="13.8">
      <c r="A57" s="2615"/>
      <c r="B57" s="1622">
        <f>'Part II-Sources of Funds'!B14</f>
        <v>0</v>
      </c>
      <c r="C57" s="2641" t="s">
        <v>2397</v>
      </c>
      <c r="D57" s="2641"/>
      <c r="E57" s="1622">
        <f>'Part II-Sources of Funds'!E14</f>
        <v>0</v>
      </c>
      <c r="F57" s="2619" t="s">
        <v>3300</v>
      </c>
      <c r="G57" s="2641"/>
      <c r="H57" s="2641"/>
      <c r="I57" s="2641"/>
      <c r="J57" s="2641"/>
      <c r="K57" s="2641"/>
      <c r="L57" s="1622">
        <f>'Part II-Sources of Funds'!L14</f>
        <v>0</v>
      </c>
      <c r="M57" s="2641" t="s">
        <v>6711</v>
      </c>
      <c r="N57" s="2641"/>
      <c r="O57" s="2641"/>
      <c r="P57" s="2641"/>
      <c r="Q57" s="2641"/>
    </row>
    <row r="58" spans="1:17" ht="13.8">
      <c r="A58" s="2615"/>
      <c r="B58" s="1622">
        <f>'Part II-Sources of Funds'!B15</f>
        <v>0</v>
      </c>
      <c r="C58" s="2641" t="s">
        <v>3219</v>
      </c>
      <c r="D58" s="2641"/>
      <c r="E58" s="1622">
        <f>'Part II-Sources of Funds'!E15</f>
        <v>0</v>
      </c>
      <c r="F58" s="2619" t="s">
        <v>6082</v>
      </c>
      <c r="G58" s="2641"/>
      <c r="H58" s="2641"/>
      <c r="I58" s="2641"/>
      <c r="J58" s="2641"/>
      <c r="K58" s="2641"/>
      <c r="L58" s="1622">
        <f>'Part II-Sources of Funds'!L15</f>
        <v>0</v>
      </c>
      <c r="M58" s="2644" t="s">
        <v>6083</v>
      </c>
      <c r="N58" s="2641"/>
      <c r="O58" s="2641"/>
      <c r="P58" s="2641"/>
      <c r="Q58" s="2641"/>
    </row>
    <row r="59" spans="1:17" ht="13.8">
      <c r="A59" s="2615"/>
      <c r="B59" s="1622">
        <f>'Part II-Sources of Funds'!B16</f>
        <v>0</v>
      </c>
      <c r="C59" s="2619" t="s">
        <v>1673</v>
      </c>
      <c r="D59" s="2641"/>
      <c r="E59" s="1622">
        <f>'Part II-Sources of Funds'!E16</f>
        <v>0</v>
      </c>
      <c r="F59" s="2619" t="s">
        <v>6500</v>
      </c>
      <c r="G59" s="2641"/>
      <c r="H59" s="2641"/>
      <c r="I59" s="2643">
        <f>'Part II-Sources of Funds'!I16</f>
        <v>0</v>
      </c>
      <c r="J59" s="359"/>
      <c r="K59" s="2641"/>
      <c r="L59" s="1622">
        <f>'Part II-Sources of Funds'!L16</f>
        <v>0</v>
      </c>
      <c r="M59" s="2644" t="s">
        <v>6078</v>
      </c>
      <c r="N59" s="2641"/>
      <c r="O59" s="2641"/>
      <c r="P59" s="2641"/>
      <c r="Q59" s="2641"/>
    </row>
    <row r="60" spans="1:17" ht="13.8">
      <c r="A60" s="2615"/>
      <c r="B60" s="2641" t="s">
        <v>3879</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7.6">
      <c r="A65" s="1819"/>
      <c r="B65" s="1819" t="s">
        <v>1486</v>
      </c>
      <c r="C65" s="1819"/>
      <c r="D65" s="1819"/>
      <c r="E65" s="1819"/>
      <c r="F65" s="1819"/>
      <c r="G65" s="1819"/>
      <c r="H65" s="2645" t="str">
        <f>'Part II-Sources of Funds'!H22</f>
        <v>Sterling Bank</v>
      </c>
      <c r="I65" s="2645"/>
      <c r="J65" s="2645"/>
      <c r="K65" s="2645"/>
      <c r="L65" s="2547">
        <f>'Part II-Sources of Funds'!L22</f>
        <v>11163393</v>
      </c>
      <c r="M65" s="2547"/>
      <c r="N65" s="2548">
        <f>'Part II-Sources of Funds'!N22</f>
        <v>7.7499999999999999E-2</v>
      </c>
      <c r="O65" s="2548"/>
      <c r="P65" s="2549">
        <f>'Part II-Sources of Funds'!P22</f>
        <v>18</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5.2">
      <c r="A71" s="1819"/>
      <c r="B71" s="1819" t="s">
        <v>746</v>
      </c>
      <c r="C71" s="1819"/>
      <c r="D71" s="1819"/>
      <c r="E71" s="1819"/>
      <c r="F71" s="2641"/>
      <c r="G71" s="2641"/>
      <c r="H71" s="2645" t="str">
        <f>'Part II-Sources of Funds'!H28</f>
        <v>Affordable Equity Partners, Inc.</v>
      </c>
      <c r="I71" s="2645"/>
      <c r="J71" s="2645"/>
      <c r="K71" s="2645"/>
      <c r="L71" s="2547">
        <f>'Part II-Sources of Funds'!L28</f>
        <v>2106790</v>
      </c>
      <c r="M71" s="2547"/>
      <c r="N71" s="1819"/>
      <c r="O71" s="2641"/>
      <c r="P71" s="2641"/>
      <c r="Q71" s="1819"/>
    </row>
    <row r="72" spans="1:17" ht="55.2">
      <c r="A72" s="1819"/>
      <c r="B72" s="1819" t="s">
        <v>747</v>
      </c>
      <c r="C72" s="1819"/>
      <c r="D72" s="1819"/>
      <c r="E72" s="1819"/>
      <c r="F72" s="2641"/>
      <c r="G72" s="2641"/>
      <c r="H72" s="2645" t="str">
        <f>'Part II-Sources of Funds'!H29</f>
        <v>Affordable Equity Partners, Inc.</v>
      </c>
      <c r="I72" s="2645"/>
      <c r="J72" s="2645"/>
      <c r="K72" s="2645"/>
      <c r="L72" s="2547">
        <f>'Part II-Sources of Funds'!L29</f>
        <v>980000</v>
      </c>
      <c r="M72" s="2547"/>
      <c r="N72" s="1819"/>
      <c r="O72" s="2641"/>
      <c r="P72" s="2641"/>
      <c r="Q72" s="1819"/>
    </row>
    <row r="73" spans="1:17" ht="27.6">
      <c r="A73" s="1819"/>
      <c r="B73" s="1819" t="s">
        <v>232</v>
      </c>
      <c r="C73" s="1819"/>
      <c r="D73" s="2645" t="str">
        <f>'Part II-Sources of Funds'!D30</f>
        <v>GP/LP Equity</v>
      </c>
      <c r="E73" s="2645"/>
      <c r="F73" s="2645"/>
      <c r="G73" s="2645"/>
      <c r="H73" s="2645">
        <f>'Part II-Sources of Funds'!H30</f>
        <v>0</v>
      </c>
      <c r="I73" s="2645"/>
      <c r="J73" s="2645"/>
      <c r="K73" s="2645"/>
      <c r="L73" s="2547">
        <f>'Part II-Sources of Funds'!L30</f>
        <v>110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14250293</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14250293</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13.8">
      <c r="A83" s="1819"/>
      <c r="B83" s="1819" t="s">
        <v>2402</v>
      </c>
      <c r="C83" s="1819"/>
      <c r="D83" s="1819"/>
      <c r="E83" s="2645">
        <f>'Part II-Sources of Funds'!E40</f>
        <v>0</v>
      </c>
      <c r="F83" s="2645"/>
      <c r="G83" s="2645"/>
      <c r="H83" s="2645"/>
      <c r="I83" s="2648">
        <f>'Part II-Sources of Funds'!I40</f>
        <v>0</v>
      </c>
      <c r="J83" s="1819"/>
      <c r="K83" s="2649">
        <f>'Part II-Sources of Funds'!K40</f>
        <v>0</v>
      </c>
      <c r="L83" s="1622">
        <f>'Part II-Sources of Funds'!L40</f>
        <v>0</v>
      </c>
      <c r="M83" s="1622">
        <f>'Part II-Sources of Funds'!M40</f>
        <v>0</v>
      </c>
      <c r="N83" s="1819">
        <f>'Part II-Sources of Funds'!N40</f>
        <v>0</v>
      </c>
      <c r="O83" s="1819"/>
      <c r="P83" s="2551" t="str">
        <f>'Part II-Sources of Funds'!P40</f>
        <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69">
      <c r="A88" s="1819"/>
      <c r="B88" s="1819" t="s">
        <v>220</v>
      </c>
      <c r="C88" s="1819"/>
      <c r="D88" s="2650">
        <f>'Part II-Sources of Funds'!D45</f>
        <v>2.9881102362204724E-2</v>
      </c>
      <c r="E88" s="2645" t="str">
        <f>'Part II-Sources of Funds'!E45</f>
        <v>MACO Development Company, LLC</v>
      </c>
      <c r="F88" s="2645"/>
      <c r="G88" s="2645"/>
      <c r="H88" s="2645"/>
      <c r="I88" s="2648">
        <f>'Part II-Sources of Funds'!I45</f>
        <v>37949</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f>'Part II-Sources of Funds'!F47</f>
        <v>805015.47276739823</v>
      </c>
      <c r="G90" s="2641"/>
      <c r="H90" s="2654" t="s">
        <v>3405</v>
      </c>
      <c r="I90" s="2653">
        <f>'Part II-Sources of Funds'!I47</f>
        <v>37949</v>
      </c>
      <c r="J90" s="2641"/>
      <c r="K90" s="2654" t="s">
        <v>3407</v>
      </c>
      <c r="L90" s="2655">
        <f>'Part II-Sources of Funds'!L47</f>
        <v>4.7140708823325952E-2</v>
      </c>
      <c r="M90" s="2655"/>
      <c r="N90" s="2551" t="s">
        <v>3848</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5.2">
      <c r="A94" s="1819"/>
      <c r="B94" s="1819" t="s">
        <v>746</v>
      </c>
      <c r="C94" s="1819"/>
      <c r="D94" s="1819"/>
      <c r="E94" s="2645" t="str">
        <f>'Part II-Sources of Funds'!E51</f>
        <v>Affordable Equity Partners, Inc.</v>
      </c>
      <c r="F94" s="2645"/>
      <c r="G94" s="2645"/>
      <c r="H94" s="2645"/>
      <c r="I94" s="2648">
        <f>'Part II-Sources of Funds'!I51</f>
        <v>10533947</v>
      </c>
      <c r="J94" s="1819"/>
      <c r="K94" s="2641"/>
      <c r="L94" s="2659">
        <f>'Part II-Sources of Funds'!L51</f>
        <v>10535000</v>
      </c>
      <c r="M94" s="2659"/>
      <c r="N94" s="2660">
        <f>I94-L94</f>
        <v>-1053</v>
      </c>
      <c r="O94" s="2660"/>
      <c r="P94" s="2661">
        <f>I94/I104</f>
        <v>0.68083912325266682</v>
      </c>
      <c r="Q94" s="1819"/>
    </row>
    <row r="95" spans="1:17" ht="55.2">
      <c r="A95" s="1819"/>
      <c r="B95" s="1819" t="s">
        <v>747</v>
      </c>
      <c r="C95" s="1819"/>
      <c r="D95" s="1819"/>
      <c r="E95" s="2645" t="str">
        <f>'Part II-Sources of Funds'!E52</f>
        <v>Affordable Equity Partners, Inc.</v>
      </c>
      <c r="F95" s="2645"/>
      <c r="G95" s="2645"/>
      <c r="H95" s="2645"/>
      <c r="I95" s="2648">
        <f>'Part II-Sources of Funds'!I52</f>
        <v>4900000</v>
      </c>
      <c r="J95" s="1819"/>
      <c r="K95" s="2641"/>
      <c r="L95" s="2659">
        <f>'Part II-Sources of Funds'!L52</f>
        <v>4900000</v>
      </c>
      <c r="M95" s="2659"/>
      <c r="N95" s="2660">
        <f>I95-L95</f>
        <v>0</v>
      </c>
      <c r="O95" s="2660"/>
      <c r="P95" s="2661">
        <f>I95/I104</f>
        <v>0.31670101472297774</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0.99754013797564456</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7.6">
      <c r="A100" s="1819"/>
      <c r="B100" s="1819" t="s">
        <v>690</v>
      </c>
      <c r="C100" s="2645" t="str">
        <f>'Part II-Sources of Funds'!C57</f>
        <v>GP/LP Equity</v>
      </c>
      <c r="D100" s="2645"/>
      <c r="E100" s="2645">
        <f>'Part II-Sources of Funds'!E57</f>
        <v>0</v>
      </c>
      <c r="F100" s="2645"/>
      <c r="G100" s="2645"/>
      <c r="H100" s="2645"/>
      <c r="I100" s="2648">
        <f>'Part II-Sources of Funds'!I57</f>
        <v>110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15472006</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15472006</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3945</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Cusseta Crossing,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12000</v>
      </c>
      <c r="H122" s="2547"/>
      <c r="I122" s="1819"/>
      <c r="J122" s="2547">
        <f>'Part III-A-Uses of Funds'!J9</f>
        <v>12000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8800</v>
      </c>
      <c r="H123" s="2547"/>
      <c r="I123" s="1819"/>
      <c r="J123" s="2547">
        <f>'Part III-A-Uses of Funds'!J10</f>
        <v>8800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25000</v>
      </c>
      <c r="H124" s="2547"/>
      <c r="I124" s="1819"/>
      <c r="J124" s="2547">
        <f>'Part III-A-Uses of Funds'!J11</f>
        <v>25000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75800</v>
      </c>
      <c r="H131" s="2547"/>
      <c r="I131" s="1819"/>
      <c r="J131" s="2547">
        <f>SUM(J122:J130)</f>
        <v>75800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121428.57142857143</v>
      </c>
      <c r="G133" s="2547">
        <f>'Part III-A-Uses of Funds'!G20</f>
        <v>850000</v>
      </c>
      <c r="H133" s="2547"/>
      <c r="I133" s="1819"/>
      <c r="J133" s="2545"/>
      <c r="K133" s="2547"/>
      <c r="L133" s="2545"/>
      <c r="M133" s="2545"/>
      <c r="N133" s="2547"/>
      <c r="O133" s="1819"/>
      <c r="P133" s="2545"/>
      <c r="Q133" s="2547"/>
      <c r="R133" s="1819"/>
      <c r="S133" s="2547">
        <f>'Part III-A-Uses of Funds'!S20</f>
        <v>850000</v>
      </c>
      <c r="T133" s="2547"/>
      <c r="U133" s="1819"/>
      <c r="V133" s="2665"/>
    </row>
    <row r="134" spans="1:22" ht="13.8">
      <c r="A134" s="1819"/>
      <c r="B134" s="1819" t="s">
        <v>1054</v>
      </c>
      <c r="C134" s="1819"/>
      <c r="D134" s="1819"/>
      <c r="E134" s="1819"/>
      <c r="F134" s="1819"/>
      <c r="G134" s="2547">
        <f>'Part III-A-Uses of Funds'!G21</f>
        <v>183777</v>
      </c>
      <c r="H134" s="2547"/>
      <c r="I134" s="1819"/>
      <c r="J134" s="2545"/>
      <c r="K134" s="2547"/>
      <c r="L134" s="2545"/>
      <c r="M134" s="2545"/>
      <c r="N134" s="2547"/>
      <c r="O134" s="1819"/>
      <c r="P134" s="2545"/>
      <c r="Q134" s="2547"/>
      <c r="R134" s="1819"/>
      <c r="S134" s="2547">
        <f>'Part III-A-Uses of Funds'!S21</f>
        <v>183777</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1033777</v>
      </c>
      <c r="H137" s="2547"/>
      <c r="I137" s="1819"/>
      <c r="J137" s="2545"/>
      <c r="K137" s="2547"/>
      <c r="L137" s="2545"/>
      <c r="M137" s="2547">
        <f>SUM(M135:M136)</f>
        <v>0</v>
      </c>
      <c r="N137" s="2547"/>
      <c r="O137" s="1819"/>
      <c r="P137" s="2545"/>
      <c r="Q137" s="2547"/>
      <c r="R137" s="1819"/>
      <c r="S137" s="2547">
        <f>SUM(S133:S136)</f>
        <v>1033777</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361575.57142857142</v>
      </c>
      <c r="G139" s="2547">
        <f>'Part III-A-Uses of Funds'!G26</f>
        <v>2531029</v>
      </c>
      <c r="H139" s="2547"/>
      <c r="I139" s="1819"/>
      <c r="J139" s="2547">
        <f>'Part III-A-Uses of Funds'!J26</f>
        <v>2404478</v>
      </c>
      <c r="K139" s="2547"/>
      <c r="L139" s="2545"/>
      <c r="M139" s="2547">
        <f>'Part III-A-Uses of Funds'!M26</f>
        <v>0</v>
      </c>
      <c r="N139" s="2547"/>
      <c r="O139" s="1819"/>
      <c r="P139" s="2547">
        <f>'Part III-A-Uses of Funds'!P26</f>
        <v>0</v>
      </c>
      <c r="Q139" s="2547"/>
      <c r="R139" s="1819"/>
      <c r="S139" s="2547">
        <f>'Part III-A-Uses of Funds'!S26</f>
        <v>126551</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2531029</v>
      </c>
      <c r="H141" s="2547"/>
      <c r="I141" s="1819"/>
      <c r="J141" s="2547">
        <f>SUM(J139:J140)</f>
        <v>2404478</v>
      </c>
      <c r="K141" s="2547"/>
      <c r="L141" s="2545"/>
      <c r="M141" s="2547">
        <f>M139</f>
        <v>0</v>
      </c>
      <c r="N141" s="2547"/>
      <c r="O141" s="1819"/>
      <c r="P141" s="2547">
        <f>P139</f>
        <v>0</v>
      </c>
      <c r="Q141" s="2547"/>
      <c r="R141" s="1819"/>
      <c r="S141" s="2547">
        <f>SUM(S139:S140)</f>
        <v>126551</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6704580</v>
      </c>
      <c r="H143" s="2547"/>
      <c r="I143" s="1819"/>
      <c r="J143" s="2547">
        <f>'Part III-A-Uses of Funds'!J30</f>
        <v>6704580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6704580</v>
      </c>
      <c r="H149" s="2547"/>
      <c r="I149" s="1819"/>
      <c r="J149" s="2547">
        <f>SUM(J143:J148)</f>
        <v>6704580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554136</v>
      </c>
      <c r="F151" s="2676">
        <f>IF(($G$24+$G$32)=0,0,G151/($G$24+$G$32))</f>
        <v>0</v>
      </c>
      <c r="G151" s="2547">
        <f>'Part III-A-Uses of Funds'!G38</f>
        <v>554136</v>
      </c>
      <c r="H151" s="2547"/>
      <c r="I151" s="1819"/>
      <c r="J151" s="2547">
        <f>'Part III-A-Uses of Funds'!J38</f>
        <v>554136</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184712</v>
      </c>
      <c r="F152" s="2676">
        <f>IF(($G$24+$G$32)=0,0,G152/($G$24+$G$32))</f>
        <v>0</v>
      </c>
      <c r="G152" s="2547">
        <f>'Part III-A-Uses of Funds'!G39</f>
        <v>184712</v>
      </c>
      <c r="H152" s="2547"/>
      <c r="I152" s="378"/>
      <c r="J152" s="2547">
        <f>'Part III-A-Uses of Funds'!J39</f>
        <v>184712</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554136</v>
      </c>
      <c r="F153" s="2676">
        <f>IF(($G$24+$G$32)=0,0,G153/($G$24+$G$32))</f>
        <v>0</v>
      </c>
      <c r="G153" s="2547">
        <f>'Part III-A-Uses of Funds'!G40</f>
        <v>554136</v>
      </c>
      <c r="H153" s="2547"/>
      <c r="I153" s="378"/>
      <c r="J153" s="2547">
        <f>'Part III-A-Uses of Funds'!J40</f>
        <v>554136</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1292984</v>
      </c>
      <c r="F154" s="2669" t="s">
        <v>184</v>
      </c>
      <c r="G154" s="2547">
        <f>SUM(G151:G153)</f>
        <v>1292984</v>
      </c>
      <c r="H154" s="2547"/>
      <c r="I154" s="1819"/>
      <c r="J154" s="2547">
        <f>SUM(J151:J153)</f>
        <v>1292984</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6490</v>
      </c>
      <c r="D156" s="1819"/>
      <c r="E156" s="2615"/>
      <c r="F156" s="2615"/>
      <c r="G156" s="2679">
        <f>G141+G149+G154</f>
        <v>10528593</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219345.6875</v>
      </c>
      <c r="G161" s="2682" t="s">
        <v>6958</v>
      </c>
      <c r="H161" s="1819"/>
      <c r="I161" s="1819"/>
      <c r="J161" s="2558">
        <f>C162/'Part V-Revenues &amp; Expenses'!$P$67</f>
        <v>219345.6875</v>
      </c>
      <c r="K161" s="2558"/>
      <c r="L161" s="1819"/>
      <c r="M161" s="2683" t="s">
        <v>6476</v>
      </c>
      <c r="N161" s="2683"/>
      <c r="O161" s="1819"/>
      <c r="P161" s="2558">
        <f>C162/'Part V-Revenues &amp; Expenses'!$K$175</f>
        <v>222.82736507936508</v>
      </c>
      <c r="Q161" s="2558"/>
      <c r="R161" s="1819"/>
      <c r="S161" s="2684" t="s">
        <v>6478</v>
      </c>
      <c r="T161" s="2684"/>
      <c r="U161" s="1819"/>
      <c r="V161" s="2665"/>
    </row>
    <row r="162" spans="1:22" ht="13.8">
      <c r="A162" s="1819"/>
      <c r="B162" s="2685" t="s">
        <v>6489</v>
      </c>
      <c r="C162" s="2686">
        <f>G141+G149+G154+G159</f>
        <v>10528593</v>
      </c>
      <c r="D162" s="1819"/>
      <c r="E162" s="2616"/>
      <c r="F162" s="2557">
        <f>C162/'Part V-Revenues &amp; Expenses'!$P$166</f>
        <v>298.68348936170213</v>
      </c>
      <c r="G162" s="2684" t="s">
        <v>6959</v>
      </c>
      <c r="H162" s="1819"/>
      <c r="I162" s="1819"/>
      <c r="J162" s="2558">
        <f>C162/'Part V-Revenues &amp; Expenses'!$P$168</f>
        <v>298.68348936170213</v>
      </c>
      <c r="K162" s="2558"/>
      <c r="L162" s="1819"/>
      <c r="M162" s="2684" t="s">
        <v>6477</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526429.65</v>
      </c>
      <c r="F168" s="2650">
        <f>G168/C162</f>
        <v>4.9999938263355796E-2</v>
      </c>
      <c r="G168" s="2547">
        <f>'Part III-A-Uses of Funds'!G55</f>
        <v>526429</v>
      </c>
      <c r="H168" s="2547"/>
      <c r="I168" s="1819"/>
      <c r="J168" s="2547">
        <f>'Part III-A-Uses of Funds'!J55</f>
        <v>526429</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230312.95833333334</v>
      </c>
      <c r="G170" s="2682" t="s">
        <v>6958</v>
      </c>
      <c r="H170" s="1819"/>
      <c r="I170" s="1819"/>
      <c r="J170" s="2558">
        <f>B171/'Part V-Revenues &amp; Expenses'!$P$67</f>
        <v>230312.95833333334</v>
      </c>
      <c r="K170" s="2558"/>
      <c r="L170" s="1819"/>
      <c r="M170" s="2683" t="s">
        <v>6476</v>
      </c>
      <c r="N170" s="2683"/>
      <c r="O170" s="1819"/>
      <c r="P170" s="2558">
        <f>B171/'Part V-Revenues &amp; Expenses'!$K$175</f>
        <v>233.96871957671956</v>
      </c>
      <c r="Q170" s="2558"/>
      <c r="R170" s="1819"/>
      <c r="S170" s="2684" t="s">
        <v>6478</v>
      </c>
      <c r="T170" s="2684"/>
      <c r="U170" s="1819"/>
      <c r="V170" s="2665"/>
    </row>
    <row r="171" spans="1:22" ht="13.8">
      <c r="A171" s="1819"/>
      <c r="B171" s="2686">
        <f>C162+G168</f>
        <v>11055022</v>
      </c>
      <c r="C171" s="2686"/>
      <c r="D171" s="1819"/>
      <c r="E171" s="2616"/>
      <c r="F171" s="2557">
        <f>B171/'Part V-Revenues &amp; Expenses'!$P$166</f>
        <v>313.61764539007095</v>
      </c>
      <c r="G171" s="2684" t="s">
        <v>6959</v>
      </c>
      <c r="H171" s="1819"/>
      <c r="I171" s="1819"/>
      <c r="J171" s="2558">
        <f>B171/'Part V-Revenues &amp; Expenses'!$P$168</f>
        <v>313.61764539007095</v>
      </c>
      <c r="K171" s="2558"/>
      <c r="L171" s="1819"/>
      <c r="M171" s="2684" t="s">
        <v>6477</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111634</v>
      </c>
      <c r="H176" s="2547"/>
      <c r="I176" s="1819"/>
      <c r="J176" s="2547">
        <f>'Part III-A-Uses of Funds'!J63</f>
        <v>111634</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636661</v>
      </c>
      <c r="H177" s="2547"/>
      <c r="I177" s="1819"/>
      <c r="J177" s="2547">
        <f>'Part III-A-Uses of Funds'!J64</f>
        <v>636661</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ht="13.8">
      <c r="A178" s="1819"/>
      <c r="B178" s="1819" t="s">
        <v>2168</v>
      </c>
      <c r="C178" s="1819"/>
      <c r="D178" s="1819"/>
      <c r="E178" s="1819"/>
      <c r="F178" s="1819"/>
      <c r="G178" s="2547">
        <f>'Part III-A-Uses of Funds'!G65</f>
        <v>50000</v>
      </c>
      <c r="H178" s="2547"/>
      <c r="I178" s="1819"/>
      <c r="J178" s="2547">
        <f>'Part III-A-Uses of Funds'!J65</f>
        <v>25000</v>
      </c>
      <c r="K178" s="2547"/>
      <c r="L178" s="2545"/>
      <c r="M178" s="2547">
        <f>'Part III-A-Uses of Funds'!M65</f>
        <v>0</v>
      </c>
      <c r="N178" s="2547"/>
      <c r="O178" s="1819"/>
      <c r="P178" s="2547">
        <f>'Part III-A-Uses of Funds'!P65</f>
        <v>0</v>
      </c>
      <c r="Q178" s="2547"/>
      <c r="R178" s="1819"/>
      <c r="S178" s="2547">
        <f>'Part III-A-Uses of Funds'!S65</f>
        <v>25000</v>
      </c>
      <c r="T178" s="2547"/>
      <c r="U178" s="1819"/>
      <c r="V178" s="2665"/>
    </row>
    <row r="179" spans="1:22" ht="13.8">
      <c r="A179" s="1819"/>
      <c r="B179" s="1819" t="s">
        <v>2450</v>
      </c>
      <c r="C179" s="1819"/>
      <c r="D179" s="1819"/>
      <c r="E179" s="1819"/>
      <c r="F179" s="1819"/>
      <c r="G179" s="2547">
        <f>'Part III-A-Uses of Funds'!G66</f>
        <v>15000</v>
      </c>
      <c r="H179" s="2547"/>
      <c r="I179" s="1819"/>
      <c r="J179" s="2547">
        <f>'Part III-A-Uses of Funds'!J66</f>
        <v>15000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15000</v>
      </c>
      <c r="H180" s="2547"/>
      <c r="I180" s="1819"/>
      <c r="J180" s="2547">
        <f>'Part III-A-Uses of Funds'!J67</f>
        <v>15000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25000</v>
      </c>
      <c r="H181" s="2547"/>
      <c r="I181" s="1819"/>
      <c r="J181" s="2547">
        <f>'Part III-A-Uses of Funds'!J68</f>
        <v>25000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60000</v>
      </c>
      <c r="H182" s="2547"/>
      <c r="I182" s="1819"/>
      <c r="J182" s="2547">
        <f>'Part III-A-Uses of Funds'!J69</f>
        <v>45000</v>
      </c>
      <c r="K182" s="2547"/>
      <c r="L182" s="2545"/>
      <c r="M182" s="2547">
        <f>'Part III-A-Uses of Funds'!M69</f>
        <v>0</v>
      </c>
      <c r="N182" s="2547"/>
      <c r="O182" s="1819"/>
      <c r="P182" s="2547">
        <f>'Part III-A-Uses of Funds'!P69</f>
        <v>0</v>
      </c>
      <c r="Q182" s="2547"/>
      <c r="R182" s="1819"/>
      <c r="S182" s="2547">
        <f>'Part III-A-Uses of Funds'!S69</f>
        <v>15000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913295</v>
      </c>
      <c r="H186" s="2547"/>
      <c r="I186" s="1819"/>
      <c r="J186" s="2547">
        <f>SUM(J174:J185)</f>
        <v>873295</v>
      </c>
      <c r="K186" s="2547"/>
      <c r="L186" s="2545"/>
      <c r="M186" s="2547">
        <f>SUM(M174:M185)</f>
        <v>0</v>
      </c>
      <c r="N186" s="2547"/>
      <c r="O186" s="1819"/>
      <c r="P186" s="2547">
        <f>SUM(P174:P185)</f>
        <v>0</v>
      </c>
      <c r="Q186" s="2547"/>
      <c r="R186" s="1819"/>
      <c r="S186" s="2547">
        <f>SUM(S174:S185)</f>
        <v>40000</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144000</v>
      </c>
      <c r="H188" s="2547"/>
      <c r="I188" s="1819"/>
      <c r="J188" s="2547">
        <f>'Part III-A-Uses of Funds'!J75</f>
        <v>144000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48000</v>
      </c>
      <c r="H189" s="2547"/>
      <c r="I189" s="1819"/>
      <c r="J189" s="2547">
        <f>'Part III-A-Uses of Funds'!J76</f>
        <v>48000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25000</v>
      </c>
      <c r="H190" s="2547"/>
      <c r="I190" s="1819"/>
      <c r="J190" s="2547">
        <f>'Part III-A-Uses of Funds'!J77</f>
        <v>25000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10000</v>
      </c>
      <c r="H191" s="2547"/>
      <c r="I191" s="1819"/>
      <c r="J191" s="2547">
        <f>'Part III-A-Uses of Funds'!J78</f>
        <v>10000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50000</v>
      </c>
      <c r="H193" s="2547"/>
      <c r="I193" s="1819"/>
      <c r="J193" s="2547">
        <f>'Part III-A-Uses of Funds'!J80</f>
        <v>50000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95000</v>
      </c>
      <c r="H194" s="2547"/>
      <c r="I194" s="1819"/>
      <c r="J194" s="2547">
        <f>'Part III-A-Uses of Funds'!J81</f>
        <v>95000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50000</v>
      </c>
      <c r="H195" s="2547"/>
      <c r="I195" s="1819"/>
      <c r="J195" s="2547">
        <f>'Part III-A-Uses of Funds'!J82</f>
        <v>25000</v>
      </c>
      <c r="K195" s="2547"/>
      <c r="L195" s="2545"/>
      <c r="M195" s="2547">
        <f>'Part III-A-Uses of Funds'!M82</f>
        <v>0</v>
      </c>
      <c r="N195" s="2547"/>
      <c r="O195" s="1819"/>
      <c r="P195" s="2547">
        <f>'Part III-A-Uses of Funds'!P82</f>
        <v>0</v>
      </c>
      <c r="Q195" s="2547"/>
      <c r="R195" s="1819"/>
      <c r="S195" s="2547">
        <f>'Part III-A-Uses of Funds'!S82</f>
        <v>25000</v>
      </c>
      <c r="T195" s="2547"/>
      <c r="U195" s="1819"/>
      <c r="V195" s="2665"/>
    </row>
    <row r="196" spans="1:22" ht="13.8">
      <c r="A196" s="1819"/>
      <c r="B196" s="1819" t="s">
        <v>1899</v>
      </c>
      <c r="C196" s="1819"/>
      <c r="D196" s="1819"/>
      <c r="E196" s="1819"/>
      <c r="F196" s="1819"/>
      <c r="G196" s="2547">
        <f>'Part III-A-Uses of Funds'!G83</f>
        <v>30000</v>
      </c>
      <c r="H196" s="2547"/>
      <c r="I196" s="1819"/>
      <c r="J196" s="2547">
        <f>'Part III-A-Uses of Funds'!J83</f>
        <v>30000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477000</v>
      </c>
      <c r="H199" s="2547"/>
      <c r="I199" s="1819"/>
      <c r="J199" s="2547">
        <f>SUM(J188:J198)</f>
        <v>452000</v>
      </c>
      <c r="K199" s="2547"/>
      <c r="L199" s="2545"/>
      <c r="M199" s="2547">
        <f>SUM(M188:M198)</f>
        <v>0</v>
      </c>
      <c r="N199" s="2547"/>
      <c r="O199" s="1819"/>
      <c r="P199" s="2547">
        <f>SUM(P188:P198)</f>
        <v>0</v>
      </c>
      <c r="Q199" s="2547"/>
      <c r="R199" s="1819"/>
      <c r="S199" s="2547">
        <f>SUM(S188:S198)</f>
        <v>25000</v>
      </c>
      <c r="T199" s="2547"/>
      <c r="U199" s="1819"/>
      <c r="V199" s="2665">
        <f>SUM(V188:V198)</f>
        <v>0</v>
      </c>
    </row>
    <row r="200" spans="1:22" ht="13.8">
      <c r="A200" s="1819"/>
      <c r="B200" s="2614" t="s">
        <v>1193</v>
      </c>
      <c r="C200" s="1819"/>
      <c r="D200" s="2692" t="s">
        <v>3229</v>
      </c>
      <c r="E200" s="2693">
        <f>G205/'Part V-Revenues &amp; Expenses'!$P$67</f>
        <v>2154.1458333333335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50149</v>
      </c>
      <c r="H201" s="2547"/>
      <c r="I201" s="1819"/>
      <c r="J201" s="2547">
        <f>'Part III-A-Uses of Funds'!J88</f>
        <v>50149</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16800</v>
      </c>
      <c r="H203" s="2547"/>
      <c r="I203" s="378"/>
      <c r="J203" s="2547">
        <f>'Part III-A-Uses of Funds'!J90</f>
        <v>16800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36450</v>
      </c>
      <c r="H204" s="2547"/>
      <c r="I204" s="378"/>
      <c r="J204" s="2547">
        <f>'Part III-A-Uses of Funds'!J91</f>
        <v>36450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103399</v>
      </c>
      <c r="H205" s="2547"/>
      <c r="I205" s="1819"/>
      <c r="J205" s="2547">
        <f>SUM(J201:J204)</f>
        <v>103399</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ht="13.8">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Income Averaging</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48</v>
      </c>
      <c r="AC219" s="1819"/>
      <c r="AD219" s="1819"/>
      <c r="AE219" s="1819"/>
      <c r="AF219" s="1819"/>
      <c r="AG219" s="1819"/>
    </row>
    <row r="220" spans="1:33" ht="13.8">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ht="13.8">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48000</v>
      </c>
      <c r="F222" s="2561"/>
      <c r="G222" s="2547">
        <f>'Part III-A-Uses of Funds'!G109</f>
        <v>48000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48000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48</v>
      </c>
      <c r="AC226" s="1819"/>
      <c r="AD226" s="2703">
        <f>IF($AD$101="Income Averaging",AB226*'DCA Underwriting Assumptions'!$Q$61,AB226*'DCA Underwriting Assumptions'!$Q$60)</f>
        <v>38400</v>
      </c>
      <c r="AE226" s="1819"/>
      <c r="AF226" s="1819"/>
      <c r="AG226" s="1819"/>
    </row>
    <row r="227" spans="1:33" ht="13.8">
      <c r="A227" s="1819"/>
      <c r="B227" s="1819"/>
      <c r="C227" s="1819"/>
      <c r="D227" s="1819"/>
      <c r="E227" s="1819"/>
      <c r="F227" s="2669" t="s">
        <v>184</v>
      </c>
      <c r="G227" s="2547">
        <f>SUM(G218:G226)</f>
        <v>169000</v>
      </c>
      <c r="H227" s="2547"/>
      <c r="I227" s="1819"/>
      <c r="J227" s="2545"/>
      <c r="K227" s="2545"/>
      <c r="L227" s="2545"/>
      <c r="M227" s="2545"/>
      <c r="N227" s="2545"/>
      <c r="O227" s="1819"/>
      <c r="P227" s="2545"/>
      <c r="Q227" s="2545"/>
      <c r="R227" s="1819"/>
      <c r="S227" s="2547">
        <f>SUM(S218:S226)</f>
        <v>169000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48</v>
      </c>
      <c r="AC228" s="1819"/>
      <c r="AD228" s="2706">
        <f>SUM(AD226:AD227)</f>
        <v>38400</v>
      </c>
      <c r="AE228" s="1819"/>
      <c r="AF228" s="1819"/>
      <c r="AG228" s="1819"/>
    </row>
    <row r="229" spans="1:33" ht="13.8">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8">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8">
      <c r="A235" s="1819"/>
      <c r="B235" s="1819" t="s">
        <v>1724</v>
      </c>
      <c r="C235" s="1819"/>
      <c r="D235" s="1819"/>
      <c r="E235" s="1819"/>
      <c r="F235" s="2649">
        <f>'Part III-A-Uses of Funds'!F122</f>
        <v>0.23464566929133859</v>
      </c>
      <c r="G235" s="2547">
        <f>'Part III-A-Uses of Funds'!G122</f>
        <v>298000</v>
      </c>
      <c r="H235" s="2547"/>
      <c r="I235" s="1819"/>
      <c r="J235" s="2547">
        <f>'Part III-A-Uses of Funds'!J122</f>
        <v>298000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3412</v>
      </c>
      <c r="C236" s="1819"/>
      <c r="D236" s="1819"/>
      <c r="E236" s="1819"/>
      <c r="F236" s="2564">
        <f>'Part III-A-Uses of Funds'!F123</f>
        <v>298000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4.3307086614173228E-2</v>
      </c>
      <c r="G237" s="2547">
        <f>'Part III-A-Uses of Funds'!G124</f>
        <v>55000</v>
      </c>
      <c r="H237" s="2547"/>
      <c r="I237" s="1819"/>
      <c r="J237" s="2547">
        <f>'Part III-A-Uses of Funds'!J124</f>
        <v>55000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0.72204724409448817</v>
      </c>
      <c r="G239" s="2547">
        <f>'Part III-A-Uses of Funds'!G126</f>
        <v>917000</v>
      </c>
      <c r="H239" s="2547"/>
      <c r="I239" s="1819"/>
      <c r="J239" s="2547">
        <f>'Part III-A-Uses of Funds'!J126</f>
        <v>917000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3922</v>
      </c>
      <c r="E240" s="2716">
        <f>'Part III-A-Uses of Funds'!E127</f>
        <v>1320000</v>
      </c>
      <c r="F240" s="2669" t="s">
        <v>184</v>
      </c>
      <c r="G240" s="2547">
        <f>SUM(G235:G239)</f>
        <v>1270000</v>
      </c>
      <c r="H240" s="2547"/>
      <c r="I240" s="1819"/>
      <c r="J240" s="2547">
        <f>SUM(J235:J239)</f>
        <v>1270000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40000</v>
      </c>
      <c r="H242" s="2547"/>
      <c r="I242" s="1819"/>
      <c r="J242" s="2560"/>
      <c r="K242" s="2560"/>
      <c r="L242" s="2560"/>
      <c r="M242" s="2560"/>
      <c r="N242" s="2560"/>
      <c r="O242" s="1819"/>
      <c r="P242" s="2560"/>
      <c r="Q242" s="2560"/>
      <c r="R242" s="1819"/>
      <c r="S242" s="2547">
        <f>'Part III-A-Uses of Funds'!S129</f>
        <v>40000</v>
      </c>
      <c r="T242" s="2547"/>
      <c r="U242" s="1819"/>
      <c r="V242" s="2665"/>
    </row>
    <row r="243" spans="1:22" ht="13.8">
      <c r="A243" s="1819"/>
      <c r="B243" s="1819" t="s">
        <v>1436</v>
      </c>
      <c r="C243" s="1819"/>
      <c r="D243" s="1819"/>
      <c r="E243" s="1819"/>
      <c r="F243" s="2717">
        <f>'Part III-A-Uses of Funds'!F130</f>
        <v>67237</v>
      </c>
      <c r="G243" s="2547">
        <f>'Part III-A-Uses of Funds'!G130</f>
        <v>67238</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67238</v>
      </c>
      <c r="T243" s="2547"/>
      <c r="U243" s="1819"/>
      <c r="V243" s="2665"/>
    </row>
    <row r="244" spans="1:22" ht="13.8">
      <c r="A244" s="1819"/>
      <c r="B244" s="1819" t="s">
        <v>632</v>
      </c>
      <c r="C244" s="1819"/>
      <c r="D244" s="1819"/>
      <c r="E244" s="1819"/>
      <c r="F244" s="2717">
        <f>'Part III-A-Uses of Funds'!F131</f>
        <v>134474</v>
      </c>
      <c r="G244" s="2547">
        <f>'Part III-A-Uses of Funds'!G131</f>
        <v>134475</v>
      </c>
      <c r="H244" s="2547"/>
      <c r="I244" s="1819"/>
      <c r="J244" s="2565" t="str">
        <f>IF(E244&gt;G244,"WARNING! ODR proposed is below minimum - add comment.","")</f>
        <v/>
      </c>
      <c r="K244" s="2560"/>
      <c r="L244" s="2560"/>
      <c r="M244" s="2560"/>
      <c r="N244" s="2560"/>
      <c r="O244" s="1819"/>
      <c r="P244" s="2560"/>
      <c r="Q244" s="2560"/>
      <c r="R244" s="1819"/>
      <c r="S244" s="2547">
        <f>'Part III-A-Uses of Funds'!S131</f>
        <v>134475</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3138</v>
      </c>
      <c r="F246" s="2717">
        <f>'Part III-A-Uses of Funds'!F133</f>
        <v>1666.6666666666667</v>
      </c>
      <c r="G246" s="2547">
        <f>'Part III-A-Uses of Funds'!G133</f>
        <v>80000</v>
      </c>
      <c r="H246" s="2547"/>
      <c r="I246" s="1819"/>
      <c r="J246" s="2547">
        <f>'Part III-A-Uses of Funds'!J133</f>
        <v>80000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Community Improvement Fund</v>
      </c>
      <c r="D247" s="2667"/>
      <c r="E247" s="2667"/>
      <c r="F247" s="2667"/>
      <c r="G247" s="2547">
        <f>'Part III-A-Uses of Funds'!G134</f>
        <v>50000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50000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371713</v>
      </c>
      <c r="H248" s="2547"/>
      <c r="I248" s="1819"/>
      <c r="J248" s="2547">
        <f>SUM(J246:J247)</f>
        <v>80000</v>
      </c>
      <c r="K248" s="2547"/>
      <c r="L248" s="2545"/>
      <c r="M248" s="2547">
        <f>SUM(M246:M247)</f>
        <v>0</v>
      </c>
      <c r="N248" s="2547"/>
      <c r="O248" s="1819"/>
      <c r="P248" s="2547">
        <f>SUM(P246:P247)</f>
        <v>0</v>
      </c>
      <c r="Q248" s="2547"/>
      <c r="R248" s="1819"/>
      <c r="S248" s="2547">
        <f>SUM(S242:S247)</f>
        <v>291713</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6962</v>
      </c>
      <c r="C259" s="1819"/>
      <c r="D259" s="1819"/>
      <c r="E259" s="2670"/>
      <c r="F259" s="2722"/>
      <c r="G259" s="2567">
        <f>G131+G137+G141+G149+G154+G159+G168+G186+G199+G205+G216+G227+G233+G240+G248+G257</f>
        <v>15472006</v>
      </c>
      <c r="H259" s="2567"/>
      <c r="I259" s="1819"/>
      <c r="J259" s="2567">
        <f>J131+J137+J141+J149+J154+J159+J168+J186+J199+J205+J216+J227+J233+J240+J248+J257</f>
        <v>13782965</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1689041</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6963</v>
      </c>
      <c r="C261" s="2681"/>
      <c r="D261" s="2568">
        <f>IF('Part V-Revenues &amp; Expenses'!$P$67=0,0,G259/'Part V-Revenues &amp; Expenses'!$P$67)</f>
        <v>322333.45833333331</v>
      </c>
      <c r="E261" s="2568"/>
      <c r="F261" s="2695" t="s">
        <v>2487</v>
      </c>
      <c r="G261" s="2568">
        <f>IF('Part V-Revenues &amp; Expenses'!$K$175=0,0,G259/'Part V-Revenues &amp; Expenses'!$K$175)</f>
        <v>327.44986243386245</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13782965</v>
      </c>
      <c r="K275" s="2648"/>
      <c r="L275" s="1819"/>
      <c r="M275" s="2648">
        <f>M259</f>
        <v>0</v>
      </c>
      <c r="N275" s="2648"/>
      <c r="O275" s="1819"/>
      <c r="P275" s="2648">
        <f>P259</f>
        <v>0</v>
      </c>
      <c r="Q275" s="2648"/>
      <c r="R275" s="2727" t="s">
        <v>3774</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13782965</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17917854.5</v>
      </c>
      <c r="K279" s="2648"/>
      <c r="L279" s="1819"/>
      <c r="M279" s="2648">
        <f>+M277</f>
        <v>0</v>
      </c>
      <c r="N279" s="2648"/>
      <c r="O279" s="1819"/>
      <c r="P279" s="2648">
        <f>P277*P278</f>
        <v>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17917854.5</v>
      </c>
      <c r="K281" s="2648"/>
      <c r="L281" s="1819"/>
      <c r="M281" s="2648">
        <f>M279*M280</f>
        <v>0</v>
      </c>
      <c r="N281" s="2648"/>
      <c r="O281" s="1819"/>
      <c r="P281" s="2648">
        <f>P279*P280</f>
        <v>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1612606.905</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1612606</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15472006</v>
      </c>
      <c r="K289" s="2648"/>
      <c r="L289" s="2648"/>
      <c r="M289" s="1819"/>
      <c r="N289" s="2727" t="s">
        <v>6717</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110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15471896</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1547189.6</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6965</v>
      </c>
      <c r="C295" s="1819"/>
      <c r="D295" s="1819"/>
      <c r="E295" s="1819"/>
      <c r="F295" s="1819"/>
      <c r="G295" s="1819"/>
      <c r="H295" s="1819"/>
      <c r="I295" s="1819"/>
      <c r="J295" s="2733">
        <f>N295+Q295</f>
        <v>1.26</v>
      </c>
      <c r="K295" s="2733"/>
      <c r="L295" s="2733"/>
      <c r="M295" s="1622" t="s">
        <v>1212</v>
      </c>
      <c r="N295" s="2734">
        <f>'Part III-A-Uses of Funds'!N182</f>
        <v>0.86</v>
      </c>
      <c r="O295" s="2734"/>
      <c r="P295" s="1622" t="s">
        <v>570</v>
      </c>
      <c r="Q295" s="2734">
        <f>'Part III-A-Uses of Funds'!Q182</f>
        <v>0.4</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1227928</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6966</v>
      </c>
      <c r="C300" s="1819"/>
      <c r="D300" s="1819"/>
      <c r="E300" s="1819"/>
      <c r="F300" s="1819"/>
      <c r="G300" s="1819"/>
      <c r="H300" s="1819"/>
      <c r="I300" s="1819"/>
      <c r="J300" s="2647">
        <f>'Part III-A-Uses of Funds'!J187</f>
        <v>1225000</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6967</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6968</v>
      </c>
      <c r="C304" s="1819"/>
      <c r="D304" s="378"/>
      <c r="E304" s="378"/>
      <c r="F304" s="2623"/>
      <c r="G304" s="1819"/>
      <c r="H304" s="1819"/>
      <c r="I304" s="1819"/>
      <c r="J304" s="2647">
        <f>IF(J302="",0,+MIN(J300,J302))</f>
        <v>1225000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hard costs were carefully estimated from the general contractor and project engineer.</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Cusseta Crossing  -  Columbus  -  Muscogee,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Community Improvement Fund</v>
      </c>
      <c r="B384" s="2571"/>
      <c r="C384" s="2571"/>
      <c r="D384" s="2571"/>
      <c r="E384" s="2745"/>
      <c r="F384" s="2572" t="str">
        <f>'Part III-B-Other Items'!F71</f>
        <v>Applicant has reduced $50,000 from the maximum developer fee amount as a financial commitment of funds to form the Community Improvement Fund (CIF) for the future Cusseta Crossing Community Transformation Plan.</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50000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Cusseta Crossing,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Local PHA</v>
      </c>
    </row>
    <row r="403" spans="1:13">
      <c r="A403" s="2754" t="s">
        <v>6973</v>
      </c>
    </row>
    <row r="405" spans="1:13" ht="52.8">
      <c r="A405" s="361" t="s">
        <v>573</v>
      </c>
      <c r="B405" s="361" t="s">
        <v>2059</v>
      </c>
      <c r="F405" s="359" t="s">
        <v>2317</v>
      </c>
      <c r="G405" s="359"/>
      <c r="H405" s="359"/>
      <c r="I405" s="2621" t="str">
        <f>'Part IV-Utility Allowances'!I7</f>
        <v>The Housing Authority Of Columbus, Georgia</v>
      </c>
      <c r="J405" s="2621"/>
      <c r="K405" s="2621"/>
      <c r="L405" s="2621"/>
      <c r="M405" s="2621"/>
    </row>
    <row r="406" spans="1:13">
      <c r="A406" s="361"/>
      <c r="F406" s="359" t="s">
        <v>593</v>
      </c>
      <c r="G406" s="359"/>
      <c r="H406" s="359"/>
      <c r="I406" s="2755">
        <f>'Part IV-Utility Allowances'!I8</f>
        <v>44769</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12</v>
      </c>
      <c r="K410" s="1894">
        <f>'Part IV-Utility Allowances'!K12</f>
        <v>15</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10</v>
      </c>
      <c r="K411" s="1894">
        <f>'Part IV-Utility Allowances'!K13</f>
        <v>12</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17</v>
      </c>
      <c r="K412" s="1894">
        <f>'Part IV-Utility Allowances'!K14</f>
        <v>24</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19</v>
      </c>
      <c r="K413" s="1894">
        <f>'Part IV-Utility Allowances'!K15</f>
        <v>24</v>
      </c>
      <c r="L413" s="1894">
        <f>'Part IV-Utility Allowances'!L15</f>
        <v>0</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36</v>
      </c>
      <c r="K416" s="1894">
        <f>'Part IV-Utility Allowances'!K18</f>
        <v>40</v>
      </c>
      <c r="L416" s="1894">
        <f>'Part IV-Utility Allowances'!L18</f>
        <v>0</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35</v>
      </c>
      <c r="K417" s="1894">
        <f>'Part IV-Utility Allowances'!K19</f>
        <v>46</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129</v>
      </c>
      <c r="K420" s="2756">
        <f>IF(SUM(K410:K419)=0,0,IF(OR($D410="&lt;&lt;Select Fuel &gt;&gt;",$D411="&lt;&lt;Select Fuel &gt;&gt;",$D412="&lt;&lt;Select Fuel &gt;&gt;"),"Select Fuel",IF($E417="&lt;Select&gt;","Submeter?",SUM(K410:K419))))</f>
        <v>161</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93.8">
      <c r="B441" s="2757" t="str">
        <f>'Part IV-Utility Allowances'!B43</f>
        <v>Applicant has used the Housing Authority of Columbus utility allowances in effect July 27, 2022 through July 26, 2023 for multifamily developments.</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Cusseta Crossing,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Cusseta Crossing,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Columbus</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6976</v>
      </c>
      <c r="P453" s="2768">
        <f>'Part V-Revenues &amp; Expenses'!P6</f>
        <v>68200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Novogradac &amp; Company LLP</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6977</v>
      </c>
      <c r="L456" s="1634" t="s">
        <v>139</v>
      </c>
      <c r="M456" s="1634"/>
      <c r="N456" s="2765" t="s">
        <v>2184</v>
      </c>
      <c r="O456" s="2765" t="s">
        <v>6483</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4.1"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4.1"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4.1"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4.1"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4.1"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4.1"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4.1"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4.1" customHeight="1">
      <c r="A465" s="2756" t="str">
        <f t="shared" si="0"/>
        <v/>
      </c>
      <c r="B465" s="2575">
        <f>'Part V-Revenues &amp; Expenses'!B18</f>
        <v>50</v>
      </c>
      <c r="C465" s="2576">
        <f>'Part V-Revenues &amp; Expenses'!C18</f>
        <v>1</v>
      </c>
      <c r="D465" s="2577">
        <f>'Part V-Revenues &amp; Expenses'!D18</f>
        <v>1</v>
      </c>
      <c r="E465" s="2578">
        <f>'Part V-Revenues &amp; Expenses'!E18</f>
        <v>11</v>
      </c>
      <c r="F465" s="2578">
        <f>'Part V-Revenues &amp; Expenses'!F18</f>
        <v>665</v>
      </c>
      <c r="G465" s="2578">
        <f>'Part V-Revenues &amp; Expenses'!G18</f>
        <v>640</v>
      </c>
      <c r="H465" s="2578">
        <f>'Part V-Revenues &amp; Expenses'!H18</f>
        <v>634</v>
      </c>
      <c r="I465" s="2578">
        <f>'Part V-Revenues &amp; Expenses'!I18</f>
        <v>0</v>
      </c>
      <c r="J465" s="2578">
        <f>'Part V-Revenues &amp; Expenses'!J18</f>
        <v>129</v>
      </c>
      <c r="K465" s="2579">
        <f>'Part V-Revenues &amp; Expenses'!K18</f>
        <v>0</v>
      </c>
      <c r="L465" s="2580">
        <f t="shared" si="1"/>
        <v>505</v>
      </c>
      <c r="M465" s="2580">
        <f t="shared" si="2"/>
        <v>5555</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11</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7315</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11</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11</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11</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11</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4.1" customHeight="1">
      <c r="A466" s="2756" t="str">
        <f t="shared" si="0"/>
        <v/>
      </c>
      <c r="B466" s="2575">
        <f>'Part V-Revenues &amp; Expenses'!B19</f>
        <v>60</v>
      </c>
      <c r="C466" s="2576">
        <f>'Part V-Revenues &amp; Expenses'!C19</f>
        <v>1</v>
      </c>
      <c r="D466" s="2577">
        <f>'Part V-Revenues &amp; Expenses'!D19</f>
        <v>1</v>
      </c>
      <c r="E466" s="2578">
        <f>'Part V-Revenues &amp; Expenses'!E19</f>
        <v>15</v>
      </c>
      <c r="F466" s="2578">
        <f>'Part V-Revenues &amp; Expenses'!F19</f>
        <v>665</v>
      </c>
      <c r="G466" s="2578">
        <f>'Part V-Revenues &amp; Expenses'!G19</f>
        <v>768</v>
      </c>
      <c r="H466" s="2578">
        <f>'Part V-Revenues &amp; Expenses'!H19</f>
        <v>764</v>
      </c>
      <c r="I466" s="2578">
        <f>'Part V-Revenues &amp; Expenses'!I19</f>
        <v>0</v>
      </c>
      <c r="J466" s="2578">
        <f>'Part V-Revenues &amp; Expenses'!J19</f>
        <v>129</v>
      </c>
      <c r="K466" s="2579">
        <f>'Part V-Revenues &amp; Expenses'!K19</f>
        <v>0</v>
      </c>
      <c r="L466" s="2580">
        <f t="shared" si="1"/>
        <v>635</v>
      </c>
      <c r="M466" s="2580">
        <f t="shared" si="2"/>
        <v>9525</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15</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9975</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15</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15</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15</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15</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4.1" customHeight="1">
      <c r="A467" s="2756" t="str">
        <f t="shared" si="0"/>
        <v/>
      </c>
      <c r="B467" s="2575">
        <f>'Part V-Revenues &amp; Expenses'!B20</f>
        <v>70</v>
      </c>
      <c r="C467" s="2576">
        <f>'Part V-Revenues &amp; Expenses'!C20</f>
        <v>1</v>
      </c>
      <c r="D467" s="2577">
        <f>'Part V-Revenues &amp; Expenses'!D20</f>
        <v>1</v>
      </c>
      <c r="E467" s="2578">
        <f>'Part V-Revenues &amp; Expenses'!E20</f>
        <v>4</v>
      </c>
      <c r="F467" s="2578">
        <f>'Part V-Revenues &amp; Expenses'!F20</f>
        <v>665</v>
      </c>
      <c r="G467" s="2578">
        <f>'Part V-Revenues &amp; Expenses'!G20</f>
        <v>896</v>
      </c>
      <c r="H467" s="2578">
        <f>'Part V-Revenues &amp; Expenses'!H20</f>
        <v>879</v>
      </c>
      <c r="I467" s="2578">
        <f>'Part V-Revenues &amp; Expenses'!I20</f>
        <v>0</v>
      </c>
      <c r="J467" s="2578">
        <f>'Part V-Revenues &amp; Expenses'!J20</f>
        <v>129</v>
      </c>
      <c r="K467" s="2579">
        <f>'Part V-Revenues &amp; Expenses'!K20</f>
        <v>0</v>
      </c>
      <c r="L467" s="2580">
        <f t="shared" si="1"/>
        <v>750</v>
      </c>
      <c r="M467" s="2580">
        <f t="shared" si="2"/>
        <v>3000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f t="shared" si="9"/>
        <v>4</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f t="shared" si="69"/>
        <v>4</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f t="shared" si="124"/>
        <v>2660</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4</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4</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4</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4</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4.1" customHeight="1">
      <c r="A468" s="2756" t="str">
        <f t="shared" si="0"/>
        <v/>
      </c>
      <c r="B468" s="2575">
        <f>'Part V-Revenues &amp; Expenses'!B21</f>
        <v>50</v>
      </c>
      <c r="C468" s="2576">
        <f>'Part V-Revenues &amp; Expenses'!C21</f>
        <v>2</v>
      </c>
      <c r="D468" s="2577">
        <f>'Part V-Revenues &amp; Expenses'!D21</f>
        <v>1</v>
      </c>
      <c r="E468" s="2578">
        <f>'Part V-Revenues &amp; Expenses'!E21</f>
        <v>6</v>
      </c>
      <c r="F468" s="2578">
        <f>'Part V-Revenues &amp; Expenses'!F21</f>
        <v>850</v>
      </c>
      <c r="G468" s="2578">
        <f>'Part V-Revenues &amp; Expenses'!G21</f>
        <v>767</v>
      </c>
      <c r="H468" s="2578">
        <f>'Part V-Revenues &amp; Expenses'!H21</f>
        <v>766</v>
      </c>
      <c r="I468" s="2578">
        <f>'Part V-Revenues &amp; Expenses'!I21</f>
        <v>0</v>
      </c>
      <c r="J468" s="2578">
        <f>'Part V-Revenues &amp; Expenses'!J21</f>
        <v>161</v>
      </c>
      <c r="K468" s="2579">
        <f>'Part V-Revenues &amp; Expenses'!K21</f>
        <v>0</v>
      </c>
      <c r="L468" s="2580">
        <f t="shared" si="1"/>
        <v>605</v>
      </c>
      <c r="M468" s="2580">
        <f t="shared" si="2"/>
        <v>3630</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6</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5100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6</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6</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6</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6</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4.1" customHeight="1">
      <c r="A469" s="2756" t="str">
        <f t="shared" si="0"/>
        <v/>
      </c>
      <c r="B469" s="2575">
        <f>'Part V-Revenues &amp; Expenses'!B22</f>
        <v>60</v>
      </c>
      <c r="C469" s="2576">
        <f>'Part V-Revenues &amp; Expenses'!C22</f>
        <v>2</v>
      </c>
      <c r="D469" s="2577">
        <f>'Part V-Revenues &amp; Expenses'!D22</f>
        <v>1</v>
      </c>
      <c r="E469" s="2578">
        <f>'Part V-Revenues &amp; Expenses'!E22</f>
        <v>9</v>
      </c>
      <c r="F469" s="2578">
        <f>'Part V-Revenues &amp; Expenses'!F22</f>
        <v>850</v>
      </c>
      <c r="G469" s="2578">
        <f>'Part V-Revenues &amp; Expenses'!G22</f>
        <v>921</v>
      </c>
      <c r="H469" s="2578">
        <f>'Part V-Revenues &amp; Expenses'!H22</f>
        <v>916</v>
      </c>
      <c r="I469" s="2578">
        <f>'Part V-Revenues &amp; Expenses'!I22</f>
        <v>0</v>
      </c>
      <c r="J469" s="2578">
        <f>'Part V-Revenues &amp; Expenses'!J22</f>
        <v>161</v>
      </c>
      <c r="K469" s="2579">
        <f>'Part V-Revenues &amp; Expenses'!K22</f>
        <v>0</v>
      </c>
      <c r="L469" s="2580">
        <f t="shared" si="1"/>
        <v>755</v>
      </c>
      <c r="M469" s="2580">
        <f t="shared" si="2"/>
        <v>6795</v>
      </c>
      <c r="N469" s="2651" t="str">
        <f>'Part V-Revenues &amp; Expenses'!N22</f>
        <v>No</v>
      </c>
      <c r="O469" s="1320" t="str">
        <f>'Part V-Revenues &amp; Expenses'!O22</f>
        <v>Low-Rise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9</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7650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9</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9</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f t="shared" si="265"/>
        <v>9</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9</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4.1" customHeight="1">
      <c r="A470" s="2756" t="str">
        <f t="shared" si="0"/>
        <v/>
      </c>
      <c r="B470" s="2575">
        <f>'Part V-Revenues &amp; Expenses'!B23</f>
        <v>70</v>
      </c>
      <c r="C470" s="2576">
        <f>'Part V-Revenues &amp; Expenses'!C23</f>
        <v>2</v>
      </c>
      <c r="D470" s="2577">
        <f>'Part V-Revenues &amp; Expenses'!D23</f>
        <v>1</v>
      </c>
      <c r="E470" s="2578">
        <f>'Part V-Revenues &amp; Expenses'!E23</f>
        <v>3</v>
      </c>
      <c r="F470" s="2578">
        <f>'Part V-Revenues &amp; Expenses'!F23</f>
        <v>850</v>
      </c>
      <c r="G470" s="2578">
        <f>'Part V-Revenues &amp; Expenses'!G23</f>
        <v>1074</v>
      </c>
      <c r="H470" s="2578">
        <f>'Part V-Revenues &amp; Expenses'!H23</f>
        <v>1061</v>
      </c>
      <c r="I470" s="2578">
        <f>'Part V-Revenues &amp; Expenses'!I23</f>
        <v>0</v>
      </c>
      <c r="J470" s="2578">
        <f>'Part V-Revenues &amp; Expenses'!J23</f>
        <v>161</v>
      </c>
      <c r="K470" s="2579">
        <f>'Part V-Revenues &amp; Expenses'!K23</f>
        <v>0</v>
      </c>
      <c r="L470" s="2580">
        <f t="shared" si="1"/>
        <v>900</v>
      </c>
      <c r="M470" s="2580">
        <f t="shared" si="2"/>
        <v>2700</v>
      </c>
      <c r="N470" s="2651" t="str">
        <f>'Part V-Revenues &amp; Expenses'!N23</f>
        <v>No</v>
      </c>
      <c r="O470" s="1320" t="str">
        <f>'Part V-Revenues &amp; Expenses'!O23</f>
        <v>Low-Rise Elevator</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f t="shared" si="10"/>
        <v>3</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f t="shared" si="70"/>
        <v>3</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f t="shared" si="125"/>
        <v>2550</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3</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3</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f t="shared" si="265"/>
        <v>3</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3</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4.1"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4.1"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4.1"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4.1"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4.1"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4.1"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4.1"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4.1"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4.1"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4.1"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4.1"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4.1"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4.1"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4.1"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4.1"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4.1"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4.1"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4.1"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4.1"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4.1"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4.1"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4.1"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4.1"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4.1"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4.1"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4.1" customHeight="1">
      <c r="A496" s="2756">
        <f>COUNT(A458,A459,A460,A461,A462,A463,A464,A465,A466,A467,A468,A469,A470,A471,A472,A473,A474,A475,A476,A477,A478,A479,A480,A481,A482,A483,A484,A485,A486,A487)</f>
        <v>0</v>
      </c>
      <c r="B496" s="2785" t="s">
        <v>3769</v>
      </c>
      <c r="C496" s="2785"/>
      <c r="D496" s="2786" t="s">
        <v>954</v>
      </c>
      <c r="E496" s="2581">
        <f>SUM(E458:E495)</f>
        <v>48</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35250</v>
      </c>
      <c r="H496" s="2583" t="s">
        <v>3766</v>
      </c>
      <c r="I496" s="2787" t="s">
        <v>3767</v>
      </c>
      <c r="J496" s="2584" t="str">
        <f>IF(P514=0,"",IF(SUM(P505:P509)/P514&gt;=0.4,"Pass","Fail"))</f>
        <v>Pass</v>
      </c>
      <c r="K496" s="363"/>
      <c r="L496" s="2788" t="s">
        <v>1225</v>
      </c>
      <c r="M496" s="2585">
        <f>SUM(M458:M495)</f>
        <v>31205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4</v>
      </c>
      <c r="AE496" s="1749">
        <f t="shared" si="338"/>
        <v>3</v>
      </c>
      <c r="AF496" s="1749">
        <f t="shared" si="338"/>
        <v>0</v>
      </c>
      <c r="AG496" s="1749">
        <f t="shared" si="338"/>
        <v>0</v>
      </c>
      <c r="AH496" s="1749">
        <f t="shared" si="338"/>
        <v>0</v>
      </c>
      <c r="AI496" s="1749">
        <f t="shared" si="338"/>
        <v>15</v>
      </c>
      <c r="AJ496" s="1749">
        <f t="shared" si="338"/>
        <v>9</v>
      </c>
      <c r="AK496" s="1749">
        <f t="shared" si="338"/>
        <v>0</v>
      </c>
      <c r="AL496" s="1749">
        <f t="shared" si="338"/>
        <v>0</v>
      </c>
      <c r="AM496" s="1749">
        <f>SUM(AM458:AM495)</f>
        <v>0</v>
      </c>
      <c r="AN496" s="1749">
        <f>SUM(AN458:AN495)</f>
        <v>11</v>
      </c>
      <c r="AO496" s="1749">
        <f>SUM(AO458:AO495)</f>
        <v>6</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4</v>
      </c>
      <c r="CM496" s="1749">
        <f>SUM(CM458:CM495)</f>
        <v>3</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2660</v>
      </c>
      <c r="EP496" s="1749">
        <f t="shared" si="338"/>
        <v>2550</v>
      </c>
      <c r="EQ496" s="1749">
        <f t="shared" si="338"/>
        <v>0</v>
      </c>
      <c r="ER496" s="1749">
        <f t="shared" si="338"/>
        <v>0</v>
      </c>
      <c r="ES496" s="1749">
        <f t="shared" si="338"/>
        <v>0</v>
      </c>
      <c r="ET496" s="1749">
        <f t="shared" si="338"/>
        <v>9975</v>
      </c>
      <c r="EU496" s="1749">
        <f t="shared" si="338"/>
        <v>7650</v>
      </c>
      <c r="EV496" s="1749">
        <f t="shared" si="338"/>
        <v>0</v>
      </c>
      <c r="EW496" s="1749">
        <f t="shared" si="338"/>
        <v>0</v>
      </c>
      <c r="EX496" s="1749">
        <f t="shared" si="338"/>
        <v>0</v>
      </c>
      <c r="EY496" s="1749">
        <f t="shared" si="338"/>
        <v>7315</v>
      </c>
      <c r="EZ496" s="1749">
        <f t="shared" si="338"/>
        <v>5100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30</v>
      </c>
      <c r="GI496" s="1749">
        <f t="shared" si="340"/>
        <v>18</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30</v>
      </c>
      <c r="IB496" s="1749">
        <f t="shared" si="341"/>
        <v>18</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30</v>
      </c>
      <c r="JZ496" s="1749">
        <f>SUM(JZ458:JZ495)</f>
        <v>18</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30</v>
      </c>
      <c r="MM496" s="1749">
        <f t="shared" si="343"/>
        <v>18</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4.1" customHeight="1">
      <c r="B497" s="2789">
        <f>'Part V-Revenues &amp; Expenses'!B50</f>
        <v>57.916666666666664</v>
      </c>
      <c r="C497" s="2789"/>
      <c r="D497" s="2756" t="s">
        <v>3676</v>
      </c>
      <c r="E497" s="2581">
        <f>SUM(E465:E495)</f>
        <v>48</v>
      </c>
      <c r="F497" s="2582">
        <f>(E465*F465+E466*F466+E467*F467+E468*F468+E469*F469+E470*F470+E471*F471+E472*F472+E473*F473+E474*F474+E475*F475+E476*F476+E477*F477+E478*F478+E479*F479+E480*F480+E481*F481+E482*F482+E483*F483+E484*F484+E485*F485+E486*F486+E487*F487+E488*F488+E489*F489+E490*F490+E491*F491+E492*F492+E493*F493+E494*F494+E495*F495)</f>
        <v>35250</v>
      </c>
      <c r="H497" s="2583"/>
      <c r="I497" s="2787" t="s">
        <v>3768</v>
      </c>
      <c r="J497" s="2584" t="str">
        <f>IF(P514=0,"",IF(SUM(P506:P509)/P514&gt;=0.2,"Pass","Fail"))</f>
        <v>Pass</v>
      </c>
      <c r="K497" s="363"/>
      <c r="L497" s="2786" t="s">
        <v>757</v>
      </c>
      <c r="M497" s="2585">
        <f>M496*12</f>
        <v>374460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85" customHeight="1">
      <c r="A500" s="361" t="s">
        <v>689</v>
      </c>
      <c r="B500" s="361" t="s">
        <v>499</v>
      </c>
      <c r="K500" s="2792" t="s">
        <v>6642</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8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4</v>
      </c>
      <c r="M504" s="2586">
        <f>AE496</f>
        <v>3</v>
      </c>
      <c r="N504" s="2586">
        <f>AF496</f>
        <v>0</v>
      </c>
      <c r="O504" s="2586">
        <f>AG496</f>
        <v>0</v>
      </c>
      <c r="P504" s="2586">
        <f t="shared" si="344"/>
        <v>7</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15</v>
      </c>
      <c r="M505" s="2586">
        <f>AJ496</f>
        <v>9</v>
      </c>
      <c r="N505" s="2586">
        <f>AK496</f>
        <v>0</v>
      </c>
      <c r="O505" s="2586">
        <f>AL496</f>
        <v>0</v>
      </c>
      <c r="P505" s="2586">
        <f t="shared" si="344"/>
        <v>24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11</v>
      </c>
      <c r="M506" s="2586">
        <f>AO496</f>
        <v>6</v>
      </c>
      <c r="N506" s="2586">
        <f>AP496</f>
        <v>0</v>
      </c>
      <c r="O506" s="2586">
        <f>AQ496</f>
        <v>0</v>
      </c>
      <c r="P506" s="2586">
        <f t="shared" si="344"/>
        <v>17</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30</v>
      </c>
      <c r="M510" s="2586">
        <f>SUM(M503:M509)</f>
        <v>18</v>
      </c>
      <c r="N510" s="2586">
        <f>SUM(N503:N509)</f>
        <v>0</v>
      </c>
      <c r="O510" s="2586">
        <f>SUM(O503:O509)</f>
        <v>0</v>
      </c>
      <c r="P510" s="2586">
        <f t="shared" si="344"/>
        <v>48</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30</v>
      </c>
      <c r="M512" s="2587">
        <f>SUM(M510:M511)</f>
        <v>18</v>
      </c>
      <c r="N512" s="2587">
        <f>SUM(N510:N511)</f>
        <v>0</v>
      </c>
      <c r="O512" s="2587">
        <f>SUM(O510:O511)</f>
        <v>0</v>
      </c>
      <c r="P512" s="2587">
        <f t="shared" si="344"/>
        <v>48</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30</v>
      </c>
      <c r="M514" s="2588">
        <f>SUM(M512:M513)</f>
        <v>18</v>
      </c>
      <c r="N514" s="2588">
        <f>SUM(N512:N513)</f>
        <v>0</v>
      </c>
      <c r="O514" s="2588">
        <f>SUM(O512:O513)</f>
        <v>0</v>
      </c>
      <c r="P514" s="2588">
        <f t="shared" si="344"/>
        <v>48</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350000000000001"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3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3678</v>
      </c>
      <c r="I520" s="362"/>
      <c r="J520" s="359"/>
      <c r="K520" s="2803" t="str">
        <f t="shared" ref="K520:P520" si="347">IF(OR(K504=0,K514=0),"",K504/K514)</f>
        <v/>
      </c>
      <c r="L520" s="2803">
        <f t="shared" si="347"/>
        <v>0.13333333333333333</v>
      </c>
      <c r="M520" s="2803">
        <f t="shared" si="347"/>
        <v>0.16666666666666666</v>
      </c>
      <c r="N520" s="2803" t="str">
        <f t="shared" si="347"/>
        <v/>
      </c>
      <c r="O520" s="2803" t="str">
        <f t="shared" si="347"/>
        <v/>
      </c>
      <c r="P520" s="2803">
        <f t="shared" si="347"/>
        <v>0.14583333333333334</v>
      </c>
      <c r="S520" s="2784"/>
      <c r="T520" s="2784"/>
      <c r="U520" s="2784"/>
      <c r="V520" s="2784"/>
      <c r="W520" s="2784"/>
    </row>
    <row r="521" spans="1:343">
      <c r="C521" s="2621"/>
      <c r="D521" s="2621"/>
      <c r="E521" s="2621"/>
      <c r="F521" s="2621"/>
      <c r="H521" s="1503" t="s">
        <v>6980</v>
      </c>
      <c r="I521" s="362"/>
      <c r="J521" s="359"/>
      <c r="K521" s="2804" t="str">
        <f>IF(OR(K504=0,P520="",K514=0),"",P520*K514)</f>
        <v/>
      </c>
      <c r="L521" s="2804">
        <f>IF(OR(L504=0,P520="",L514=0),"",P520*L514)</f>
        <v>4.375</v>
      </c>
      <c r="M521" s="2804">
        <f>IF(OR(M504=0,P520="",M514=0),"",P520*M514)</f>
        <v>2.625</v>
      </c>
      <c r="N521" s="2804" t="str">
        <f>IF(OR(N504=0,P520="",N514=0),"",P520*N514)</f>
        <v/>
      </c>
      <c r="O521" s="2804" t="str">
        <f>IF(OR(O504=0,P520="",O514=0),"",P520*O514)</f>
        <v/>
      </c>
      <c r="P521" s="2804">
        <f>IF(OR(P520="",P514=0),"",P520*P514)</f>
        <v>7</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f t="shared" si="348"/>
        <v>-0.375</v>
      </c>
      <c r="M522" s="2804">
        <f t="shared" si="348"/>
        <v>0.375</v>
      </c>
      <c r="N522" s="2804" t="str">
        <f t="shared" si="348"/>
        <v/>
      </c>
      <c r="O522" s="2804" t="str">
        <f t="shared" si="348"/>
        <v/>
      </c>
      <c r="P522" s="2804">
        <f t="shared" si="348"/>
        <v>0</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0.5</v>
      </c>
      <c r="M523" s="2803">
        <f t="shared" si="349"/>
        <v>0.5</v>
      </c>
      <c r="N523" s="2803" t="str">
        <f t="shared" si="349"/>
        <v/>
      </c>
      <c r="O523" s="2803" t="str">
        <f t="shared" si="349"/>
        <v/>
      </c>
      <c r="P523" s="2803">
        <f t="shared" si="349"/>
        <v>0.5</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15</v>
      </c>
      <c r="M524" s="2804">
        <f>IF(OR(M505=0,P523="",M514=0),"",P523*M514)</f>
        <v>9</v>
      </c>
      <c r="N524" s="2804" t="str">
        <f>IF(OR(N505=0,P523="",N514=0),"",P523*N514)</f>
        <v/>
      </c>
      <c r="O524" s="2804" t="str">
        <f>IF(OR(O505=0,P523="",O514=0),"",P523*O514)</f>
        <v/>
      </c>
      <c r="P524" s="2804">
        <f>IF(OR(P523="",P514=0),"",P523*P514)</f>
        <v>24</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0.36666666666666664</v>
      </c>
      <c r="M526" s="2803">
        <f t="shared" si="351"/>
        <v>0.33333333333333331</v>
      </c>
      <c r="N526" s="2803" t="str">
        <f t="shared" si="351"/>
        <v/>
      </c>
      <c r="O526" s="2803" t="str">
        <f t="shared" si="351"/>
        <v/>
      </c>
      <c r="P526" s="2803">
        <f t="shared" si="351"/>
        <v>0.35416666666666669</v>
      </c>
    </row>
    <row r="527" spans="1:343">
      <c r="C527" s="2805"/>
      <c r="D527" s="2805"/>
      <c r="E527" s="2805"/>
      <c r="H527" s="1503" t="s">
        <v>6980</v>
      </c>
      <c r="I527" s="362"/>
      <c r="J527" s="359"/>
      <c r="K527" s="2804" t="str">
        <f>IF(OR(K506=0,P526="",K514=0),"",P526*K514)</f>
        <v/>
      </c>
      <c r="L527" s="2804">
        <f>IF(OR(L506=0,P526="",L514=0),"",P526*L514)</f>
        <v>10.625</v>
      </c>
      <c r="M527" s="2804">
        <f>IF(OR(M506=0,P526="",M514=0),"",P526*M514)</f>
        <v>6.375</v>
      </c>
      <c r="N527" s="2804" t="str">
        <f>IF(OR(N506=0,P526="",N514=0),"",P526*N514)</f>
        <v/>
      </c>
      <c r="O527" s="2804" t="str">
        <f>IF(OR(O506=0,P526="",O514=0),"",P526*O514)</f>
        <v/>
      </c>
      <c r="P527" s="2804">
        <f>IF(OR(P526="",P514=0),"",P526*P514)</f>
        <v>17</v>
      </c>
    </row>
    <row r="528" spans="1:343">
      <c r="C528" s="2805"/>
      <c r="D528" s="2805"/>
      <c r="E528" s="2805"/>
      <c r="G528" s="2787"/>
      <c r="H528" s="1503" t="s">
        <v>6981</v>
      </c>
      <c r="I528" s="362"/>
      <c r="J528" s="359"/>
      <c r="K528" s="2804" t="str">
        <f t="shared" ref="K528:P528" si="352">IF(OR(K527="",K506=0),"", K506-K527)</f>
        <v/>
      </c>
      <c r="L528" s="2804">
        <f t="shared" si="352"/>
        <v>0.375</v>
      </c>
      <c r="M528" s="2804">
        <f t="shared" si="352"/>
        <v>-0.375</v>
      </c>
      <c r="N528" s="2804" t="str">
        <f t="shared" si="352"/>
        <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6980</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6981</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4</v>
      </c>
      <c r="M541" s="2586">
        <f>CM496</f>
        <v>3</v>
      </c>
      <c r="N541" s="2586">
        <f>CN496</f>
        <v>0</v>
      </c>
      <c r="O541" s="2586">
        <f>CO496</f>
        <v>0</v>
      </c>
      <c r="P541" s="2586">
        <f t="shared" si="359"/>
        <v>7</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4</v>
      </c>
      <c r="M547" s="2588">
        <f>SUM(M540:M546)</f>
        <v>3</v>
      </c>
      <c r="N547" s="2588">
        <f>SUM(N540:N546)</f>
        <v>0</v>
      </c>
      <c r="O547" s="2588">
        <f>SUM(O540:O546)</f>
        <v>0</v>
      </c>
      <c r="P547" s="2588">
        <f t="shared" si="359"/>
        <v>7</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85"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30</v>
      </c>
      <c r="M560" s="2586">
        <f>GI496</f>
        <v>18</v>
      </c>
      <c r="N560" s="2586">
        <f>GJ496</f>
        <v>0</v>
      </c>
      <c r="O560" s="2586">
        <f>GK496</f>
        <v>0</v>
      </c>
      <c r="P560" s="2586">
        <f t="shared" ref="P560:P570" si="361">SUM(K560:O560)</f>
        <v>48</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30</v>
      </c>
      <c r="M562" s="2588">
        <f>SUM(M560:M561)+GS496</f>
        <v>18</v>
      </c>
      <c r="N562" s="2588">
        <f>SUM(N560:N561)+GT496</f>
        <v>0</v>
      </c>
      <c r="O562" s="2588">
        <f>SUM(O560:O561)+GU496</f>
        <v>0</v>
      </c>
      <c r="P562" s="2588">
        <f t="shared" si="361"/>
        <v>48</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30</v>
      </c>
      <c r="M574" s="2588">
        <f t="shared" si="362"/>
        <v>18</v>
      </c>
      <c r="N574" s="2588">
        <f t="shared" si="362"/>
        <v>0</v>
      </c>
      <c r="O574" s="2588">
        <f t="shared" si="362"/>
        <v>0</v>
      </c>
      <c r="P574" s="2588">
        <f t="shared" si="362"/>
        <v>48</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30</v>
      </c>
      <c r="M577" s="2586">
        <f>JZ496</f>
        <v>18</v>
      </c>
      <c r="N577" s="2586">
        <f>KA496</f>
        <v>0</v>
      </c>
      <c r="O577" s="2586">
        <f>KB496</f>
        <v>0</v>
      </c>
      <c r="P577" s="2586">
        <f t="shared" si="363"/>
        <v>48</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85"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30</v>
      </c>
      <c r="M600" s="2586">
        <f t="shared" si="367"/>
        <v>18</v>
      </c>
      <c r="N600" s="2586">
        <f t="shared" si="367"/>
        <v>0</v>
      </c>
      <c r="O600" s="2586">
        <f t="shared" si="367"/>
        <v>0</v>
      </c>
      <c r="P600" s="2588">
        <f t="shared" si="365"/>
        <v>48</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2660</v>
      </c>
      <c r="M605" s="2590">
        <f>EP496</f>
        <v>2550</v>
      </c>
      <c r="N605" s="2590">
        <f>EQ496</f>
        <v>0</v>
      </c>
      <c r="O605" s="2590">
        <f>ER496</f>
        <v>0</v>
      </c>
      <c r="P605" s="2590">
        <f t="shared" si="368"/>
        <v>5210</v>
      </c>
      <c r="Q605" s="2804">
        <f t="shared" si="369"/>
        <v>744.28571428571433</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9975</v>
      </c>
      <c r="M606" s="2590">
        <f>EU496</f>
        <v>7650</v>
      </c>
      <c r="N606" s="2590">
        <f>EV496</f>
        <v>0</v>
      </c>
      <c r="O606" s="2590">
        <f>EW496</f>
        <v>0</v>
      </c>
      <c r="P606" s="2590">
        <f t="shared" si="368"/>
        <v>17625</v>
      </c>
      <c r="Q606" s="2804">
        <f t="shared" si="369"/>
        <v>734.375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7315</v>
      </c>
      <c r="M607" s="2590">
        <f>EZ496</f>
        <v>5100</v>
      </c>
      <c r="N607" s="2590">
        <f>FA496</f>
        <v>0</v>
      </c>
      <c r="O607" s="2590">
        <f>FB496</f>
        <v>0</v>
      </c>
      <c r="P607" s="2590">
        <f t="shared" si="368"/>
        <v>12415</v>
      </c>
      <c r="Q607" s="2804">
        <f t="shared" si="369"/>
        <v>730.29411764705878</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19950</v>
      </c>
      <c r="M611" s="2591">
        <f>SUM(M604:M610)</f>
        <v>15300</v>
      </c>
      <c r="N611" s="2591">
        <f>SUM(N604:N610)</f>
        <v>0</v>
      </c>
      <c r="O611" s="2591">
        <f>SUM(O604:O610)</f>
        <v>0</v>
      </c>
      <c r="P611" s="2591">
        <f>SUM(K611:O611)</f>
        <v>35250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19950</v>
      </c>
      <c r="M613" s="2592">
        <f>SUM(M611:M612)</f>
        <v>15300</v>
      </c>
      <c r="N613" s="2592">
        <f>SUM(N611:N612)</f>
        <v>0</v>
      </c>
      <c r="O613" s="2592">
        <f>SUM(O611:O612)</f>
        <v>0</v>
      </c>
      <c r="P613" s="2592">
        <f>SUM(K613:O613)</f>
        <v>35250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19950</v>
      </c>
      <c r="M615" s="2593">
        <f>SUM(M613:M614)</f>
        <v>15300</v>
      </c>
      <c r="N615" s="2593">
        <f>SUM(N613:N614)</f>
        <v>0</v>
      </c>
      <c r="O615" s="2593">
        <f>SUM(O613:O614)</f>
        <v>0</v>
      </c>
      <c r="P615" s="2593">
        <f>SUM(K615:O615)</f>
        <v>35250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665</v>
      </c>
      <c r="M618" s="2818">
        <f>IF(OR(M514="",M514=0),"",M615/M514)</f>
        <v>850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12000</v>
      </c>
      <c r="L621" s="2549"/>
      <c r="Z621" s="1622">
        <v>68</v>
      </c>
    </row>
    <row r="622" spans="1:380" s="1819" customFormat="1" ht="13.35" customHeight="1">
      <c r="A622" s="2615"/>
      <c r="C622" s="377" t="s">
        <v>242</v>
      </c>
      <c r="K622" s="2549">
        <f>P615+K621</f>
        <v>47250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7489.2</v>
      </c>
      <c r="I626" s="2820"/>
      <c r="J626" s="2810" t="s">
        <v>6990</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25920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51100</v>
      </c>
      <c r="G668" s="2590"/>
      <c r="I668" s="359" t="s">
        <v>1300</v>
      </c>
      <c r="L668" s="2590">
        <f>'Part V-Revenues &amp; Expenses'!L221</f>
        <v>0</v>
      </c>
      <c r="M668" s="2590"/>
      <c r="O668" s="2599">
        <f>+Q667/(P514*0.93)</f>
        <v>580.64516129032256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32400</v>
      </c>
      <c r="G669" s="2590"/>
      <c r="I669" s="359" t="s">
        <v>1301</v>
      </c>
      <c r="L669" s="2590">
        <f>'Part V-Revenues &amp; Expenses'!L222</f>
        <v>3000</v>
      </c>
      <c r="M669" s="2590"/>
      <c r="O669" s="2599">
        <f>+Q667/(P514*0.93)/12</f>
        <v>48.387096774193544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3000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83500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268948</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v>
      </c>
      <c r="M676" s="2590"/>
      <c r="N676" s="2771"/>
      <c r="O676" s="2799" t="s">
        <v>2486</v>
      </c>
      <c r="P676" s="2599">
        <f>+Q675/P514</f>
        <v>5603.083333333333</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2000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216000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8000</v>
      </c>
      <c r="G678" s="2590"/>
      <c r="I678" s="1747"/>
      <c r="K678" s="2828" t="s">
        <v>184</v>
      </c>
      <c r="L678" s="2818">
        <f>SUM(L674:L677)</f>
        <v>8000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500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5150</v>
      </c>
      <c r="G681" s="2590"/>
      <c r="I681" s="1747" t="s">
        <v>1297</v>
      </c>
      <c r="K681" s="1622" t="s">
        <v>3884</v>
      </c>
      <c r="O681" s="1747" t="s">
        <v>3085</v>
      </c>
      <c r="P681" s="1747"/>
      <c r="Q681" s="2600">
        <f>'Part V-Revenues &amp; Expenses'!Q234</f>
        <v>12000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26.041666666666668</v>
      </c>
      <c r="L682" s="2590">
        <f>'Part V-Revenues &amp; Expenses'!L235</f>
        <v>15000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15650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5.9027777777777777</v>
      </c>
      <c r="L684" s="2590">
        <f>'Part V-Revenues &amp; Expenses'!L237</f>
        <v>3400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12.5</v>
      </c>
      <c r="L685" s="2590">
        <f>'Part V-Revenues &amp; Expenses'!L238</f>
        <v>7200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2400</v>
      </c>
      <c r="G686" s="2590"/>
      <c r="I686" s="359" t="s">
        <v>6993</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6000</v>
      </c>
      <c r="G687" s="2590"/>
      <c r="I687" s="2832" t="str">
        <f>'Part V-Revenues &amp; Expenses'!I240</f>
        <v>Cable TV &amp; Internet</v>
      </c>
      <c r="J687" s="2832"/>
      <c r="K687" s="2717">
        <f>L687/12/P514</f>
        <v>3.4722222222222219</v>
      </c>
      <c r="L687" s="2590">
        <f>'Part V-Revenues &amp; Expenses'!L240</f>
        <v>2000</v>
      </c>
      <c r="M687" s="2590"/>
      <c r="N687" s="2771"/>
      <c r="O687" s="2622" t="s">
        <v>3051</v>
      </c>
      <c r="P687" s="2837" t="str">
        <f>CONCATENATE(SUM(MK496:MO496)," units x $",'DCA Underwriting Assumptions'!$Q$29," =")</f>
        <v>48 units x $250 =</v>
      </c>
      <c r="Q687" s="2837">
        <f>'Part V-Revenues &amp; Expenses'!Q240</f>
        <v>12000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16000</v>
      </c>
      <c r="G688" s="2590"/>
      <c r="K688" s="2828" t="s">
        <v>184</v>
      </c>
      <c r="L688" s="2818">
        <f>SUM(L682:L687)</f>
        <v>27600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1200</v>
      </c>
      <c r="G690" s="2590"/>
      <c r="I690" s="1747" t="s">
        <v>1298</v>
      </c>
      <c r="O690" s="2788" t="s">
        <v>2467</v>
      </c>
      <c r="P690" s="2782">
        <f>'Part V-Revenues &amp; Expenses'!P243</f>
        <v>48</v>
      </c>
      <c r="Q690" s="2838">
        <f>SUM(Q686:Q689)</f>
        <v>12000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3500</v>
      </c>
      <c r="G691" s="2590"/>
      <c r="I691" s="359" t="s">
        <v>6994</v>
      </c>
      <c r="L691" s="2590">
        <f>'Part V-Revenues &amp; Expenses'!L244</f>
        <v>47037</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v>
      </c>
      <c r="G692" s="2590"/>
      <c r="I692" s="359" t="s">
        <v>140</v>
      </c>
      <c r="L692" s="2590">
        <f>'Part V-Revenues &amp; Expenses'!L245</f>
        <v>24641</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33600</v>
      </c>
      <c r="G694" s="2590"/>
      <c r="K694" s="2828" t="s">
        <v>184</v>
      </c>
      <c r="L694" s="2818">
        <f>SUM(L690:L693)</f>
        <v>71678</v>
      </c>
      <c r="M694" s="2818"/>
      <c r="O694" s="1747" t="s">
        <v>2030</v>
      </c>
      <c r="Q694" s="2818">
        <f>Q675+Q681</f>
        <v>280948</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Please see Tab 1 for the Real Estate Taxes and Insurance documentation.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Cusseta Crossing,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7500</v>
      </c>
      <c r="H713" s="2814" t="s">
        <v>1768</v>
      </c>
      <c r="K713" s="2842">
        <f>'Part VI-Pro Forma'!K6</f>
        <v>-2.1114106611644319E-2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7.2970352449842762E-2</v>
      </c>
    </row>
    <row r="716" spans="1:11" ht="13.8">
      <c r="A716" s="357" t="s">
        <v>2033</v>
      </c>
      <c r="B716" s="2841">
        <f>'Part VI-Pro Forma'!B9</f>
        <v>7.0000000000000007E-2</v>
      </c>
      <c r="C716" s="2615" t="str">
        <f>IF(B716&lt;0.07, "Must be &gt;= 7%!","")</f>
        <v/>
      </c>
      <c r="D716" s="359" t="s">
        <v>2307</v>
      </c>
      <c r="G716" s="2845" t="str">
        <f>'Part VI-Pro Forma'!G9</f>
        <v>Yes</v>
      </c>
      <c r="H716" s="2846" t="s">
        <v>1355</v>
      </c>
      <c r="K716" s="2604">
        <f>'Part VI-Pro Forma'!K9</f>
        <v>25920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374460</v>
      </c>
      <c r="C722" s="2606">
        <f>'Part VI-Pro Forma'!C15</f>
        <v>381949.2</v>
      </c>
      <c r="D722" s="2606">
        <f>'Part VI-Pro Forma'!D15</f>
        <v>389588.18400000001</v>
      </c>
      <c r="E722" s="2606">
        <f>'Part VI-Pro Forma'!E15</f>
        <v>397379.94767999998</v>
      </c>
      <c r="F722" s="2606">
        <f>'Part VI-Pro Forma'!F15</f>
        <v>405327.54663359997</v>
      </c>
      <c r="G722" s="2606">
        <f>'Part VI-Pro Forma'!G15</f>
        <v>413434.09756627202</v>
      </c>
      <c r="H722" s="2606">
        <f>'Part VI-Pro Forma'!H15</f>
        <v>421702.77951759746</v>
      </c>
      <c r="I722" s="2606">
        <f>'Part VI-Pro Forma'!I15</f>
        <v>430136.83510794933</v>
      </c>
      <c r="J722" s="2606">
        <f>'Part VI-Pro Forma'!J15</f>
        <v>438739.57181010832</v>
      </c>
      <c r="K722" s="2606">
        <f>'Part VI-Pro Forma'!K15</f>
        <v>447514.3632463105</v>
      </c>
    </row>
    <row r="723" spans="1:11">
      <c r="A723" s="357" t="s">
        <v>952</v>
      </c>
      <c r="B723" s="2606">
        <f>'Part VI-Pro Forma'!B16</f>
        <v>7489.2</v>
      </c>
      <c r="C723" s="2606">
        <f>'Part VI-Pro Forma'!C16</f>
        <v>7638.9840000000004</v>
      </c>
      <c r="D723" s="2606">
        <f>'Part VI-Pro Forma'!D16</f>
        <v>7791.76368</v>
      </c>
      <c r="E723" s="2606">
        <f>'Part VI-Pro Forma'!E16</f>
        <v>7947.5989535999988</v>
      </c>
      <c r="F723" s="2606">
        <f>'Part VI-Pro Forma'!F16</f>
        <v>8106.5509326719994</v>
      </c>
      <c r="G723" s="2606">
        <f>'Part VI-Pro Forma'!G16</f>
        <v>8268.6819513254395</v>
      </c>
      <c r="H723" s="2606">
        <f>'Part VI-Pro Forma'!H16</f>
        <v>8434.0555903519489</v>
      </c>
      <c r="I723" s="2606">
        <f>'Part VI-Pro Forma'!I16</f>
        <v>8602.7367021589871</v>
      </c>
      <c r="J723" s="2606">
        <f>'Part VI-Pro Forma'!J16</f>
        <v>8774.7914362021675</v>
      </c>
      <c r="K723" s="2606">
        <f>'Part VI-Pro Forma'!K16</f>
        <v>8950.2872649262099</v>
      </c>
    </row>
    <row r="724" spans="1:11">
      <c r="A724" s="357" t="s">
        <v>2216</v>
      </c>
      <c r="B724" s="2606">
        <f>'Part VI-Pro Forma'!B17</f>
        <v>-26736.444000000003</v>
      </c>
      <c r="C724" s="2606">
        <f>'Part VI-Pro Forma'!C17</f>
        <v>-27271.172880000002</v>
      </c>
      <c r="D724" s="2606">
        <f>'Part VI-Pro Forma'!D17</f>
        <v>-27816.5963376</v>
      </c>
      <c r="E724" s="2606">
        <f>'Part VI-Pro Forma'!E17</f>
        <v>-28372.928264352002</v>
      </c>
      <c r="F724" s="2606">
        <f>'Part VI-Pro Forma'!F17</f>
        <v>-28940.386829639039</v>
      </c>
      <c r="G724" s="2606">
        <f>'Part VI-Pro Forma'!G17</f>
        <v>-29519.194566231825</v>
      </c>
      <c r="H724" s="2606">
        <f>'Part VI-Pro Forma'!H17</f>
        <v>-30109.578457556461</v>
      </c>
      <c r="I724" s="2606">
        <f>'Part VI-Pro Forma'!I17</f>
        <v>-30711.770026707585</v>
      </c>
      <c r="J724" s="2606">
        <f>'Part VI-Pro Forma'!J17</f>
        <v>-31326.005427241736</v>
      </c>
      <c r="K724" s="2606">
        <f>'Part VI-Pro Forma'!K17</f>
        <v>-31952.525535786572</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355212.75599999999</v>
      </c>
      <c r="C727" s="2606">
        <f>'Part VI-Pro Forma'!C20</f>
        <v>362317.01111999998</v>
      </c>
      <c r="D727" s="2606">
        <f>'Part VI-Pro Forma'!D20</f>
        <v>369563.35134239995</v>
      </c>
      <c r="E727" s="2606">
        <f>'Part VI-Pro Forma'!E20</f>
        <v>376954.61836924794</v>
      </c>
      <c r="F727" s="2606">
        <f>'Part VI-Pro Forma'!F20</f>
        <v>384493.71073663293</v>
      </c>
      <c r="G727" s="2606">
        <f>'Part VI-Pro Forma'!G20</f>
        <v>392183.58495136566</v>
      </c>
      <c r="H727" s="2606">
        <f>'Part VI-Pro Forma'!H20</f>
        <v>400027.2566503929</v>
      </c>
      <c r="I727" s="2606">
        <f>'Part VI-Pro Forma'!I20</f>
        <v>408027.8017834007</v>
      </c>
      <c r="J727" s="2606">
        <f>'Part VI-Pro Forma'!J20</f>
        <v>416188.35781906877</v>
      </c>
      <c r="K727" s="2606">
        <f>'Part VI-Pro Forma'!K20</f>
        <v>424512.1249754501</v>
      </c>
    </row>
    <row r="728" spans="1:11">
      <c r="A728" s="357" t="s">
        <v>572</v>
      </c>
      <c r="B728" s="2606">
        <f>'Part VI-Pro Forma'!B21</f>
        <v>-243028</v>
      </c>
      <c r="C728" s="2606">
        <f>'Part VI-Pro Forma'!C21</f>
        <v>-250318.84</v>
      </c>
      <c r="D728" s="2606">
        <f>'Part VI-Pro Forma'!D21</f>
        <v>-257828.40519999998</v>
      </c>
      <c r="E728" s="2606">
        <f>'Part VI-Pro Forma'!E21</f>
        <v>-265563.25735600002</v>
      </c>
      <c r="F728" s="2606">
        <f>'Part VI-Pro Forma'!F21</f>
        <v>-273530.15507668001</v>
      </c>
      <c r="G728" s="2606">
        <f>'Part VI-Pro Forma'!G21</f>
        <v>-281736.05972898036</v>
      </c>
      <c r="H728" s="2606">
        <f>'Part VI-Pro Forma'!H21</f>
        <v>-290188.14152084978</v>
      </c>
      <c r="I728" s="2606">
        <f>'Part VI-Pro Forma'!I21</f>
        <v>-298893.78576647531</v>
      </c>
      <c r="J728" s="2606">
        <f>'Part VI-Pro Forma'!J21</f>
        <v>-307860.59933946951</v>
      </c>
      <c r="K728" s="2606">
        <f>'Part VI-Pro Forma'!K21</f>
        <v>-317096.41731965361</v>
      </c>
    </row>
    <row r="729" spans="1:11">
      <c r="A729" s="357" t="s">
        <v>1050</v>
      </c>
      <c r="B729" s="2606">
        <f>'Part VI-Pro Forma'!B22</f>
        <v>-25920</v>
      </c>
      <c r="C729" s="2606">
        <f>'Part VI-Pro Forma'!C22</f>
        <v>-26698</v>
      </c>
      <c r="D729" s="2606">
        <f>'Part VI-Pro Forma'!D22</f>
        <v>-27499</v>
      </c>
      <c r="E729" s="2606">
        <f>'Part VI-Pro Forma'!E22</f>
        <v>-28323</v>
      </c>
      <c r="F729" s="2606">
        <f>'Part VI-Pro Forma'!F22</f>
        <v>-29173</v>
      </c>
      <c r="G729" s="2606">
        <f>'Part VI-Pro Forma'!G22</f>
        <v>-30048</v>
      </c>
      <c r="H729" s="2606">
        <f>'Part VI-Pro Forma'!H22</f>
        <v>-30950</v>
      </c>
      <c r="I729" s="2606">
        <f>'Part VI-Pro Forma'!I22</f>
        <v>-31878</v>
      </c>
      <c r="J729" s="2606">
        <f>'Part VI-Pro Forma'!J22</f>
        <v>-32835</v>
      </c>
      <c r="K729" s="2606">
        <f>'Part VI-Pro Forma'!K22</f>
        <v>-33820</v>
      </c>
    </row>
    <row r="730" spans="1:11">
      <c r="A730" s="357" t="s">
        <v>1128</v>
      </c>
      <c r="B730" s="2606">
        <f>'Part VI-Pro Forma'!B23</f>
        <v>-12000</v>
      </c>
      <c r="C730" s="2606">
        <f>'Part VI-Pro Forma'!C23</f>
        <v>-12360</v>
      </c>
      <c r="D730" s="2606">
        <f>'Part VI-Pro Forma'!D23</f>
        <v>-12730.8</v>
      </c>
      <c r="E730" s="2606">
        <f>'Part VI-Pro Forma'!E23</f>
        <v>-13112.724</v>
      </c>
      <c r="F730" s="2606">
        <f>'Part VI-Pro Forma'!F23</f>
        <v>-13506.10572</v>
      </c>
      <c r="G730" s="2606">
        <f>'Part VI-Pro Forma'!G23</f>
        <v>-13911.288891599997</v>
      </c>
      <c r="H730" s="2606">
        <f>'Part VI-Pro Forma'!H23</f>
        <v>-14328.627558347998</v>
      </c>
      <c r="I730" s="2606">
        <f>'Part VI-Pro Forma'!I23</f>
        <v>-14758.48638509844</v>
      </c>
      <c r="J730" s="2606">
        <f>'Part VI-Pro Forma'!J23</f>
        <v>-15201.240976651392</v>
      </c>
      <c r="K730" s="2606">
        <f>'Part VI-Pro Forma'!K23</f>
        <v>-15657.278205950934</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74264.755999999994</v>
      </c>
      <c r="C732" s="2606">
        <f t="shared" ref="C732:J732" si="377">SUM(C727:C731)</f>
        <v>72940.171119999985</v>
      </c>
      <c r="D732" s="2606">
        <f t="shared" si="377"/>
        <v>71505.146142399972</v>
      </c>
      <c r="E732" s="2606">
        <f t="shared" si="377"/>
        <v>69955.637013247921</v>
      </c>
      <c r="F732" s="2606">
        <f t="shared" si="377"/>
        <v>68284.44993995293</v>
      </c>
      <c r="G732" s="2606">
        <f t="shared" si="377"/>
        <v>66488.236330785308</v>
      </c>
      <c r="H732" s="2606">
        <f t="shared" si="377"/>
        <v>64560.487571195117</v>
      </c>
      <c r="I732" s="2606">
        <f t="shared" si="377"/>
        <v>62497.529631826954</v>
      </c>
      <c r="J732" s="2606">
        <f t="shared" si="377"/>
        <v>60291.517502947871</v>
      </c>
      <c r="K732" s="2606">
        <f>SUM(K727:K731)</f>
        <v>57938.429449845557</v>
      </c>
    </row>
    <row r="733" spans="1:11">
      <c r="A733" s="357" t="s">
        <v>1486</v>
      </c>
      <c r="B733" s="2606">
        <f>'Part VI-Pro Forma'!B26</f>
        <v>0</v>
      </c>
      <c r="C733" s="2606">
        <f>'Part VI-Pro Forma'!C26</f>
        <v>0</v>
      </c>
      <c r="D733" s="2606">
        <f>'Part VI-Pro Forma'!D26</f>
        <v>0</v>
      </c>
      <c r="E733" s="2606">
        <f>'Part VI-Pro Forma'!E26</f>
        <v>0</v>
      </c>
      <c r="F733" s="2606">
        <f>'Part VI-Pro Forma'!F26</f>
        <v>0</v>
      </c>
      <c r="G733" s="2606">
        <f>'Part VI-Pro Forma'!G26</f>
        <v>0</v>
      </c>
      <c r="H733" s="2606">
        <f>'Part VI-Pro Forma'!H26</f>
        <v>0</v>
      </c>
      <c r="I733" s="2606">
        <f>'Part VI-Pro Forma'!I26</f>
        <v>0</v>
      </c>
      <c r="J733" s="2606">
        <f>'Part VI-Pro Forma'!J26</f>
        <v>0</v>
      </c>
      <c r="K733" s="2606">
        <f>'Part VI-Pro Forma'!K26</f>
        <v>0</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3362</v>
      </c>
      <c r="B739" s="2606">
        <f>'Part VI-Pro Forma'!B32</f>
        <v>-37949</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28815.755999999994</v>
      </c>
      <c r="C740" s="2606">
        <f t="shared" si="378"/>
        <v>65440.171119999985</v>
      </c>
      <c r="D740" s="2606">
        <f t="shared" si="378"/>
        <v>64005.146142399972</v>
      </c>
      <c r="E740" s="2606">
        <f t="shared" si="378"/>
        <v>62455.637013247921</v>
      </c>
      <c r="F740" s="2606">
        <f t="shared" si="378"/>
        <v>60784.44993995293</v>
      </c>
      <c r="G740" s="2606">
        <f t="shared" si="378"/>
        <v>58988.236330785308</v>
      </c>
      <c r="H740" s="2606">
        <f t="shared" si="378"/>
        <v>57060.487571195117</v>
      </c>
      <c r="I740" s="2606">
        <f t="shared" si="378"/>
        <v>54997.529631826954</v>
      </c>
      <c r="J740" s="2606">
        <f t="shared" si="378"/>
        <v>52791.517502947871</v>
      </c>
      <c r="K740" s="2606">
        <f t="shared" si="378"/>
        <v>50438.429449845557</v>
      </c>
    </row>
    <row r="741" spans="1:11">
      <c r="A741" s="357" t="str">
        <f>IF('Part II-Sources of Funds'!$E$40 = "Neither", "", "DCR Mortgage A")</f>
        <v>DCR Mortgage A</v>
      </c>
      <c r="B741" s="2607" t="str">
        <f t="shared" ref="B741:K741" si="379">IF(B733=0,"",-B732/B733)</f>
        <v/>
      </c>
      <c r="C741" s="2607" t="str">
        <f t="shared" si="379"/>
        <v/>
      </c>
      <c r="D741" s="2607" t="str">
        <f t="shared" si="379"/>
        <v/>
      </c>
      <c r="E741" s="2607" t="str">
        <f t="shared" si="379"/>
        <v/>
      </c>
      <c r="F741" s="2607" t="str">
        <f t="shared" si="379"/>
        <v/>
      </c>
      <c r="G741" s="2607" t="str">
        <f t="shared" si="379"/>
        <v/>
      </c>
      <c r="H741" s="2607" t="str">
        <f t="shared" si="379"/>
        <v/>
      </c>
      <c r="I741" s="2607" t="str">
        <f t="shared" si="379"/>
        <v/>
      </c>
      <c r="J741" s="2607" t="str">
        <f t="shared" si="379"/>
        <v/>
      </c>
      <c r="K741" s="2607" t="str">
        <f t="shared" si="379"/>
        <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t="str">
        <f t="shared" ref="B745:K745" si="383">IF(AND(B733=0,B734=0,B735=0,B736=0),"",-B732/(B733+B734+B735+B736))</f>
        <v/>
      </c>
      <c r="C745" s="2607" t="str">
        <f t="shared" si="383"/>
        <v/>
      </c>
      <c r="D745" s="2607" t="str">
        <f t="shared" si="383"/>
        <v/>
      </c>
      <c r="E745" s="2607" t="str">
        <f t="shared" si="383"/>
        <v/>
      </c>
      <c r="F745" s="2607" t="str">
        <f t="shared" si="383"/>
        <v/>
      </c>
      <c r="G745" s="2607" t="str">
        <f t="shared" si="383"/>
        <v/>
      </c>
      <c r="H745" s="2607" t="str">
        <f t="shared" si="383"/>
        <v/>
      </c>
      <c r="I745" s="2607" t="str">
        <f t="shared" si="383"/>
        <v/>
      </c>
      <c r="J745" s="2607" t="str">
        <f t="shared" si="383"/>
        <v/>
      </c>
      <c r="K745" s="2607" t="str">
        <f t="shared" si="383"/>
        <v/>
      </c>
    </row>
    <row r="746" spans="1:11">
      <c r="A746" s="357" t="s">
        <v>718</v>
      </c>
      <c r="B746" s="2608">
        <f t="shared" ref="B746:K746" si="384">IF(OR(B729="Choose mgt fee",B729="Choose One!"),"",(B722+B723+B724+B725+B726) / -(B728+B729+B730))</f>
        <v>1.2643363042271167</v>
      </c>
      <c r="C746" s="2608">
        <f t="shared" si="384"/>
        <v>1.2520594637774054</v>
      </c>
      <c r="D746" s="2608">
        <f t="shared" si="384"/>
        <v>1.2399032970570945</v>
      </c>
      <c r="E746" s="2608">
        <f t="shared" si="384"/>
        <v>1.2278692805567537</v>
      </c>
      <c r="F746" s="2608">
        <f t="shared" si="384"/>
        <v>1.2159470275092901</v>
      </c>
      <c r="G746" s="2608">
        <f t="shared" si="384"/>
        <v>1.2041424190194407</v>
      </c>
      <c r="H746" s="2608">
        <f t="shared" si="384"/>
        <v>1.1924497253435959</v>
      </c>
      <c r="I746" s="2608">
        <f t="shared" si="384"/>
        <v>1.1808742523271918</v>
      </c>
      <c r="J746" s="2608">
        <f t="shared" si="384"/>
        <v>1.1694072851262032</v>
      </c>
      <c r="K746" s="2608">
        <f t="shared" si="384"/>
        <v>1.1580539742950504</v>
      </c>
    </row>
    <row r="747" spans="1:11">
      <c r="A747" s="357" t="s">
        <v>2405</v>
      </c>
      <c r="B747" s="2606" t="str">
        <f>'Part VI-Pro Forma'!B40</f>
        <v/>
      </c>
      <c r="C747" s="2606" t="str">
        <f>'Part VI-Pro Forma'!C40</f>
        <v/>
      </c>
      <c r="D747" s="2606" t="str">
        <f>'Part VI-Pro Forma'!D40</f>
        <v/>
      </c>
      <c r="E747" s="2606" t="str">
        <f>'Part VI-Pro Forma'!E40</f>
        <v/>
      </c>
      <c r="F747" s="2606" t="str">
        <f>'Part VI-Pro Forma'!F40</f>
        <v/>
      </c>
      <c r="G747" s="2606" t="str">
        <f>'Part VI-Pro Forma'!G40</f>
        <v/>
      </c>
      <c r="H747" s="2606" t="str">
        <f>'Part VI-Pro Forma'!H40</f>
        <v/>
      </c>
      <c r="I747" s="2606" t="str">
        <f>'Part VI-Pro Forma'!I40</f>
        <v/>
      </c>
      <c r="J747" s="2606" t="str">
        <f>'Part VI-Pro Forma'!J40</f>
        <v/>
      </c>
      <c r="K747" s="2606" t="str">
        <f>'Part VI-Pro Forma'!K40</f>
        <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456464.65051123674</v>
      </c>
      <c r="C754" s="2606">
        <f>'Part VI-Pro Forma'!C47</f>
        <v>465593.94352146139</v>
      </c>
      <c r="D754" s="2606">
        <f>'Part VI-Pro Forma'!D47</f>
        <v>474905.82239189069</v>
      </c>
      <c r="E754" s="2606">
        <f>'Part VI-Pro Forma'!E47</f>
        <v>484403.93883972848</v>
      </c>
      <c r="F754" s="2606">
        <f>'Part VI-Pro Forma'!F47</f>
        <v>494092.01761652308</v>
      </c>
      <c r="G754" s="2606">
        <f>'Part VI-Pro Forma'!G47</f>
        <v>503973.85796885344</v>
      </c>
      <c r="H754" s="2606">
        <f>'Part VI-Pro Forma'!H47</f>
        <v>514053.33512823057</v>
      </c>
      <c r="I754" s="2606">
        <f>'Part VI-Pro Forma'!I47</f>
        <v>524334.40183079522</v>
      </c>
      <c r="J754" s="2606">
        <f>'Part VI-Pro Forma'!J47</f>
        <v>534821.08986741106</v>
      </c>
      <c r="K754" s="2606">
        <f>'Part VI-Pro Forma'!K47</f>
        <v>545517.51166475925</v>
      </c>
    </row>
    <row r="755" spans="1:11">
      <c r="A755" s="357" t="s">
        <v>952</v>
      </c>
      <c r="B755" s="2606">
        <f>'Part VI-Pro Forma'!B48</f>
        <v>9129.2930102247356</v>
      </c>
      <c r="C755" s="2606">
        <f>'Part VI-Pro Forma'!C48</f>
        <v>9311.8788704292274</v>
      </c>
      <c r="D755" s="2606">
        <f>'Part VI-Pro Forma'!D48</f>
        <v>9498.1164478378141</v>
      </c>
      <c r="E755" s="2606">
        <f>'Part VI-Pro Forma'!E48</f>
        <v>9688.0787767945694</v>
      </c>
      <c r="F755" s="2606">
        <f>'Part VI-Pro Forma'!F48</f>
        <v>9881.8403523304623</v>
      </c>
      <c r="G755" s="2606">
        <f>'Part VI-Pro Forma'!G48</f>
        <v>10079.477159377067</v>
      </c>
      <c r="H755" s="2606">
        <f>'Part VI-Pro Forma'!H48</f>
        <v>10281.066702564611</v>
      </c>
      <c r="I755" s="2606">
        <f>'Part VI-Pro Forma'!I48</f>
        <v>10486.688036615904</v>
      </c>
      <c r="J755" s="2606">
        <f>'Part VI-Pro Forma'!J48</f>
        <v>10696.421797348221</v>
      </c>
      <c r="K755" s="2606">
        <f>'Part VI-Pro Forma'!K48</f>
        <v>10910.350233295185</v>
      </c>
    </row>
    <row r="756" spans="1:11">
      <c r="A756" s="357" t="s">
        <v>2216</v>
      </c>
      <c r="B756" s="2606">
        <f>'Part VI-Pro Forma'!B49</f>
        <v>-32591.576046502309</v>
      </c>
      <c r="C756" s="2606">
        <f>'Part VI-Pro Forma'!C49</f>
        <v>-33243.407567432347</v>
      </c>
      <c r="D756" s="2606">
        <f>'Part VI-Pro Forma'!D49</f>
        <v>-33908.275718780998</v>
      </c>
      <c r="E756" s="2606">
        <f>'Part VI-Pro Forma'!E49</f>
        <v>-34586.441233156613</v>
      </c>
      <c r="F756" s="2606">
        <f>'Part VI-Pro Forma'!F49</f>
        <v>-35278.170057819749</v>
      </c>
      <c r="G756" s="2606">
        <f>'Part VI-Pro Forma'!G49</f>
        <v>-35983.733458976138</v>
      </c>
      <c r="H756" s="2606">
        <f>'Part VI-Pro Forma'!H49</f>
        <v>-36703.408128155672</v>
      </c>
      <c r="I756" s="2606">
        <f>'Part VI-Pro Forma'!I49</f>
        <v>-37437.476290718783</v>
      </c>
      <c r="J756" s="2606">
        <f>'Part VI-Pro Forma'!J49</f>
        <v>-38186.225816533151</v>
      </c>
      <c r="K756" s="2606">
        <f>'Part VI-Pro Forma'!K49</f>
        <v>-38949.950332863817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433002.36747495917</v>
      </c>
      <c r="C759" s="2606">
        <f>'Part VI-Pro Forma'!C52</f>
        <v>441662.4148244583</v>
      </c>
      <c r="D759" s="2606">
        <f>'Part VI-Pro Forma'!D52</f>
        <v>450495.66312094749</v>
      </c>
      <c r="E759" s="2606">
        <f>'Part VI-Pro Forma'!E52</f>
        <v>459505.57638336642</v>
      </c>
      <c r="F759" s="2606">
        <f>'Part VI-Pro Forma'!F52</f>
        <v>468695.6879110338</v>
      </c>
      <c r="G759" s="2606">
        <f>'Part VI-Pro Forma'!G52</f>
        <v>478069.60166925436</v>
      </c>
      <c r="H759" s="2606">
        <f>'Part VI-Pro Forma'!H52</f>
        <v>487630.99370263953</v>
      </c>
      <c r="I759" s="2606">
        <f>'Part VI-Pro Forma'!I52</f>
        <v>497383.61357669241</v>
      </c>
      <c r="J759" s="2606">
        <f>'Part VI-Pro Forma'!J52</f>
        <v>507331.28584822611</v>
      </c>
      <c r="K759" s="2606">
        <f>'Part VI-Pro Forma'!K52</f>
        <v>517477.91156519065</v>
      </c>
    </row>
    <row r="760" spans="1:11">
      <c r="A760" s="357" t="s">
        <v>572</v>
      </c>
      <c r="B760" s="2606">
        <f>'Part VI-Pro Forma'!B53</f>
        <v>-326609.30983924324</v>
      </c>
      <c r="C760" s="2606">
        <f>'Part VI-Pro Forma'!C53</f>
        <v>-336407.58913442056</v>
      </c>
      <c r="D760" s="2606">
        <f>'Part VI-Pro Forma'!D53</f>
        <v>-346499.81680845312</v>
      </c>
      <c r="E760" s="2606">
        <f>'Part VI-Pro Forma'!E53</f>
        <v>-356894.81131270668</v>
      </c>
      <c r="F760" s="2606">
        <f>'Part VI-Pro Forma'!F53</f>
        <v>-367601.65565208794</v>
      </c>
      <c r="G760" s="2606">
        <f>'Part VI-Pro Forma'!G53</f>
        <v>-378629.7053216506</v>
      </c>
      <c r="H760" s="2606">
        <f>'Part VI-Pro Forma'!H53</f>
        <v>-389988.59648130002</v>
      </c>
      <c r="I760" s="2606">
        <f>'Part VI-Pro Forma'!I53</f>
        <v>-401688.25437573902</v>
      </c>
      <c r="J760" s="2606">
        <f>'Part VI-Pro Forma'!J53</f>
        <v>-413738.90200701123</v>
      </c>
      <c r="K760" s="2606">
        <f>'Part VI-Pro Forma'!K53</f>
        <v>-426151.06906722154</v>
      </c>
    </row>
    <row r="761" spans="1:11">
      <c r="A761" s="357" t="s">
        <v>1050</v>
      </c>
      <c r="B761" s="2606">
        <f>'Part VI-Pro Forma'!B54</f>
        <v>-34834</v>
      </c>
      <c r="C761" s="2606">
        <f>'Part VI-Pro Forma'!C54</f>
        <v>-35879</v>
      </c>
      <c r="D761" s="2606">
        <f>'Part VI-Pro Forma'!D54</f>
        <v>-36956</v>
      </c>
      <c r="E761" s="2606">
        <f>'Part VI-Pro Forma'!E54</f>
        <v>-38064</v>
      </c>
      <c r="F761" s="2606">
        <f>'Part VI-Pro Forma'!F54</f>
        <v>-39206</v>
      </c>
      <c r="G761" s="2606">
        <f>'Part VI-Pro Forma'!G54</f>
        <v>-40383</v>
      </c>
      <c r="H761" s="2606">
        <f>'Part VI-Pro Forma'!H54</f>
        <v>-41594</v>
      </c>
      <c r="I761" s="2606">
        <f>'Part VI-Pro Forma'!I54</f>
        <v>-42842</v>
      </c>
      <c r="J761" s="2606">
        <f>'Part VI-Pro Forma'!J54</f>
        <v>-44127</v>
      </c>
      <c r="K761" s="2606">
        <f>'Part VI-Pro Forma'!K54</f>
        <v>-45451</v>
      </c>
    </row>
    <row r="762" spans="1:11">
      <c r="A762" s="357" t="s">
        <v>1128</v>
      </c>
      <c r="B762" s="2606">
        <f>'Part VI-Pro Forma'!B55</f>
        <v>-16126.996552129462</v>
      </c>
      <c r="C762" s="2606">
        <f>'Part VI-Pro Forma'!C55</f>
        <v>-16610.806448693347</v>
      </c>
      <c r="D762" s="2606">
        <f>'Part VI-Pro Forma'!D55</f>
        <v>-17109.130642154145</v>
      </c>
      <c r="E762" s="2606">
        <f>'Part VI-Pro Forma'!E55</f>
        <v>-17622.404561418767</v>
      </c>
      <c r="F762" s="2606">
        <f>'Part VI-Pro Forma'!F55</f>
        <v>-18151.076698261331</v>
      </c>
      <c r="G762" s="2606">
        <f>'Part VI-Pro Forma'!G55</f>
        <v>-18695.608999209173</v>
      </c>
      <c r="H762" s="2606">
        <f>'Part VI-Pro Forma'!H55</f>
        <v>-19256.477269185445</v>
      </c>
      <c r="I762" s="2606">
        <f>'Part VI-Pro Forma'!I55</f>
        <v>-19834.171587261008</v>
      </c>
      <c r="J762" s="2606">
        <f>'Part VI-Pro Forma'!J55</f>
        <v>-20429.196734878838</v>
      </c>
      <c r="K762" s="2606">
        <f>'Part VI-Pro Forma'!K55</f>
        <v>-21042.072636925204</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55432.061083586465</v>
      </c>
      <c r="C764" s="2606">
        <f t="shared" si="386"/>
        <v>52765.019241344402</v>
      </c>
      <c r="D764" s="2606">
        <f t="shared" si="386"/>
        <v>49930.715670340222</v>
      </c>
      <c r="E764" s="2606">
        <f t="shared" si="386"/>
        <v>46924.360509240985</v>
      </c>
      <c r="F764" s="2606">
        <f t="shared" si="386"/>
        <v>43736.955560684539</v>
      </c>
      <c r="G764" s="2606">
        <f t="shared" si="386"/>
        <v>40361.287348394588</v>
      </c>
      <c r="H764" s="2606">
        <f t="shared" si="386"/>
        <v>36791.919952154072</v>
      </c>
      <c r="I764" s="2606">
        <f t="shared" si="386"/>
        <v>33019.187613692382</v>
      </c>
      <c r="J764" s="2606">
        <f t="shared" si="386"/>
        <v>29036.187106336038</v>
      </c>
      <c r="K764" s="2606">
        <f t="shared" si="386"/>
        <v>24833.7698610439</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47932.061083586465</v>
      </c>
      <c r="C772" s="2606">
        <f t="shared" si="387"/>
        <v>45265.019241344402</v>
      </c>
      <c r="D772" s="2606">
        <f t="shared" si="387"/>
        <v>42430.715670340222</v>
      </c>
      <c r="E772" s="2606">
        <f t="shared" si="387"/>
        <v>39424.360509240985</v>
      </c>
      <c r="F772" s="2606">
        <f t="shared" si="387"/>
        <v>36236.955560684539</v>
      </c>
      <c r="G772" s="2606">
        <f t="shared" si="387"/>
        <v>32861.287348394588</v>
      </c>
      <c r="H772" s="2606">
        <f t="shared" si="387"/>
        <v>29291.919952154072</v>
      </c>
      <c r="I772" s="2606">
        <f t="shared" si="387"/>
        <v>25519.187613692382</v>
      </c>
      <c r="J772" s="2606">
        <f t="shared" si="387"/>
        <v>21536.187106336038</v>
      </c>
      <c r="K772" s="2606">
        <f t="shared" si="387"/>
        <v>17333.7698610439</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1.146812554232292</v>
      </c>
      <c r="C778" s="2608">
        <f t="shared" si="393"/>
        <v>1.1356785101690599</v>
      </c>
      <c r="D778" s="2608">
        <f t="shared" si="393"/>
        <v>1.1246507363865059</v>
      </c>
      <c r="E778" s="2608">
        <f t="shared" si="393"/>
        <v>1.113733632806873</v>
      </c>
      <c r="F778" s="2608">
        <f t="shared" si="393"/>
        <v>1.1029204772867838</v>
      </c>
      <c r="G778" s="2608">
        <f t="shared" si="393"/>
        <v>1.0922104653438407</v>
      </c>
      <c r="H778" s="2608">
        <f t="shared" si="393"/>
        <v>1.0816076558007401</v>
      </c>
      <c r="I778" s="2608">
        <f t="shared" si="393"/>
        <v>1.0711061954093859</v>
      </c>
      <c r="J778" s="2608">
        <f t="shared" si="393"/>
        <v>1.0607076827312532</v>
      </c>
      <c r="K778" s="2608">
        <f t="shared" si="393"/>
        <v>1.0504091447736277</v>
      </c>
    </row>
    <row r="779" spans="1:11">
      <c r="A779" s="357" t="s">
        <v>2405</v>
      </c>
      <c r="B779" s="2606" t="str">
        <f>'Part VI-Pro Forma'!B72</f>
        <v/>
      </c>
      <c r="C779" s="2606" t="str">
        <f>'Part VI-Pro Forma'!C72</f>
        <v/>
      </c>
      <c r="D779" s="2606" t="str">
        <f>'Part VI-Pro Forma'!D72</f>
        <v/>
      </c>
      <c r="E779" s="2606" t="str">
        <f>'Part VI-Pro Forma'!E72</f>
        <v/>
      </c>
      <c r="F779" s="2606" t="str">
        <f>'Part VI-Pro Forma'!F72</f>
        <v/>
      </c>
      <c r="G779" s="2606" t="str">
        <f>'Part VI-Pro Forma'!G72</f>
        <v/>
      </c>
      <c r="H779" s="2606" t="str">
        <f>'Part VI-Pro Forma'!H72</f>
        <v/>
      </c>
      <c r="I779" s="2606" t="str">
        <f>'Part VI-Pro Forma'!I72</f>
        <v/>
      </c>
      <c r="J779" s="2606" t="str">
        <f>'Part VI-Pro Forma'!J72</f>
        <v/>
      </c>
      <c r="K779" s="2606" t="str">
        <f>'Part VI-Pro Forma'!K72</f>
        <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556427.86189805449</v>
      </c>
      <c r="C786" s="2606">
        <f>'Part VI-Pro Forma'!C79</f>
        <v>567556.41913601558</v>
      </c>
      <c r="D786" s="2606">
        <f>'Part VI-Pro Forma'!D79</f>
        <v>578907.54751873587</v>
      </c>
      <c r="E786" s="2606">
        <f>'Part VI-Pro Forma'!E79</f>
        <v>590485.69846911053</v>
      </c>
      <c r="F786" s="2606">
        <f>'Part VI-Pro Forma'!F79</f>
        <v>602295.41243849276</v>
      </c>
      <c r="G786" s="2606">
        <f>'Part VI-Pro Forma'!G79</f>
        <v>614341.32068726257</v>
      </c>
      <c r="H786" s="2606">
        <f>'Part VI-Pro Forma'!H79</f>
        <v>626628.14710100798</v>
      </c>
      <c r="I786" s="2606">
        <f>'Part VI-Pro Forma'!I79</f>
        <v>639160.710043028</v>
      </c>
      <c r="J786" s="2606">
        <f>'Part VI-Pro Forma'!J79</f>
        <v>651943.9242438887</v>
      </c>
      <c r="K786" s="2606">
        <f>'Part VI-Pro Forma'!K79</f>
        <v>664982.80272876634</v>
      </c>
    </row>
    <row r="787" spans="1:11">
      <c r="A787" s="357" t="s">
        <v>952</v>
      </c>
      <c r="B787" s="2606">
        <f>'Part VI-Pro Forma'!B80</f>
        <v>11128.557237961089</v>
      </c>
      <c r="C787" s="2606">
        <f>'Part VI-Pro Forma'!C80</f>
        <v>11351.128382720311</v>
      </c>
      <c r="D787" s="2606">
        <f>'Part VI-Pro Forma'!D80</f>
        <v>11578.150950374718</v>
      </c>
      <c r="E787" s="2606">
        <f>'Part VI-Pro Forma'!E80</f>
        <v>11809.71396938221</v>
      </c>
      <c r="F787" s="2606">
        <f>'Part VI-Pro Forma'!F80</f>
        <v>12045.908248769854</v>
      </c>
      <c r="G787" s="2606">
        <f>'Part VI-Pro Forma'!G80</f>
        <v>12286.826413745252</v>
      </c>
      <c r="H787" s="2606">
        <f>'Part VI-Pro Forma'!H80</f>
        <v>12532.562942020159</v>
      </c>
      <c r="I787" s="2606">
        <f>'Part VI-Pro Forma'!I80</f>
        <v>12783.214200860559</v>
      </c>
      <c r="J787" s="2606">
        <f>'Part VI-Pro Forma'!J80</f>
        <v>13038.878484877774</v>
      </c>
      <c r="K787" s="2606">
        <f>'Part VI-Pro Forma'!K80</f>
        <v>13299.656054575327</v>
      </c>
    </row>
    <row r="788" spans="1:11">
      <c r="A788" s="357" t="s">
        <v>2216</v>
      </c>
      <c r="B788" s="2606">
        <f>'Part VI-Pro Forma'!B81</f>
        <v>-39728.949339521096</v>
      </c>
      <c r="C788" s="2606">
        <f>'Part VI-Pro Forma'!C81</f>
        <v>-40523.528326311513</v>
      </c>
      <c r="D788" s="2606">
        <f>'Part VI-Pro Forma'!D81</f>
        <v>-41333.998892837742</v>
      </c>
      <c r="E788" s="2606">
        <f>'Part VI-Pro Forma'!E81</f>
        <v>-42160.678870694494</v>
      </c>
      <c r="F788" s="2606">
        <f>'Part VI-Pro Forma'!F81</f>
        <v>-43003.892448108381</v>
      </c>
      <c r="G788" s="2606">
        <f>'Part VI-Pro Forma'!G81</f>
        <v>-43863.970297070555</v>
      </c>
      <c r="H788" s="2606">
        <f>'Part VI-Pro Forma'!H81</f>
        <v>-44741.24970301197</v>
      </c>
      <c r="I788" s="2606">
        <f>'Part VI-Pro Forma'!I81</f>
        <v>-45636.074697072203</v>
      </c>
      <c r="J788" s="2606">
        <f>'Part VI-Pro Forma'!J81</f>
        <v>-46548.796191013658</v>
      </c>
      <c r="K788" s="2606">
        <f>'Part VI-Pro Forma'!K81</f>
        <v>-47479.772114833926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527827.46979649446</v>
      </c>
      <c r="C791" s="2606">
        <f>'Part VI-Pro Forma'!C84</f>
        <v>538384.01919242437</v>
      </c>
      <c r="D791" s="2606">
        <f>'Part VI-Pro Forma'!D84</f>
        <v>549151.69957627275</v>
      </c>
      <c r="E791" s="2606">
        <f>'Part VI-Pro Forma'!E84</f>
        <v>560134.73356779828</v>
      </c>
      <c r="F791" s="2606">
        <f>'Part VI-Pro Forma'!F84</f>
        <v>571337.42823915416</v>
      </c>
      <c r="G791" s="2606">
        <f>'Part VI-Pro Forma'!G84</f>
        <v>582764.1768039373</v>
      </c>
      <c r="H791" s="2606">
        <f>'Part VI-Pro Forma'!H84</f>
        <v>594419.46034001617</v>
      </c>
      <c r="I791" s="2606">
        <f>'Part VI-Pro Forma'!I84</f>
        <v>606307.84954681643</v>
      </c>
      <c r="J791" s="2606">
        <f>'Part VI-Pro Forma'!J84</f>
        <v>618434.00653775281</v>
      </c>
      <c r="K791" s="2606">
        <f>'Part VI-Pro Forma'!K84</f>
        <v>630802.68666850775</v>
      </c>
    </row>
    <row r="792" spans="1:11">
      <c r="A792" s="357" t="s">
        <v>572</v>
      </c>
      <c r="B792" s="2606">
        <f>'Part VI-Pro Forma'!B85</f>
        <v>-438935.60113923816</v>
      </c>
      <c r="C792" s="2606">
        <f>'Part VI-Pro Forma'!C85</f>
        <v>-452103.66917341523</v>
      </c>
      <c r="D792" s="2606">
        <f>'Part VI-Pro Forma'!D85</f>
        <v>-465666.77924861776</v>
      </c>
      <c r="E792" s="2606">
        <f>'Part VI-Pro Forma'!E85</f>
        <v>-479636.78262607631</v>
      </c>
      <c r="F792" s="2606">
        <f>'Part VI-Pro Forma'!F85</f>
        <v>-494025.88610485854</v>
      </c>
      <c r="G792" s="2606">
        <f>'Part VI-Pro Forma'!G85</f>
        <v>-508846.66268800426</v>
      </c>
      <c r="H792" s="2606">
        <f>'Part VI-Pro Forma'!H85</f>
        <v>-524112.06256864447</v>
      </c>
      <c r="I792" s="2606">
        <f>'Part VI-Pro Forma'!I85</f>
        <v>-539835.42444570374</v>
      </c>
      <c r="J792" s="2606">
        <f>'Part VI-Pro Forma'!J85</f>
        <v>-556030.4871790749</v>
      </c>
      <c r="K792" s="2606">
        <f>'Part VI-Pro Forma'!K85</f>
        <v>-572711.4017944471</v>
      </c>
    </row>
    <row r="793" spans="1:11">
      <c r="A793" s="357" t="s">
        <v>1050</v>
      </c>
      <c r="B793" s="2606">
        <f>'Part VI-Pro Forma'!B86</f>
        <v>-46814</v>
      </c>
      <c r="C793" s="2606">
        <f>'Part VI-Pro Forma'!C86</f>
        <v>-48219</v>
      </c>
      <c r="D793" s="2606">
        <f>'Part VI-Pro Forma'!D86</f>
        <v>-49665</v>
      </c>
      <c r="E793" s="2606">
        <f>'Part VI-Pro Forma'!E86</f>
        <v>-51155</v>
      </c>
      <c r="F793" s="2606">
        <f>'Part VI-Pro Forma'!F86</f>
        <v>-52690</v>
      </c>
      <c r="G793" s="2606">
        <f>'Part VI-Pro Forma'!G86</f>
        <v>-54271</v>
      </c>
      <c r="H793" s="2606">
        <f>'Part VI-Pro Forma'!H86</f>
        <v>-55899</v>
      </c>
      <c r="I793" s="2606">
        <f>'Part VI-Pro Forma'!I86</f>
        <v>-57576</v>
      </c>
      <c r="J793" s="2606">
        <f>'Part VI-Pro Forma'!J86</f>
        <v>-59303</v>
      </c>
      <c r="K793" s="2606">
        <f>'Part VI-Pro Forma'!K86</f>
        <v>-61082</v>
      </c>
    </row>
    <row r="794" spans="1:11">
      <c r="A794" s="357" t="s">
        <v>1128</v>
      </c>
      <c r="B794" s="2606">
        <f>'Part VI-Pro Forma'!B87</f>
        <v>-21673.334816032959</v>
      </c>
      <c r="C794" s="2606">
        <f>'Part VI-Pro Forma'!C87</f>
        <v>-22323.534860513944</v>
      </c>
      <c r="D794" s="2606">
        <f>'Part VI-Pro Forma'!D87</f>
        <v>-22993.240906329367</v>
      </c>
      <c r="E794" s="2606">
        <f>'Part VI-Pro Forma'!E87</f>
        <v>-23683.038133519247</v>
      </c>
      <c r="F794" s="2606">
        <f>'Part VI-Pro Forma'!F87</f>
        <v>-24393.529277524824</v>
      </c>
      <c r="G794" s="2606">
        <f>'Part VI-Pro Forma'!G87</f>
        <v>-25125.335155850567</v>
      </c>
      <c r="H794" s="2606">
        <f>'Part VI-Pro Forma'!H87</f>
        <v>-25879.095210526088</v>
      </c>
      <c r="I794" s="2606">
        <f>'Part VI-Pro Forma'!I87</f>
        <v>-26655.468066841866</v>
      </c>
      <c r="J794" s="2606">
        <f>'Part VI-Pro Forma'!J87</f>
        <v>-27455.132108847123</v>
      </c>
      <c r="K794" s="2606">
        <f>'Part VI-Pro Forma'!K87</f>
        <v>-28278.786072112533</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20404.533841223343</v>
      </c>
      <c r="C796" s="2606">
        <f t="shared" si="395"/>
        <v>15737.815158495199</v>
      </c>
      <c r="D796" s="2606">
        <f t="shared" si="395"/>
        <v>10826.679421325614</v>
      </c>
      <c r="E796" s="2606">
        <f t="shared" si="395"/>
        <v>5659.91280820272</v>
      </c>
      <c r="F796" s="2606">
        <f t="shared" si="395"/>
        <v>228.01285677080159</v>
      </c>
      <c r="G796" s="2606">
        <f t="shared" si="395"/>
        <v>-5478.8210399175296</v>
      </c>
      <c r="H796" s="2606">
        <f t="shared" si="395"/>
        <v>-11470.697439154384</v>
      </c>
      <c r="I796" s="2606">
        <f t="shared" si="395"/>
        <v>-17759.042965729175</v>
      </c>
      <c r="J796" s="2606">
        <f t="shared" si="395"/>
        <v>-24354.612750169217</v>
      </c>
      <c r="K796" s="2606">
        <f t="shared" si="395"/>
        <v>-31269.501198051876</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12904.533841223343</v>
      </c>
      <c r="C803" s="2606">
        <f t="shared" si="396"/>
        <v>8237.8151584951993</v>
      </c>
      <c r="D803" s="2606">
        <f t="shared" si="396"/>
        <v>3326.6794213256144</v>
      </c>
      <c r="E803" s="2606">
        <f t="shared" si="396"/>
        <v>-1840.08719179728</v>
      </c>
      <c r="F803" s="2606">
        <f t="shared" si="396"/>
        <v>-7271.9871432291984</v>
      </c>
      <c r="G803" s="2606">
        <f t="shared" si="396"/>
        <v>-12978.82103991753</v>
      </c>
      <c r="H803" s="2606">
        <f t="shared" si="396"/>
        <v>-18970.697439154384</v>
      </c>
      <c r="I803" s="2606">
        <f t="shared" si="396"/>
        <v>-25259.042965729175</v>
      </c>
      <c r="J803" s="2606">
        <f t="shared" si="396"/>
        <v>-31854.612750169217</v>
      </c>
      <c r="K803" s="2606">
        <f t="shared" si="396"/>
        <v>-38769.501198051876</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1.0402120842307017</v>
      </c>
      <c r="C809" s="2608">
        <f t="shared" ref="C809:K809" si="402">IF(OR(C793="Choose mgt fee",C793="Choose One!"),"",(C786+C787+C788+C789+C790) / -(C792+C793+C794))</f>
        <v>1.030111794627085</v>
      </c>
      <c r="D809" s="2608">
        <f t="shared" si="402"/>
        <v>1.020111789376257</v>
      </c>
      <c r="E809" s="2608">
        <f t="shared" si="402"/>
        <v>1.0102077003252357</v>
      </c>
      <c r="F809" s="2608">
        <f t="shared" si="402"/>
        <v>1.0003992454871686</v>
      </c>
      <c r="G809" s="2608">
        <f t="shared" si="402"/>
        <v>0.99068612620974739</v>
      </c>
      <c r="H809" s="2608">
        <f t="shared" si="402"/>
        <v>0.98106802480304489</v>
      </c>
      <c r="I809" s="2608">
        <f t="shared" si="402"/>
        <v>0.97154304581960793</v>
      </c>
      <c r="J809" s="2608">
        <f t="shared" si="402"/>
        <v>0.9621110081613623</v>
      </c>
      <c r="K809" s="2608">
        <f t="shared" si="402"/>
        <v>0.95277025410353866</v>
      </c>
    </row>
    <row r="810" spans="1:11">
      <c r="A810" s="357" t="s">
        <v>2405</v>
      </c>
      <c r="B810" s="2606" t="str">
        <f>'Part VI-Pro Forma'!B103</f>
        <v/>
      </c>
      <c r="C810" s="2606" t="str">
        <f>'Part VI-Pro Forma'!C103</f>
        <v/>
      </c>
      <c r="D810" s="2606" t="str">
        <f>'Part VI-Pro Forma'!D103</f>
        <v/>
      </c>
      <c r="E810" s="2606" t="str">
        <f>'Part VI-Pro Forma'!E103</f>
        <v/>
      </c>
      <c r="F810" s="2606" t="str">
        <f>'Part VI-Pro Forma'!F103</f>
        <v/>
      </c>
      <c r="G810" s="2606" t="str">
        <f>'Part VI-Pro Forma'!G103</f>
        <v/>
      </c>
      <c r="H810" s="2606" t="str">
        <f>'Part VI-Pro Forma'!H103</f>
        <v/>
      </c>
      <c r="I810" s="2606" t="str">
        <f>'Part VI-Pro Forma'!I103</f>
        <v/>
      </c>
      <c r="J810" s="2606" t="str">
        <f>'Part VI-Pro Forma'!J103</f>
        <v/>
      </c>
      <c r="K810" s="2606" t="str">
        <f>'Part VI-Pro Forma'!K103</f>
        <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678282.45878334169</v>
      </c>
      <c r="C816" s="2606">
        <f>'Part VI-Pro Forma'!C109</f>
        <v>691848.10795900843</v>
      </c>
      <c r="D816" s="2606">
        <f>'Part VI-Pro Forma'!D109</f>
        <v>705685.07011818874</v>
      </c>
      <c r="E816" s="2606">
        <f>'Part VI-Pro Forma'!E109</f>
        <v>719798.77152055257</v>
      </c>
      <c r="F816" s="2606">
        <f>'Part VI-Pro Forma'!F109</f>
        <v>734194.74695096351</v>
      </c>
      <c r="G816" s="2606"/>
      <c r="H816" s="2606"/>
      <c r="I816" s="2606"/>
      <c r="J816" s="2606"/>
      <c r="K816" s="2606"/>
    </row>
    <row r="817" spans="1:11">
      <c r="A817" s="357" t="s">
        <v>952</v>
      </c>
      <c r="B817" s="2606">
        <f>'Part VI-Pro Forma'!B110</f>
        <v>13565.649175666835</v>
      </c>
      <c r="C817" s="2606">
        <f>'Part VI-Pro Forma'!C110</f>
        <v>13836.962159180168</v>
      </c>
      <c r="D817" s="2606">
        <f>'Part VI-Pro Forma'!D110</f>
        <v>14113.701402363775</v>
      </c>
      <c r="E817" s="2606">
        <f>'Part VI-Pro Forma'!E110</f>
        <v>14395.97543041105</v>
      </c>
      <c r="F817" s="2606">
        <f>'Part VI-Pro Forma'!F110</f>
        <v>14683.89493901927</v>
      </c>
      <c r="G817" s="2606"/>
      <c r="H817" s="2606"/>
      <c r="I817" s="2606"/>
      <c r="J817" s="2606"/>
      <c r="K817" s="2606"/>
    </row>
    <row r="818" spans="1:11">
      <c r="A818" s="357" t="s">
        <v>2216</v>
      </c>
      <c r="B818" s="2606">
        <f>'Part VI-Pro Forma'!B111</f>
        <v>-48429.367557130601</v>
      </c>
      <c r="C818" s="2606">
        <f>'Part VI-Pro Forma'!C111</f>
        <v>-49397.954908273212</v>
      </c>
      <c r="D818" s="2606">
        <f>'Part VI-Pro Forma'!D111</f>
        <v>-50385.914006438674</v>
      </c>
      <c r="E818" s="2606">
        <f>'Part VI-Pro Forma'!E111</f>
        <v>-51393.632286567459</v>
      </c>
      <c r="F818" s="2606">
        <f>'Part VI-Pro Forma'!F111</f>
        <v>-52421.504932298798</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643418.74040187791</v>
      </c>
      <c r="C821" s="2606">
        <f>'Part VI-Pro Forma'!C114</f>
        <v>656287.11520991544</v>
      </c>
      <c r="D821" s="2606">
        <f>'Part VI-Pro Forma'!D114</f>
        <v>669412.85751411377</v>
      </c>
      <c r="E821" s="2606">
        <f>'Part VI-Pro Forma'!E114</f>
        <v>682801.11466439615</v>
      </c>
      <c r="F821" s="2606">
        <f>'Part VI-Pro Forma'!F114</f>
        <v>696457.13695768395</v>
      </c>
      <c r="G821" s="2606"/>
      <c r="H821" s="2606"/>
      <c r="I821" s="2606"/>
      <c r="J821" s="2606"/>
      <c r="K821" s="2606"/>
    </row>
    <row r="822" spans="1:11">
      <c r="A822" s="357" t="s">
        <v>572</v>
      </c>
      <c r="B822" s="2606">
        <f>'Part VI-Pro Forma'!B115</f>
        <v>-589892.74384828052</v>
      </c>
      <c r="C822" s="2606">
        <f>'Part VI-Pro Forma'!C115</f>
        <v>-607589.52616372902</v>
      </c>
      <c r="D822" s="2606">
        <f>'Part VI-Pro Forma'!D115</f>
        <v>-625817.21194864076</v>
      </c>
      <c r="E822" s="2606">
        <f>'Part VI-Pro Forma'!E115</f>
        <v>-644591.72830710001</v>
      </c>
      <c r="F822" s="2606">
        <f>'Part VI-Pro Forma'!F115</f>
        <v>-663929.48015631293</v>
      </c>
      <c r="G822" s="2606"/>
      <c r="H822" s="2606"/>
      <c r="I822" s="2606"/>
      <c r="J822" s="2606"/>
      <c r="K822" s="2606"/>
    </row>
    <row r="823" spans="1:11">
      <c r="A823" s="357" t="s">
        <v>1050</v>
      </c>
      <c r="B823" s="2606">
        <f>'Part VI-Pro Forma'!B116</f>
        <v>-62915</v>
      </c>
      <c r="C823" s="2606">
        <f>'Part VI-Pro Forma'!C116</f>
        <v>-64802</v>
      </c>
      <c r="D823" s="2606">
        <f>'Part VI-Pro Forma'!D116</f>
        <v>-66746</v>
      </c>
      <c r="E823" s="2606">
        <f>'Part VI-Pro Forma'!E116</f>
        <v>-68749</v>
      </c>
      <c r="F823" s="2606">
        <f>'Part VI-Pro Forma'!F116</f>
        <v>-70811</v>
      </c>
      <c r="G823" s="2606"/>
      <c r="H823" s="2606"/>
      <c r="I823" s="2606"/>
      <c r="J823" s="2606"/>
      <c r="K823" s="2606"/>
    </row>
    <row r="824" spans="1:11">
      <c r="A824" s="357" t="s">
        <v>1128</v>
      </c>
      <c r="B824" s="2606">
        <f>'Part VI-Pro Forma'!B117</f>
        <v>-29127.149654275909</v>
      </c>
      <c r="C824" s="2606">
        <f>'Part VI-Pro Forma'!C117</f>
        <v>-30000.964143904192</v>
      </c>
      <c r="D824" s="2606">
        <f>'Part VI-Pro Forma'!D117</f>
        <v>-30900.993068221313</v>
      </c>
      <c r="E824" s="2606">
        <f>'Part VI-Pro Forma'!E117</f>
        <v>-31828.022860267953</v>
      </c>
      <c r="F824" s="2606">
        <f>'Part VI-Pro Forma'!F117</f>
        <v>-32782.863546075983</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-38516.153100678523</v>
      </c>
      <c r="C826" s="2606">
        <f>SUM(C821:C825)</f>
        <v>-46105.37509771777</v>
      </c>
      <c r="D826" s="2606">
        <f>SUM(D821:D825)</f>
        <v>-54051.347502748307</v>
      </c>
      <c r="E826" s="2606">
        <f>SUM(E821:E825)</f>
        <v>-62367.636502971814</v>
      </c>
      <c r="F826" s="2606">
        <f>SUM(F821:F825)</f>
        <v>-71066.206744704963</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-46016.153100678523</v>
      </c>
      <c r="C833" s="2606">
        <f>SUM(C826:C832)</f>
        <v>-53605.37509771777</v>
      </c>
      <c r="D833" s="2606">
        <f>SUM(D826:D832)</f>
        <v>-61551.347502748307</v>
      </c>
      <c r="E833" s="2606">
        <f>SUM(E826:E832)</f>
        <v>-69867.636502971814</v>
      </c>
      <c r="F833" s="2606">
        <f>SUM(F826:F832)</f>
        <v>-78566.206744704963</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0.9435193103217645</v>
      </c>
      <c r="C839" s="2608">
        <f>IF(OR(C823="Choose mgt fee",C823="Choose One!"),"",(C816+C817+C818+C819+C820) / -(C822+C823+C824))</f>
        <v>0.93435952728149962</v>
      </c>
      <c r="D839" s="2608">
        <f>IF(OR(D823="Choose mgt fee",D823="Choose One!"),"",(D816+D817+D818+D819+D820) / -(D822+D823+D824))</f>
        <v>0.92528815229844241</v>
      </c>
      <c r="E839" s="2608">
        <f>IF(OR(E823="Choose mgt fee",E823="Choose One!"),"",(E816+E817+E818+E819+E820) / -(E822+E823+E824))</f>
        <v>0.91630400978936954</v>
      </c>
      <c r="F839" s="2608">
        <f>IF(OR(F823="Choose mgt fee",F823="Choose One!"),"",(F816+F817+F818+F819+F820) / -(F822+F823+F824))</f>
        <v>0.90740841001409167</v>
      </c>
      <c r="G839" s="2606"/>
      <c r="H839" s="2606"/>
      <c r="I839" s="2606"/>
      <c r="J839" s="2606"/>
      <c r="K839" s="2606"/>
    </row>
    <row r="840" spans="1:11">
      <c r="A840" s="357" t="s">
        <v>2405</v>
      </c>
      <c r="B840" s="2606" t="str">
        <f>'Part VI-Pro Forma'!B133</f>
        <v/>
      </c>
      <c r="C840" s="2606" t="str">
        <f>'Part VI-Pro Forma'!C133</f>
        <v/>
      </c>
      <c r="D840" s="2606" t="str">
        <f>'Part VI-Pro Forma'!D133</f>
        <v/>
      </c>
      <c r="E840" s="2606" t="str">
        <f>'Part VI-Pro Forma'!E133</f>
        <v/>
      </c>
      <c r="F840" s="2606" t="str">
        <f>'Part VI-Pro Forma'!F133</f>
        <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Cusseta Crossing,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6997</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6774</v>
      </c>
      <c r="C883" s="2865"/>
      <c r="D883" s="2865"/>
      <c r="E883" s="2865"/>
      <c r="F883" s="2865"/>
      <c r="G883" s="2108"/>
      <c r="H883" s="2108"/>
      <c r="I883" s="2108"/>
      <c r="J883" s="2108"/>
      <c r="K883" s="2109"/>
      <c r="L883" s="2109"/>
      <c r="M883" s="2109"/>
      <c r="N883" s="2109"/>
      <c r="O883" s="2109"/>
      <c r="P883" s="2109"/>
      <c r="Q883" s="2106"/>
    </row>
    <row r="884" spans="1:17" ht="124.2">
      <c r="A884" s="2860" t="str">
        <f>'Part VII-Threshold Criteria'!A33</f>
        <v>Applicant believes the project is viable and in conformance with the plan.</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138">
      <c r="A892" s="2860" t="str">
        <f>'Part VII-Threshold Criteria'!A41</f>
        <v>The Applicant is targeting HFOP (55+) tenancy for the proposed project.</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138">
      <c r="A900" s="2860" t="str">
        <f>'Part VII-Threshold Criteria'!A49</f>
        <v>Applicant certifies that they will include the required number of services.</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3.8">
      <c r="A905" s="2871"/>
      <c r="B905" s="2106" t="s">
        <v>6777</v>
      </c>
      <c r="C905" s="2106"/>
      <c r="D905" s="2860"/>
      <c r="E905" s="2860"/>
      <c r="F905" s="2860"/>
      <c r="G905" s="2106"/>
      <c r="H905" s="2106"/>
      <c r="I905" s="2860">
        <f>'Part VII-Threshold Criteria'!I54</f>
        <v>0.95699999999999996</v>
      </c>
      <c r="J905" s="2860"/>
      <c r="K905" s="2860"/>
      <c r="L905" s="2873"/>
      <c r="M905" s="2874"/>
      <c r="N905" s="2874"/>
      <c r="O905" s="2874"/>
      <c r="P905" s="2874"/>
      <c r="Q905" s="2109"/>
    </row>
    <row r="906" spans="1:17" ht="13.8">
      <c r="A906" s="2871"/>
      <c r="B906" s="2106" t="s">
        <v>6778</v>
      </c>
      <c r="C906" s="2106"/>
      <c r="D906" s="2860"/>
      <c r="E906" s="2860"/>
      <c r="F906" s="2860"/>
      <c r="G906" s="2106"/>
      <c r="H906" s="2873" t="s">
        <v>6779</v>
      </c>
      <c r="I906" s="2860">
        <f>'Part VII-Threshold Criteria'!I55</f>
        <v>0.10100000000000001</v>
      </c>
      <c r="J906" s="2860"/>
      <c r="K906" s="2860"/>
      <c r="L906" s="2874"/>
      <c r="M906" s="2875" t="s">
        <v>6780</v>
      </c>
      <c r="N906" s="2860" t="str">
        <f>'Part VII-Threshold Criteria'!N55</f>
        <v>NA</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220.8">
      <c r="A908" s="2860" t="str">
        <f>'Part VII-Threshold Criteria'!A57</f>
        <v>Please see Tab 5 of the application for the market study. Four of the five LIHTC comparable properties reported maintaining waiting lists and the market study is estimating an absorption pace of 20 units per month indicating a demand for senior affordable housing in Columbus.</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3.8">
      <c r="A914" s="2871"/>
      <c r="B914" s="2106" t="s">
        <v>6781</v>
      </c>
      <c r="C914" s="2106"/>
      <c r="D914" s="2106"/>
      <c r="E914" s="2106"/>
      <c r="F914" s="2106"/>
      <c r="G914" s="2106"/>
      <c r="H914" s="2106"/>
      <c r="I914" s="2860"/>
      <c r="J914" s="2860">
        <f>'Part VII-Threshold Criteria'!J63</f>
        <v>0</v>
      </c>
      <c r="K914" s="2860"/>
      <c r="L914" s="2860"/>
      <c r="M914" s="2860"/>
      <c r="N914" s="2860"/>
      <c r="O914" s="2860"/>
      <c r="P914" s="2860"/>
      <c r="Q914" s="2860"/>
    </row>
    <row r="915" spans="1:17" ht="13.8">
      <c r="A915" s="2871"/>
      <c r="B915" s="2106" t="s">
        <v>3948</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6774</v>
      </c>
      <c r="C918" s="2106"/>
      <c r="D918" s="2868"/>
      <c r="E918" s="2868"/>
      <c r="F918" s="2868"/>
      <c r="G918" s="2868"/>
      <c r="H918" s="2107"/>
      <c r="I918" s="2108"/>
      <c r="J918" s="2108"/>
      <c r="K918" s="2108"/>
      <c r="L918" s="2109"/>
      <c r="M918" s="2109"/>
      <c r="N918" s="2109"/>
      <c r="O918" s="2109"/>
      <c r="P918" s="2109"/>
      <c r="Q918" s="2109"/>
    </row>
    <row r="919" spans="1:17" ht="124.2">
      <c r="A919" s="2860" t="str">
        <f>'Part VII-Threshold Criteria'!A68</f>
        <v>There is no IOI between buyer and seller. No appraisal required.</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3.8">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6631</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3.8">
      <c r="A928" s="2871"/>
      <c r="B928" s="2106" t="s">
        <v>6786</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13.8">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82.8">
      <c r="A936" s="2860" t="str">
        <f>'Part VII-Threshold Criteria'!A85</f>
        <v>Please see Tab 7 for the Environmental Report.</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1.4">
      <c r="A943" s="2871"/>
      <c r="B943" s="2106" t="s">
        <v>636</v>
      </c>
      <c r="C943" s="2106"/>
      <c r="D943" s="2106"/>
      <c r="E943" s="2106"/>
      <c r="F943" s="2106"/>
      <c r="G943" s="2860" t="str">
        <f>'Part VII-Threshold Criteria'!G92</f>
        <v>Cusseta Crossing, LP</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82.8">
      <c r="A945" s="2860" t="str">
        <f>'Part VII-Threshold Criteria'!A94</f>
        <v>Please see Tab 8 for site control documentation.</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179.4">
      <c r="A952" s="2860" t="str">
        <f>'Part VII-Threshold Criteria'!A101</f>
        <v xml:space="preserve">The site is legally accessible by paved roads and documentation reflecting this is included in Tab 9.  </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289.8">
      <c r="A959" s="2860" t="str">
        <f>'Part VII-Threshold Criteria'!A108</f>
        <v>Please see Tab 10 for evidence the project is in compliance with zoning regulations. Zoning is RO - Residential Office and Multifamily is a permitted use.</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6792</v>
      </c>
      <c r="C965" s="2106"/>
      <c r="D965" s="2106"/>
      <c r="E965" s="2106"/>
      <c r="F965" s="2106"/>
      <c r="G965" s="2106"/>
      <c r="H965" s="2106" t="s">
        <v>6793</v>
      </c>
      <c r="I965" s="2106"/>
      <c r="J965" s="2859">
        <f>'Part VII-Threshold Criteria'!J114</f>
        <v>0</v>
      </c>
      <c r="K965" s="2859"/>
      <c r="L965" s="2859"/>
      <c r="M965" s="2859"/>
      <c r="N965" s="2859"/>
      <c r="O965" s="2859"/>
      <c r="P965" s="2859"/>
      <c r="Q965" s="2859"/>
    </row>
    <row r="966" spans="1:17" ht="13.8">
      <c r="A966" s="2871"/>
      <c r="B966" s="2871"/>
      <c r="C966" s="2106"/>
      <c r="D966" s="2106"/>
      <c r="E966" s="2106"/>
      <c r="F966" s="2106"/>
      <c r="G966" s="2106"/>
      <c r="H966" s="2106" t="s">
        <v>6794</v>
      </c>
      <c r="I966" s="2106"/>
      <c r="J966" s="2859" t="str">
        <f>'Part VII-Threshold Criteria'!J115</f>
        <v>Georgia Power Company</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331.2">
      <c r="A968" s="2860" t="str">
        <f>'Part VII-Threshold Criteria'!A117</f>
        <v>Please see Tab 11 of the application for a letter from Georgia Power confirming electric services are available at the site. There is no gas service required for the development.</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6796</v>
      </c>
      <c r="C974" s="2106"/>
      <c r="D974" s="2106"/>
      <c r="E974" s="2106"/>
      <c r="F974" s="2106"/>
      <c r="G974" s="2106"/>
      <c r="H974" s="2106" t="s">
        <v>6797</v>
      </c>
      <c r="I974" s="2106"/>
      <c r="J974" s="2859" t="str">
        <f>'Part VII-Threshold Criteria'!J123</f>
        <v>Columbus Water Works</v>
      </c>
      <c r="K974" s="2859"/>
      <c r="L974" s="2859"/>
      <c r="M974" s="2859"/>
      <c r="N974" s="2859"/>
      <c r="O974" s="2859"/>
      <c r="P974" s="2859"/>
      <c r="Q974" s="2859"/>
    </row>
    <row r="975" spans="1:17" ht="13.8">
      <c r="A975" s="2860"/>
      <c r="B975" s="2871"/>
      <c r="C975" s="2106"/>
      <c r="D975" s="2106"/>
      <c r="E975" s="2106"/>
      <c r="F975" s="2106"/>
      <c r="G975" s="2106"/>
      <c r="H975" s="2106" t="s">
        <v>6798</v>
      </c>
      <c r="I975" s="2106"/>
      <c r="J975" s="2859" t="str">
        <f>'Part VII-Threshold Criteria'!J124</f>
        <v>Columbus Water Works</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262.2">
      <c r="A977" s="2860" t="str">
        <f>'Part VII-Threshold Criteria'!A126</f>
        <v>Please see Tab 12 of the application for a letter from water &amp; sewer authority confirming water/sewer services are available at the site.</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3.8">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220.8">
      <c r="A996" s="2860" t="str">
        <f>'Part VII-Threshold Criteria'!A145</f>
        <v>Applicant agrees to provide the required Standard Site Amenities as well as Additional Site Amenities per the QAP.</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55.2">
      <c r="A1006" s="2860" t="str">
        <f>'Part VII-Threshold Criteria'!A155</f>
        <v>Not applicable to this project.</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179.4">
      <c r="A1013" s="2860" t="str">
        <f>'Part VII-Threshold Criteria'!A162</f>
        <v>The CSDP is included in Tab 15 and meets all thre requirements of the architectural manual.</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303.60000000000002">
      <c r="A1025" s="2860" t="str">
        <f>'Part VII-Threshold Criteria'!A174</f>
        <v>Applicant Worksheet exceeds the requirements for Earth Craft House Multifamily designation, which is included in Tab 16 of this application.</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3.8">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3.8">
      <c r="A1035" s="2871"/>
      <c r="B1035" s="2106" t="s">
        <v>6810</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207">
      <c r="A1039" s="2860" t="str">
        <f>'Part VII-Threshold Criteria'!A188</f>
        <v>Applicant agrees to retain a DCA qualified consultant to monitor the project for accessibility compliance.</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179.4">
      <c r="A1054" s="2860" t="str">
        <f>'Part VII-Threshold Criteria'!A203</f>
        <v>Applicant agrees to meet the DCA requirements per the 2023 QAP and Architectural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Yes - see Comment</v>
      </c>
      <c r="Q1063" s="2106"/>
    </row>
    <row r="1064" spans="1:17" ht="13.8">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8">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Please see Tab 19 for the Qualification Determination letter for the Certifying Entity: MACO Development Company, LLC - Dev, MACO Properties, LLC - GP.  SAE waiver granted and is in Tab 44 along with the full list of properties successfully developed and that we currently own.</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7010</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55.2">
      <c r="A1079" s="2860" t="str">
        <f>'Part VII-Threshold Criteria'!A228</f>
        <v>Not applicable to this project.</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6833</v>
      </c>
      <c r="C1093" s="2107" t="s">
        <v>7012</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55.2">
      <c r="A1095" s="2860" t="str">
        <f>'Part VII-Threshold Criteria'!A244</f>
        <v>Not applicable to this project.</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8">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55.2">
      <c r="A1107" s="2860" t="str">
        <f>'Part VII-Threshold Criteria'!A256</f>
        <v>Not applicable to this project.</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3.8">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3.8">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124.2">
      <c r="A1119" s="2860" t="str">
        <f>'Part VII-Threshold Criteria'!A268</f>
        <v>Not applicable to this project - The buildings on site are vacant.</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165.6">
      <c r="A1137" s="2860" t="str">
        <f>'Part VII-Threshold Criteria'!A286</f>
        <v>Applicant will prepare and submit an AFHH Marketing plan if selected for funding.</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303.60000000000002">
      <c r="A1144" s="2860" t="str">
        <f>'Part VII-Threshold Criteria'!A293</f>
        <v>Applicant believes that the project as proposed is an optimal utilization of resources and will bring much needed affordable housing to the City of Columbus.</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Cusseta Crossing,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69</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6136</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3394</v>
      </c>
      <c r="C1164" s="2406"/>
      <c r="D1164" s="2406"/>
      <c r="E1164" s="2914">
        <f>'Part VIII Scoring Criteria'!E13</f>
        <v>20</v>
      </c>
      <c r="F1164" s="2913" t="str">
        <f>'Part VIII Scoring Criteria'!F13</f>
        <v>The project is within one mile of a child care service, place of worship, community center, department store, high school, fire station and post office. Within 1.30 miles of a public park, federally insured banking institution, national big box general merchandise, grocery store and medical care provider. For a total of 23 available desirable points and therefore eligible for the maximum 20 desirable activities points. There are no undesirables. Please see Tab 26 for the Desirable Activities worksheet and documentation.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4038</v>
      </c>
      <c r="C1165" s="2406"/>
      <c r="D1165" s="2406"/>
      <c r="E1165" s="2916">
        <f>'Part VIII Scoring Criteria'!E14</f>
        <v>4.5</v>
      </c>
      <c r="F1165" s="2913" t="str">
        <f>'Part VIII Scoring Criteria'!F14</f>
        <v>MATRA bus stop #: 1159 is within 0.4 miles walking from the primary pedestrian site entrance and serves routes 2,4 &amp; 7. Bus stop 1159 meets all requirements of a transit HUB. Please see Tab 27 for the Community Transportation documentation.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3339</v>
      </c>
      <c r="C1166" s="2406"/>
      <c r="D1166" s="2406"/>
      <c r="E1166" s="2916">
        <f>'Part VIII Scoring Criteria'!E15</f>
        <v>1.5</v>
      </c>
      <c r="F1166" s="2913" t="str">
        <f>'Part VIII Scoring Criteria'!F15</f>
        <v>Martin Luther King, Jr Elementary School received beating the odds in 2018 and serves grades K-05. Carver High School received beating the odds designation in 2018 and 2019 and serves grades 9-12. Carver High school also is eligible for points based on DCA Option C. The total grades served that qualify for points are 10. Please see Tab 28 for the Quality Education Area details.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6">
      <c r="A1167" s="2913" t="s">
        <v>280</v>
      </c>
      <c r="B1167" s="2403" t="s">
        <v>3395</v>
      </c>
      <c r="C1167" s="2406"/>
      <c r="D1167" s="2406"/>
      <c r="E1167" s="2916">
        <f>'Part VIII Scoring Criteria'!E16</f>
        <v>7</v>
      </c>
      <c r="F1167" s="2913" t="str">
        <f>'Part VIII Scoring Criteria'!F16</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29.  The site is located within a 2023 QCT, as shown on a map in Tab 29.  Finally, the development is within ½ mile of a Third Party Capital Investment for the Ft. Benning Road Roundabout Project.  Information about the cost of the project and the timeline is included in Tab 29 for reference. The investment in the road and streetscape are a significant improvement to the immediate area.  The enhancements will increase walkability, connectivity, pedestrian safety and access to thoroughfares for the tenant base.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6">
      <c r="A1168" s="2913" t="s">
        <v>401</v>
      </c>
      <c r="B1168" s="2403" t="s">
        <v>3396</v>
      </c>
      <c r="C1168" s="2406"/>
      <c r="D1168" s="2406"/>
      <c r="E1168" s="2914" t="str">
        <f>'Part VIII Scoring Criteria'!E17</f>
        <v>n/a</v>
      </c>
      <c r="F1168" s="2913" t="str">
        <f>'Part VIII Scoring Criteria'!F17</f>
        <v>The Applicant and Enrichment Services Program (ESP) have partnered to create a Community Transformation Plan for Cusseta Crossing in Columbus, Georgia. ESP is committed to increasing the awareness of the impact of poverty and implementing strategies for reducing it. They identify and remove barriers to achieve family stability and promote interdependency. Turning hope into reality, ESP motivates residents toward a desirable future and encourages them to become a healthy contributor to the life of our community. ESP has been incorporated to the ownership structure as a consultant through the provided MOU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solve the issues identified in the planning process for the Community Transformation Plan throughout the Defined Neighborhood. ESP's partnerships clearly document their ability to create change in a community though local affiliates.  Please see tab 29 for the Community Transformation documentation.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Applicant is not requesting points in this section.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2.8">
      <c r="A1170" s="2913" t="s">
        <v>4041</v>
      </c>
      <c r="B1170" s="2403" t="s">
        <v>3262</v>
      </c>
      <c r="C1170" s="2406"/>
      <c r="D1170" s="2406"/>
      <c r="E1170" s="2914">
        <f>'Part VIII Scoring Criteria'!E19</f>
        <v>0</v>
      </c>
      <c r="F1170" s="2913" t="str">
        <f>'Part VIII Scoring Criteria'!F19</f>
        <v>Applicant is not requesting points in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82.8">
      <c r="A1171" s="2913" t="s">
        <v>4053</v>
      </c>
      <c r="B1171" s="2403" t="s">
        <v>4042</v>
      </c>
      <c r="C1171" s="2406"/>
      <c r="D1171" s="2406"/>
      <c r="E1171" s="2914">
        <f>'Part VIII Scoring Criteria'!E20</f>
        <v>0</v>
      </c>
      <c r="F1171" s="2913" t="str">
        <f>'Part VIII Scoring Criteria'!F20</f>
        <v>Applicant is not requesting points in this section.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79.4">
      <c r="A1172" s="2913" t="s">
        <v>6243</v>
      </c>
      <c r="B1172" s="2403" t="s">
        <v>4043</v>
      </c>
      <c r="C1172" s="2406"/>
      <c r="D1172" s="2406"/>
      <c r="E1172" s="2914">
        <f>'Part VIII Scoring Criteria'!E21</f>
        <v>3</v>
      </c>
      <c r="F1172" s="2913" t="str">
        <f>'Part VIII Scoring Criteria'!F21</f>
        <v>There has not been a DCA awarded project within a one mile radius of the site within the last 6 years.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9.4">
      <c r="A1173" s="2913" t="s">
        <v>6637</v>
      </c>
      <c r="B1173" s="2403" t="s">
        <v>6549</v>
      </c>
      <c r="C1173" s="2406"/>
      <c r="D1173" s="2406"/>
      <c r="E1173" s="2914">
        <f>'Part VIII Scoring Criteria'!E22</f>
        <v>0</v>
      </c>
      <c r="F1173" s="2913" t="str">
        <f>'Part VIII Scoring Criteria'!F22</f>
        <v>Not applicable to this project. The proposed application is not in the Atlanta Metro Pool.</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6639</v>
      </c>
      <c r="B1174" s="2403" t="s">
        <v>6638</v>
      </c>
      <c r="C1174" s="2406"/>
      <c r="D1174" s="2406"/>
      <c r="E1174" s="2914">
        <f>'Part VIII Scoring Criteria'!E23</f>
        <v>2</v>
      </c>
      <c r="F1174" s="2913" t="str">
        <f>'Part VIII Scoring Criteria'!F23</f>
        <v>Applicant commits to section A and engaging QBs in the development or operations of the proposed property in amounts equal to approximately 5% of total construction hard costs as certified by the Independent Auditor Report in the Final Allocation Application and to submitting a report with Final Allocation Application describing these efforts, which would detail successes, obstacles, and other notes pertaining to the applicant's attempts to follow this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3369</v>
      </c>
      <c r="B1175" s="2403" t="s">
        <v>6555</v>
      </c>
      <c r="C1175" s="2406"/>
      <c r="D1175" s="2406"/>
      <c r="E1175" s="2914">
        <f>'Part VIII Scoring Criteria'!E24</f>
        <v>2</v>
      </c>
      <c r="F1175" s="2913" t="str">
        <f>'Part VIII Scoring Criteria'!F24</f>
        <v>Applicant commits to accept resident services coordination from an entity certified as a "3rd Party Contractor" by CORES or other DCA-approved program, if such an entity serves the locality and has the capacity to provide services to the property.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82.8">
      <c r="A1176" s="2913" t="s">
        <v>3373</v>
      </c>
      <c r="B1176" s="2403" t="s">
        <v>3397</v>
      </c>
      <c r="C1176" s="2406"/>
      <c r="D1176" s="2406"/>
      <c r="E1176" s="2914">
        <f>'Part VIII Scoring Criteria'!E25</f>
        <v>0</v>
      </c>
      <c r="F1176" s="2913" t="str">
        <f>'Part VIII Scoring Criteria'!F25</f>
        <v xml:space="preserve">Applicant is not requesting points in this section.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82.8">
      <c r="A1177" s="2913" t="s">
        <v>3376</v>
      </c>
      <c r="B1177" s="2403" t="s">
        <v>3398</v>
      </c>
      <c r="C1177" s="2406"/>
      <c r="D1177" s="2406"/>
      <c r="E1177" s="2914">
        <f>'Part VIII Scoring Criteria'!E26</f>
        <v>0</v>
      </c>
      <c r="F1177" s="2913" t="str">
        <f>'Part VIII Scoring Criteria'!F26</f>
        <v>Applicant is not requesting points in this section.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82.8">
      <c r="A1178" s="2913" t="s">
        <v>3377</v>
      </c>
      <c r="B1178" s="2403" t="s">
        <v>3399</v>
      </c>
      <c r="C1178" s="2406"/>
      <c r="D1178" s="2406"/>
      <c r="E1178" s="2914">
        <f>'Part VIII Scoring Criteria'!E27</f>
        <v>0</v>
      </c>
      <c r="F1178" s="2913" t="str">
        <f>'Part VIII Scoring Criteria'!F27</f>
        <v>Applicant is not requesting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Applicant has a controlling interest in the General Partnership and the Applicant has agreed to contract with DCA PBRA under a prior QAP. Property contacts have responded to DCA staff seeking to initiate a PBRA contract within the timeframes communicated. DCA-assisted prospective residents do not face barriers in applying for a unit above those experienced by non-DCA-assisted prospective residents.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Not applicable to this project.</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55.2">
      <c r="A1181" s="2913" t="s">
        <v>3803</v>
      </c>
      <c r="B1181" s="2403" t="s">
        <v>6553</v>
      </c>
      <c r="C1181" s="2406"/>
      <c r="D1181" s="2406"/>
      <c r="E1181" s="2914">
        <f>'Part VIII Scoring Criteria'!E30</f>
        <v>0</v>
      </c>
      <c r="F1181" s="2913" t="str">
        <f>'Part VIII Scoring Criteria'!F30</f>
        <v>Not applicable to this project.</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Not applicable to this project.</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6917</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6947</v>
      </c>
      <c r="B1185" s="3917"/>
      <c r="C1185" s="3917"/>
      <c r="D1185" s="3917"/>
      <c r="E1185" s="2397"/>
      <c r="F1185" s="2463" t="s">
        <v>6881</v>
      </c>
      <c r="G1185" s="2463"/>
      <c r="H1185" s="2463"/>
      <c r="I1185" s="2463"/>
      <c r="J1185" s="2198" t="s">
        <v>6140</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3179</v>
      </c>
      <c r="G1201" s="2463" t="s">
        <v>7016</v>
      </c>
      <c r="H1201" s="2463"/>
      <c r="I1201" s="2463"/>
      <c r="J1201" s="2312" t="s">
        <v>3179</v>
      </c>
      <c r="K1201" s="2923" t="s">
        <v>7017</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6877</v>
      </c>
      <c r="C1219" s="2438"/>
      <c r="D1219" s="2438"/>
      <c r="E1219" s="2438"/>
      <c r="F1219" s="2438"/>
      <c r="G1219" s="2397" t="s">
        <v>6646</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3813</v>
      </c>
      <c r="D1220" s="2199"/>
      <c r="E1220" s="2199"/>
      <c r="F1220" s="2199"/>
      <c r="G1220" s="2199" t="s">
        <v>3814</v>
      </c>
      <c r="H1220" s="2199"/>
      <c r="I1220" s="2199"/>
      <c r="J1220" s="2932">
        <f>'Part V-Revenues &amp; Expenses'!$B$50</f>
        <v>57.916666666666664</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6880</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The project is within one mile of a child care service, place of worship, community center, department store, high school, fire station and post office. Within 1.30 miles of a public park, federally insured banking institution, national big box general merchandise, grocery store and medical care provider. For a total of 23 available desirable points and therefore eligible for the maximum 20 desirable activities points. There are no undesirables. Please see Tab 26 for the Desirable Activities worksheet and documentation.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4.5</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6848</v>
      </c>
      <c r="D1240" s="2397"/>
      <c r="E1240" s="2397"/>
      <c r="F1240" s="2199">
        <f>'Part VIII Scoring Criteria'!F89</f>
        <v>32.439104</v>
      </c>
      <c r="G1240" s="2199"/>
      <c r="H1240" s="2199"/>
      <c r="I1240" s="2199"/>
      <c r="J1240" s="2199">
        <f>'Part VIII Scoring Criteria'!J89</f>
        <v>-84.943866999999997</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6849</v>
      </c>
      <c r="D1241" s="2397"/>
      <c r="E1241" s="2397"/>
      <c r="F1241" s="2199">
        <f>'Part VIII Scoring Criteria'!F90</f>
        <v>32.435056000000003</v>
      </c>
      <c r="G1241" s="2199"/>
      <c r="H1241" s="2199"/>
      <c r="I1241" s="2199"/>
      <c r="J1241" s="2199">
        <f>'Part VIII Scoring Criteria'!J90</f>
        <v>-84.940139000000002</v>
      </c>
      <c r="K1241" s="2199"/>
      <c r="L1241" s="2199"/>
      <c r="M1241" s="2199"/>
      <c r="N1241" s="2468"/>
      <c r="O1241" s="2944">
        <f>'Part VIII Scoring Criteria'!O90</f>
        <v>0.4</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6886</v>
      </c>
      <c r="C1242" s="2397"/>
      <c r="D1242" s="2397"/>
      <c r="E1242" s="2397"/>
      <c r="F1242" s="2342" t="s">
        <v>6850</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METRA Transit System</v>
      </c>
      <c r="C1243" s="2199"/>
      <c r="D1243" s="2199"/>
      <c r="E1243" s="2199"/>
      <c r="F1243" s="2947">
        <f>'Part VIII Scoring Criteria'!F92</f>
        <v>7062254581</v>
      </c>
      <c r="G1243" s="2199" t="str">
        <f>'Part VIII Scoring Criteria'!G92</f>
        <v>metrainfo@columbusga.org</v>
      </c>
      <c r="H1243" s="2199"/>
      <c r="I1243" s="2199"/>
      <c r="J1243" s="2199" t="str">
        <f>'Part VIII Scoring Criteria'!J92</f>
        <v>https://www.columbusga.gov/metra</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4.5</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4.5</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MATRA bus stop #: 1159 is within 0.4 miles walking from the primary pedestrian site entrance and serves routes 2,4 &amp; 7. Bus stop 1159 meets all requirements of a transit HUB. Please see Tab 27 for the Community Transportation documentation.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96.6">
      <c r="A1261" s="2397"/>
      <c r="B1261" s="2438" t="str">
        <f>'Part VIII Scoring Criteria'!B110</f>
        <v>Martin Luther King, Jr Elementary School 200</v>
      </c>
      <c r="C1261" s="2438"/>
      <c r="D1261" s="2438"/>
      <c r="E1261" s="2438"/>
      <c r="F1261" s="2438" t="str">
        <f>'Part VIII Scoring Criteria'!F110</f>
        <v>No</v>
      </c>
      <c r="G1261" s="2438"/>
      <c r="H1261" s="2438" t="str">
        <f>'Part VIII Scoring Criteria'!H110</f>
        <v>Yes</v>
      </c>
      <c r="I1261" s="2438"/>
      <c r="J1261" s="2438" t="str">
        <f>'Part VIII Scoring Criteria'!J110</f>
        <v>No</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5.2">
      <c r="A1262" s="2397"/>
      <c r="B1262" s="2438" t="str">
        <f>'Part VIII Scoring Criteria'!B111</f>
        <v>Baker Middle School 300</v>
      </c>
      <c r="C1262" s="2438"/>
      <c r="D1262" s="2438"/>
      <c r="E1262" s="2438"/>
      <c r="F1262" s="2438" t="str">
        <f>'Part VIII Scoring Criteria'!F111</f>
        <v>No</v>
      </c>
      <c r="G1262" s="2438"/>
      <c r="H1262" s="2438" t="str">
        <f>'Part VIII Scoring Criteria'!H111</f>
        <v>No</v>
      </c>
      <c r="I1262" s="2438"/>
      <c r="J1262" s="2438" t="str">
        <f>'Part VIII Scoring Criteria'!J111</f>
        <v>No</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5.2">
      <c r="A1263" s="2397"/>
      <c r="B1263" s="2438" t="str">
        <f>'Part VIII Scoring Criteria'!B112</f>
        <v>Carver High School 5052</v>
      </c>
      <c r="C1263" s="2438"/>
      <c r="D1263" s="2438"/>
      <c r="E1263" s="2438"/>
      <c r="F1263" s="2438" t="str">
        <f>'Part VIII Scoring Criteria'!F112</f>
        <v>No</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Martin Luther King, Jr Elementary School received beating the odds in 2018 and serves grades K-05. Carver High School received beating the odds designation in 2018 and 2019 and serves grades 9-12. Carver High school also is eligible for points based on DCA Option C. The total grades served that qualify for points are 10. Please see Tab 28 for the Quality Education Area details.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f>'Part VIII Scoring Criteria'!M125</f>
        <v>4</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12, 14 and 29-30</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19 - 29</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30 - 47</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PDF pages 1-3</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7028</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6">
      <c r="A1288" s="2406" t="str">
        <f>'Part VIII Scoring Criteria'!A137</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29.  The site is located within a 2023 QCT, as shown on a map in Tab 29.  Finally, the development is within ½ mile of a Third Party Capital Investment for the Ft. Benning Road Roundabout Project.  Information about the cost of the project and the timeline is included in Tab 29 for reference. The investment in the road and streetscape are a significant improvement to the immediate area.  The enhancements will increase walkability, connectivity, pedestrian safety and access to thoroughfares for the tenant base.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6">
      <c r="A1298" s="2406" t="str">
        <f>'Part VIII Scoring Criteria'!A147</f>
        <v>The Applicant and Enrichment Services Program (ESP) have partnered to create a Community Transformation Plan for Cusseta Crossing in Columbus, Georgia. ESP is committed to increasing the awareness of the impact of poverty and implementing strategies for reducing it. They identify and remove barriers to achieve family stability and promote interdependency. Turning hope into reality, ESP motivates residents toward a desirable future and encourages them to become a healthy contributor to the life of our community. ESP has been incorporated to the ownership structure as a consultant through the provided MOU so they may play an integral role in community engagement through the support of their valuable community partners. The Community Quarterback Board consists of individuals who are community advocates for increasing residents’ access to community services such as transportation, education, health care and job opportunities. The intended use of the $50,000 Community Improvement Fund is to solve the issues identified in the planning process for the Community Transformation Plan throughout the Defined Neighborhood. ESP's partnerships clearly document their ability to create change in a community though local affiliates.  Please see tab 29 for the Community Transformation documentation.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6220</v>
      </c>
      <c r="D1309" s="2397"/>
      <c r="E1309" s="2977" t="s">
        <v>6219</v>
      </c>
      <c r="F1309" s="2977"/>
      <c r="G1309" s="2977"/>
      <c r="H1309" s="2977"/>
      <c r="I1309" s="2342" t="s">
        <v>6894</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82.8">
      <c r="A1316" s="2406" t="str">
        <f>'Part VIII Scoring Criteria'!A165</f>
        <v>Applicant is not requesting points in this section.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2.8">
      <c r="A1335" s="2406" t="str">
        <f>'Part VIII Scoring Criteria'!A184</f>
        <v>Applicant is not requesting points in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6858</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82.8">
      <c r="A1346" s="2406" t="str">
        <f>'Part VIII Scoring Criteria'!A195</f>
        <v>Applicant is not requesting points in this section.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79.4">
      <c r="A1356" s="2406" t="str">
        <f>'Part VIII Scoring Criteria'!A205</f>
        <v>There has not been a DCA awarded project within a one mile radius of the site within the last 6 years.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9.4">
      <c r="A1379" s="2406" t="str">
        <f>'Part VIII Scoring Criteria'!A228</f>
        <v>Not applicable to this project. The proposed application is not in the Atlanta Metro Pool.</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6862</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Applicant commits to section A and engaging QBs in the development or operations of the proposed property in amounts equal to approximately 5% of total construction hard costs as certified by the Independent Auditor Report in the Final Allocation Application and to submitting a report with Final Allocation Application describing these efforts, which would detail successes, obstacles, and other notes pertaining to the applicant's attempts to follow this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Applicant commits to accept resident services coordination from an entity certified as a "3rd Party Contractor" by CORES or other DCA-approved program, if such an entity serves the locality and has the capacity to provide services to the property.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82.8">
      <c r="A1426" s="2406" t="str">
        <f>'Part VIII Scoring Criteria'!A275</f>
        <v xml:space="preserve">Applicant is not requesting points in this section.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3889</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6236</v>
      </c>
      <c r="J1448" s="2994">
        <f>'Part V-Revenues &amp; Expenses'!$P$67</f>
        <v>48</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82.8">
      <c r="A1458" s="2406" t="str">
        <f>'Part VIII Scoring Criteria'!A307</f>
        <v>Applicant is not requesting points in this section.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82.8">
      <c r="A1469" s="2406" t="str">
        <f>'Part VIII Scoring Criteria'!A318</f>
        <v>Applicant is not requesting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6">
      <c r="A1491" s="2406" t="str">
        <f>'Part VIII Scoring Criteria'!A340</f>
        <v>Applicant has a controlling interest in the General Partnership and the Applicant has agreed to contract with DCA PBRA under a prior QAP. Property contacts have responded to DCA staff seeking to initiate a PBRA contract within the timeframes communicated. DCA-assisted prospective residents do not face barriers in applying for a unit above those experienced by non-DCA-assisted prospective residents.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55.2">
      <c r="A1498" s="2406" t="str">
        <f>'Part VIII Scoring Criteria'!A347</f>
        <v>Not applicable to this project.</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55.2">
      <c r="A1511" s="2406" t="str">
        <f>'Part VIII Scoring Criteria'!A360</f>
        <v>Not applicable to this project.</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55.2">
      <c r="A1520" s="2406" t="str">
        <f>'Part VIII Scoring Criteria'!A369</f>
        <v>Not applicable to this project.</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6933</v>
      </c>
      <c r="E1527" s="2199"/>
      <c r="F1527" s="2199"/>
      <c r="G1527" s="2199" t="s">
        <v>6223</v>
      </c>
      <c r="H1527" s="2199"/>
      <c r="I1527" s="2199"/>
      <c r="J1527" s="2199" t="s">
        <v>575</v>
      </c>
      <c r="L1527" s="2342" t="s">
        <v>6934</v>
      </c>
      <c r="M1527" s="3917" t="s">
        <v>6944</v>
      </c>
      <c r="N1527" s="3917"/>
      <c r="O1527" s="3917"/>
      <c r="P1527" s="3917"/>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55.2">
      <c r="A1540" s="2406" t="str">
        <f>'Part VIII Scoring Criteria'!A389</f>
        <v>Not applicable to this project.</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55.2">
      <c r="A1551" s="2406" t="str">
        <f>'Part VIII Scoring Criteria'!A400</f>
        <v>Not applicable to this project.</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69</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III. APPLICATION COMPLETENESS - Applicant believes the application is complete in its entirety and is not missing any required documentation.
IV. DEEPTER TARGETING/RENT/INCOME RESTRICTIONS - Applicant is eligible for 2 points in section A. Deeper Targeting through Rent Restrictions since we are utilizing income averaging and have a 57.92% overall project percent of AMI, just under the required 58% maximum.
XI. MIXED INCOME DEVELOPMENTS - Applicant is eligible for 1 point in section B. Income Averaging since income averaging will be utilized and there will be no market rate units. 
XV. EXTENDED AFFORDABILITY COMMITMENT - Owner is willing to forgo the Qualified Contract "cancellation option" making the applicant eligible for 3 points in section A. Waiver of Qualified Contract Right. In addition to the commitment in section A, Applicant also commits to provide a right of first refusal to a qulified nonprofit organizaiton or local housing authority if the owner elects to transfer an interest in the property durring the Compliance and Extended Use Period in accordance with DCA requirements and Section 42(i)(7) of the Code. This gives eligability for an additional point in this category.
XXIII. COMPLIANCE PERFORMANCE - Applicant is eligible for the full 10 points in this section. Since there have been no Significant or Adverse Effects or Adverse Circumstances that DCA has deemed eligible for point deductions for MACO Development, LLC.</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6546</v>
      </c>
      <c r="BD1570" s="3006" t="s">
        <v>6547</v>
      </c>
      <c r="BE1570" s="3006" t="s">
        <v>6548</v>
      </c>
      <c r="BF1570" s="3006">
        <v>0.09</v>
      </c>
      <c r="BG1570" s="3006">
        <v>0.04</v>
      </c>
      <c r="BH1570" s="3006">
        <v>0.04</v>
      </c>
      <c r="BI1570" s="3006" t="s">
        <v>6930</v>
      </c>
      <c r="BJ1570" s="3006" t="s">
        <v>6546</v>
      </c>
      <c r="BK1570" s="3006" t="s">
        <v>6547</v>
      </c>
      <c r="BL1570" s="3006" t="s">
        <v>6548</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4.5</v>
      </c>
      <c r="AZ1575" s="3008">
        <f>O1237</f>
        <v>4.5</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6948</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f>'Part II-Sources of Funds'!$L$14</f>
        <v>0</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69</v>
      </c>
      <c r="AZ1600" s="2542">
        <f>'Part VIII Scoring Criteria'!AZ449</f>
        <v>63</v>
      </c>
      <c r="BA1600" s="2542">
        <f>'Part VIII Scoring Criteria'!BA449</f>
        <v>28</v>
      </c>
      <c r="BB1600" s="2542">
        <f>'Part VIII Scoring Criteria'!BB449</f>
        <v>28</v>
      </c>
      <c r="BC1600" s="2542">
        <f>'Part VIII Scoring Criteria'!BC449</f>
        <v>30</v>
      </c>
      <c r="BD1600" s="2542">
        <f>'Part VIII Scoring Criteria'!BD449</f>
        <v>30</v>
      </c>
      <c r="BE1600" s="2542">
        <f>'Part VIII Scoring Criteria'!BE449</f>
        <v>30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B38" zoomScaleNormal="100" workbookViewId="0">
      <selection activeCell="M45" sqref="M45"/>
    </sheetView>
  </sheetViews>
  <sheetFormatPr defaultColWidth="9.44140625" defaultRowHeight="13.2"/>
  <cols>
    <col min="1" max="1" width="4.44140625" style="142" customWidth="1"/>
    <col min="2" max="17" width="8.44140625" style="142" customWidth="1"/>
    <col min="18" max="18" width="3.44140625" style="142" customWidth="1"/>
    <col min="19" max="19" width="13.5546875" style="142" customWidth="1"/>
    <col min="20" max="20" width="98.5546875" style="142" customWidth="1"/>
    <col min="21" max="24" width="9.44140625" style="142"/>
    <col min="25" max="25" width="16.5546875" style="1741" bestFit="1" customWidth="1"/>
    <col min="26" max="26" width="9.44140625" style="1741"/>
    <col min="27" max="51" width="9.44140625" style="142"/>
    <col min="52" max="52" width="9.44140625" style="1675"/>
    <col min="53" max="16384" width="9.44140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Cusseta Crossing, Columbus, Muscogee County</v>
      </c>
      <c r="B2" s="3103"/>
      <c r="C2" s="3103"/>
      <c r="D2" s="3103"/>
      <c r="E2" s="3103"/>
      <c r="F2" s="3103"/>
      <c r="G2" s="3103"/>
      <c r="H2" s="3103"/>
      <c r="I2" s="3103"/>
      <c r="J2" s="3103"/>
      <c r="K2" s="3103"/>
      <c r="L2" s="3103"/>
      <c r="M2" s="3103"/>
      <c r="N2" s="3103"/>
      <c r="O2" s="3103"/>
      <c r="P2" s="3103"/>
      <c r="Q2" s="3104"/>
      <c r="S2" s="3195" t="str">
        <f>$A$2</f>
        <v>PART TWO - SOURCES OF FUNDS (Proposed)  -  2023-0 Cusseta Crossing, Columbus, Muscogee County</v>
      </c>
      <c r="T2" s="3195"/>
      <c r="Y2" s="1742"/>
      <c r="Z2" s="1706">
        <v>2</v>
      </c>
      <c r="AZ2" s="1676"/>
    </row>
    <row r="3" spans="1:52" ht="17.850000000000001"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6080</v>
      </c>
      <c r="G6" s="144"/>
      <c r="I6" s="3206"/>
      <c r="J6" s="3207"/>
      <c r="L6" s="1232"/>
      <c r="M6" s="224" t="s">
        <v>1437</v>
      </c>
      <c r="Q6" s="1620"/>
      <c r="S6" s="3197"/>
      <c r="T6" s="3198"/>
      <c r="Y6" s="1742"/>
      <c r="Z6" s="1706">
        <v>6</v>
      </c>
      <c r="AZ6" s="1676"/>
    </row>
    <row r="7" spans="1:52" s="223" customFormat="1" ht="16.5" customHeight="1">
      <c r="A7" s="375"/>
      <c r="B7" s="823"/>
      <c r="C7" s="224" t="s">
        <v>3877</v>
      </c>
      <c r="D7" s="144"/>
      <c r="E7" s="818"/>
      <c r="F7" s="224" t="s">
        <v>6081</v>
      </c>
      <c r="I7" s="3208"/>
      <c r="J7" s="3209"/>
      <c r="L7" s="823"/>
      <c r="M7" s="224" t="s">
        <v>514</v>
      </c>
      <c r="P7" s="1620"/>
      <c r="Q7" s="1620"/>
      <c r="S7" s="3199"/>
      <c r="T7" s="3200"/>
      <c r="Y7" s="1742"/>
      <c r="Z7" s="1706">
        <v>7</v>
      </c>
      <c r="AZ7" s="1676"/>
    </row>
    <row r="8" spans="1:52" s="223" customFormat="1" ht="16.5" customHeight="1">
      <c r="A8" s="144"/>
      <c r="B8" s="823"/>
      <c r="C8" s="224" t="s">
        <v>6661</v>
      </c>
      <c r="F8" s="223" t="s">
        <v>6664</v>
      </c>
      <c r="H8" s="3220" t="s">
        <v>3065</v>
      </c>
      <c r="I8" s="3221"/>
      <c r="J8" s="3222"/>
      <c r="L8" s="823"/>
      <c r="M8" s="224" t="s">
        <v>6666</v>
      </c>
      <c r="P8" s="1620"/>
      <c r="Q8" s="1620"/>
      <c r="S8" s="3199"/>
      <c r="T8" s="3200"/>
      <c r="Y8" s="1742"/>
      <c r="Z8" s="1706">
        <v>8</v>
      </c>
      <c r="AZ8" s="1676"/>
    </row>
    <row r="9" spans="1:52" s="223" customFormat="1" ht="16.5" customHeight="1">
      <c r="A9" s="375"/>
      <c r="B9" s="823"/>
      <c r="C9" s="223" t="s">
        <v>3301</v>
      </c>
      <c r="E9" s="1235"/>
      <c r="F9" s="3212" t="s">
        <v>6660</v>
      </c>
      <c r="G9" s="3213"/>
      <c r="H9" s="3210"/>
      <c r="I9" s="3210"/>
      <c r="J9" s="3211"/>
      <c r="L9" s="823"/>
      <c r="M9" s="224" t="s">
        <v>3878</v>
      </c>
      <c r="Q9" s="1620"/>
      <c r="S9" s="3201"/>
      <c r="T9" s="3202"/>
      <c r="Y9" s="1742"/>
      <c r="Z9" s="1706">
        <v>9</v>
      </c>
      <c r="AZ9" s="1676"/>
    </row>
    <row r="10" spans="1:52" s="223" customFormat="1" ht="16.5" customHeight="1">
      <c r="A10" s="375"/>
      <c r="B10" s="823"/>
      <c r="C10" s="224" t="s">
        <v>2394</v>
      </c>
      <c r="F10" s="3214" t="s">
        <v>3770</v>
      </c>
      <c r="G10" s="3215"/>
      <c r="H10" s="3215"/>
      <c r="I10" s="3215"/>
      <c r="J10" s="3216"/>
      <c r="L10" s="823"/>
      <c r="M10" s="224" t="s">
        <v>3193</v>
      </c>
      <c r="P10" s="1620"/>
      <c r="Q10" s="1620"/>
      <c r="S10" s="3197"/>
      <c r="T10" s="3198"/>
      <c r="Y10" s="1742"/>
      <c r="Z10" s="1706">
        <v>10</v>
      </c>
      <c r="AZ10" s="1676"/>
    </row>
    <row r="11" spans="1:52" s="223" customFormat="1" ht="16.5" customHeight="1">
      <c r="A11" s="375"/>
      <c r="B11" s="823"/>
      <c r="C11" s="224" t="s">
        <v>2395</v>
      </c>
      <c r="E11" s="1235"/>
      <c r="F11" s="3210" t="s">
        <v>6662</v>
      </c>
      <c r="G11" s="3210"/>
      <c r="H11" s="3210"/>
      <c r="I11" s="3210"/>
      <c r="J11" s="3211"/>
      <c r="L11" s="823"/>
      <c r="M11" s="223" t="s">
        <v>2398</v>
      </c>
      <c r="S11" s="3199"/>
      <c r="T11" s="3200"/>
      <c r="Y11" s="1742"/>
      <c r="Z11" s="1706">
        <v>11</v>
      </c>
      <c r="AZ11" s="1676"/>
    </row>
    <row r="12" spans="1:52" s="223" customFormat="1" ht="16.5" customHeight="1">
      <c r="A12" s="375"/>
      <c r="B12" s="823"/>
      <c r="C12" s="224" t="s">
        <v>3194</v>
      </c>
      <c r="F12" s="3203" t="s">
        <v>3771</v>
      </c>
      <c r="G12" s="3204"/>
      <c r="H12" s="3223"/>
      <c r="I12" s="3223"/>
      <c r="J12" s="3224"/>
      <c r="L12" s="823"/>
      <c r="M12" s="223" t="s">
        <v>3220</v>
      </c>
      <c r="S12" s="3199"/>
      <c r="T12" s="3200"/>
      <c r="Y12" s="1742"/>
      <c r="Z12" s="1706">
        <v>12</v>
      </c>
      <c r="AZ12" s="1676"/>
    </row>
    <row r="13" spans="1:52" s="223" customFormat="1" ht="16.5" customHeight="1">
      <c r="A13" s="375"/>
      <c r="B13" s="823"/>
      <c r="C13" s="224" t="s">
        <v>6663</v>
      </c>
      <c r="E13" s="1232"/>
      <c r="F13" s="224" t="s">
        <v>6665</v>
      </c>
      <c r="H13" s="3203" t="s">
        <v>3292</v>
      </c>
      <c r="I13" s="3204"/>
      <c r="J13" s="3205"/>
      <c r="L13" s="823"/>
      <c r="M13" s="223" t="s">
        <v>6079</v>
      </c>
      <c r="S13" s="3199"/>
      <c r="T13" s="3200"/>
      <c r="Y13" s="1742"/>
      <c r="Z13" s="1706">
        <v>13</v>
      </c>
      <c r="AZ13" s="1676"/>
    </row>
    <row r="14" spans="1:52" s="223" customFormat="1" ht="16.5" customHeight="1">
      <c r="A14" s="375"/>
      <c r="B14" s="823"/>
      <c r="C14" s="223" t="s">
        <v>2397</v>
      </c>
      <c r="E14" s="823"/>
      <c r="F14" s="224" t="s">
        <v>3300</v>
      </c>
      <c r="L14" s="823"/>
      <c r="M14" s="223" t="s">
        <v>6711</v>
      </c>
      <c r="S14" s="3201"/>
      <c r="T14" s="3202"/>
      <c r="Y14" s="1742"/>
      <c r="Z14" s="1706">
        <v>14</v>
      </c>
      <c r="AZ14" s="1676"/>
    </row>
    <row r="15" spans="1:52" s="223" customFormat="1" ht="16.5" customHeight="1">
      <c r="A15" s="375"/>
      <c r="B15" s="823"/>
      <c r="C15" s="223" t="s">
        <v>3219</v>
      </c>
      <c r="E15" s="823"/>
      <c r="F15" s="224" t="s">
        <v>6082</v>
      </c>
      <c r="L15" s="823"/>
      <c r="M15" s="1621" t="s">
        <v>6083</v>
      </c>
      <c r="Y15" s="1742"/>
      <c r="Z15" s="1706">
        <v>15</v>
      </c>
      <c r="AZ15" s="1676"/>
    </row>
    <row r="16" spans="1:52" s="223" customFormat="1" ht="16.5" customHeight="1">
      <c r="A16" s="375"/>
      <c r="B16" s="818"/>
      <c r="C16" s="224" t="s">
        <v>1673</v>
      </c>
      <c r="E16" s="818"/>
      <c r="F16" s="224" t="s">
        <v>6500</v>
      </c>
      <c r="I16" s="3181"/>
      <c r="J16" s="3182"/>
      <c r="L16" s="818"/>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3845</v>
      </c>
      <c r="M21" s="3185"/>
      <c r="N21" s="3185" t="s">
        <v>1410</v>
      </c>
      <c r="O21" s="3185"/>
      <c r="P21" s="3185" t="s">
        <v>1523</v>
      </c>
      <c r="Q21" s="3185"/>
      <c r="S21" s="3196" t="s">
        <v>2448</v>
      </c>
      <c r="T21" s="3196"/>
      <c r="Y21" s="1742"/>
      <c r="Z21" s="1706">
        <v>21</v>
      </c>
      <c r="AZ21" s="1676" t="s">
        <v>6341</v>
      </c>
    </row>
    <row r="22" spans="1:52" s="223" customFormat="1" ht="15.75" customHeight="1">
      <c r="A22" s="144"/>
      <c r="B22" s="3225" t="s">
        <v>1486</v>
      </c>
      <c r="C22" s="3226"/>
      <c r="D22" s="3226"/>
      <c r="E22" s="821"/>
      <c r="F22" s="821"/>
      <c r="G22" s="821"/>
      <c r="H22" s="3227" t="s">
        <v>7055</v>
      </c>
      <c r="I22" s="3228"/>
      <c r="J22" s="3228"/>
      <c r="K22" s="3229"/>
      <c r="L22" s="3230">
        <v>11163393</v>
      </c>
      <c r="M22" s="3231"/>
      <c r="N22" s="3232">
        <v>7.7499999999999999E-2</v>
      </c>
      <c r="O22" s="3233"/>
      <c r="P22" s="3234">
        <v>18</v>
      </c>
      <c r="Q22" s="3235"/>
      <c r="S22" s="3197"/>
      <c r="T22" s="3198"/>
      <c r="Y22" s="1742" t="s">
        <v>6341</v>
      </c>
      <c r="Z22" s="1706">
        <v>22</v>
      </c>
      <c r="AZ22" s="1676" t="s">
        <v>6342</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6342</v>
      </c>
      <c r="Z23" s="1706">
        <v>23</v>
      </c>
      <c r="AZ23" s="1676" t="s">
        <v>6343</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6343</v>
      </c>
      <c r="Z24" s="1706">
        <v>24</v>
      </c>
      <c r="AZ24" s="1676" t="s">
        <v>6344</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6344</v>
      </c>
      <c r="Z25" s="1706">
        <v>25</v>
      </c>
      <c r="AZ25" s="1676" t="s">
        <v>6345</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6345</v>
      </c>
      <c r="Z26" s="1706">
        <v>26</v>
      </c>
      <c r="AZ26" s="1676" t="s">
        <v>6346</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6346</v>
      </c>
      <c r="Z27" s="1706">
        <v>27</v>
      </c>
      <c r="AZ27" s="1676" t="s">
        <v>6347</v>
      </c>
    </row>
    <row r="28" spans="1:52" s="223" customFormat="1" ht="15.75" customHeight="1">
      <c r="A28" s="144"/>
      <c r="B28" s="3236" t="s">
        <v>746</v>
      </c>
      <c r="C28" s="3237"/>
      <c r="D28" s="3237"/>
      <c r="E28" s="144"/>
      <c r="H28" s="3238" t="s">
        <v>7056</v>
      </c>
      <c r="I28" s="3239"/>
      <c r="J28" s="3239"/>
      <c r="K28" s="3240"/>
      <c r="L28" s="3241">
        <v>2106790</v>
      </c>
      <c r="M28" s="3242"/>
      <c r="N28" s="144"/>
      <c r="Q28" s="144"/>
      <c r="S28" s="3201"/>
      <c r="T28" s="3202"/>
      <c r="Y28" s="1742" t="s">
        <v>6347</v>
      </c>
      <c r="Z28" s="1706">
        <v>28</v>
      </c>
      <c r="AZ28" s="1676" t="s">
        <v>6348</v>
      </c>
    </row>
    <row r="29" spans="1:52" s="223" customFormat="1" ht="15.75" customHeight="1">
      <c r="A29" s="144"/>
      <c r="B29" s="3236" t="s">
        <v>747</v>
      </c>
      <c r="C29" s="3237"/>
      <c r="D29" s="3237"/>
      <c r="E29" s="144"/>
      <c r="H29" s="3238" t="s">
        <v>7056</v>
      </c>
      <c r="I29" s="3239"/>
      <c r="J29" s="3239"/>
      <c r="K29" s="3240"/>
      <c r="L29" s="3241">
        <v>980000</v>
      </c>
      <c r="M29" s="3242"/>
      <c r="N29" s="144"/>
      <c r="Q29" s="144"/>
      <c r="S29" s="3197"/>
      <c r="T29" s="3198"/>
      <c r="Y29" s="1742" t="s">
        <v>6348</v>
      </c>
      <c r="Z29" s="1706">
        <v>29</v>
      </c>
      <c r="AZ29" s="1676" t="s">
        <v>6349</v>
      </c>
    </row>
    <row r="30" spans="1:52" s="223" customFormat="1" ht="15.75" customHeight="1">
      <c r="A30" s="144"/>
      <c r="B30" s="820" t="s">
        <v>232</v>
      </c>
      <c r="C30" s="144"/>
      <c r="D30" s="3256" t="s">
        <v>7057</v>
      </c>
      <c r="E30" s="3256"/>
      <c r="F30" s="3256"/>
      <c r="G30" s="3256"/>
      <c r="H30" s="3238"/>
      <c r="I30" s="3239"/>
      <c r="J30" s="3239"/>
      <c r="K30" s="3240"/>
      <c r="L30" s="3241">
        <v>110</v>
      </c>
      <c r="M30" s="3242"/>
      <c r="N30" s="144"/>
      <c r="Q30" s="144"/>
      <c r="S30" s="3199"/>
      <c r="T30" s="3200"/>
      <c r="Y30" s="1742" t="s">
        <v>6349</v>
      </c>
      <c r="Z30" s="1706">
        <v>30</v>
      </c>
      <c r="AZ30" s="1676" t="s">
        <v>6350</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6350</v>
      </c>
      <c r="Z31" s="1706">
        <v>31</v>
      </c>
      <c r="AZ31" s="1676" t="s">
        <v>6351</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6351</v>
      </c>
      <c r="Z32" s="1706">
        <v>32</v>
      </c>
      <c r="AZ32" s="1676"/>
    </row>
    <row r="33" spans="1:52" s="223" customFormat="1" ht="16.5" customHeight="1">
      <c r="A33" s="144"/>
      <c r="B33" s="222" t="s">
        <v>1221</v>
      </c>
      <c r="C33" s="144"/>
      <c r="D33" s="144"/>
      <c r="E33" s="144"/>
      <c r="F33" s="144"/>
      <c r="G33" s="144"/>
      <c r="H33" s="144"/>
      <c r="I33" s="144"/>
      <c r="L33" s="3259">
        <f>SUM(L22:L32)</f>
        <v>14250293</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14250293</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3844</v>
      </c>
      <c r="J39" s="3185"/>
      <c r="K39" s="446" t="s">
        <v>1675</v>
      </c>
      <c r="L39" s="446" t="s">
        <v>2046</v>
      </c>
      <c r="M39" s="446" t="s">
        <v>2046</v>
      </c>
      <c r="N39" s="3185" t="s">
        <v>69</v>
      </c>
      <c r="O39" s="3185"/>
      <c r="P39" s="3266"/>
      <c r="Q39" s="3266"/>
      <c r="S39" s="3196" t="s">
        <v>2448</v>
      </c>
      <c r="T39" s="3196"/>
      <c r="Y39" s="1742"/>
      <c r="Z39" s="1706">
        <v>39</v>
      </c>
      <c r="AZ39" s="1676" t="s">
        <v>6352</v>
      </c>
    </row>
    <row r="40" spans="1:52" s="223" customFormat="1" ht="15" customHeight="1">
      <c r="A40" s="144"/>
      <c r="B40" s="3225" t="s">
        <v>2402</v>
      </c>
      <c r="C40" s="3226"/>
      <c r="D40" s="3226"/>
      <c r="E40" s="3227"/>
      <c r="F40" s="3228"/>
      <c r="G40" s="3228"/>
      <c r="H40" s="3229"/>
      <c r="I40" s="3287"/>
      <c r="J40" s="3288"/>
      <c r="K40" s="654"/>
      <c r="L40" s="822"/>
      <c r="M40" s="822"/>
      <c r="N40" s="3272"/>
      <c r="O40" s="3272"/>
      <c r="P40" s="3286" t="str">
        <f>IF(OR(I40&lt;=0,I40=""),"",IF(N40="Cash Flow",0,IF(N40="Amortizing",-PMT(K40/12,M40*12,I40,0,0)*12,"")))</f>
        <v/>
      </c>
      <c r="Q40" s="3286"/>
      <c r="S40" s="3197"/>
      <c r="T40" s="3198"/>
      <c r="Y40" s="1742" t="s">
        <v>6352</v>
      </c>
      <c r="Z40" s="1706">
        <v>40</v>
      </c>
      <c r="AZ40" s="1676" t="s">
        <v>6353</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6353</v>
      </c>
      <c r="Z41" s="1706">
        <v>41</v>
      </c>
      <c r="AZ41" s="1676" t="s">
        <v>6354</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6354</v>
      </c>
      <c r="Z42" s="1706">
        <v>42</v>
      </c>
      <c r="AZ42" s="1676" t="s">
        <v>6355</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6355</v>
      </c>
      <c r="Z43" s="1706">
        <v>43</v>
      </c>
      <c r="AZ43" s="1676" t="s">
        <v>6356</v>
      </c>
    </row>
    <row r="44" spans="1:52" s="223" customFormat="1" ht="15" customHeight="1">
      <c r="A44" s="144"/>
      <c r="B44" s="820" t="s">
        <v>3944</v>
      </c>
      <c r="C44" s="144"/>
      <c r="D44" s="824"/>
      <c r="E44" s="3238"/>
      <c r="F44" s="3239"/>
      <c r="G44" s="3239"/>
      <c r="H44" s="3240"/>
      <c r="I44" s="3269"/>
      <c r="J44" s="3270"/>
      <c r="K44" s="364"/>
      <c r="L44" s="819"/>
      <c r="M44" s="819"/>
      <c r="N44" s="3301"/>
      <c r="O44" s="3301"/>
      <c r="P44" s="3300"/>
      <c r="Q44" s="3300"/>
      <c r="S44" s="3199"/>
      <c r="T44" s="3200"/>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2.9881102362204724E-2</v>
      </c>
      <c r="E45" s="3186" t="s">
        <v>7048</v>
      </c>
      <c r="F45" s="3187"/>
      <c r="G45" s="3187"/>
      <c r="H45" s="3188"/>
      <c r="I45" s="3273">
        <v>37949</v>
      </c>
      <c r="J45" s="3274"/>
      <c r="K45" s="653">
        <v>0</v>
      </c>
      <c r="L45" s="652">
        <v>15</v>
      </c>
      <c r="M45" s="652"/>
      <c r="N45" s="3043" t="s">
        <v>1096</v>
      </c>
      <c r="O45" s="3044"/>
      <c r="P45" s="3275">
        <f>IF(OR(I45&lt;=0,I45=""),"",IF(N45="Cash Flow",0,IF(N45="Amortizing",-PMT(K45/12,M45*12,I45,0,0)*12,"")))</f>
        <v>0</v>
      </c>
      <c r="Q45" s="3276"/>
      <c r="S45" s="3199"/>
      <c r="T45" s="3200"/>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f>IF(OR($I$45="",$I$45=0,'Part VI-Pro Forma'!$S$35=0,'Part VI-Pro Forma'!$S$35=""),"",VLOOKUP($L$45,'Part VI-Pro Forma'!$Q$21:$S$40,3))</f>
        <v>805015.47276739823</v>
      </c>
      <c r="G47" s="3285"/>
      <c r="H47" s="485" t="s">
        <v>3405</v>
      </c>
      <c r="I47" s="3284">
        <f>IF(OR($I$45="",$I$45=0,'Part VI-Pro Forma'!$R$35=0,'Part VI-Pro Forma'!$R$35=""),"",VLOOKUP($L$45,'Part VI-Pro Forma'!$Q$21:$S$35,2))</f>
        <v>37949</v>
      </c>
      <c r="J47" s="3285"/>
      <c r="K47" s="485" t="s">
        <v>3407</v>
      </c>
      <c r="L47" s="3282">
        <f>IF(OR($F$47 = 0,$F$47 =""),"",$I$47/$F$47)</f>
        <v>4.7140708823325952E-2</v>
      </c>
      <c r="M47" s="3283"/>
      <c r="N47" s="3307" t="s">
        <v>3848</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6358</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6358</v>
      </c>
      <c r="Z49" s="1706">
        <v>49</v>
      </c>
      <c r="AZ49" s="1676" t="s">
        <v>6359</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6359</v>
      </c>
      <c r="Z50" s="1706">
        <v>50</v>
      </c>
      <c r="AZ50" s="1676" t="s">
        <v>6360</v>
      </c>
    </row>
    <row r="51" spans="1:52" s="223" customFormat="1" ht="15" customHeight="1">
      <c r="A51" s="144"/>
      <c r="B51" s="3236" t="s">
        <v>746</v>
      </c>
      <c r="C51" s="3237"/>
      <c r="D51" s="3277"/>
      <c r="E51" s="3238" t="s">
        <v>7056</v>
      </c>
      <c r="F51" s="3239"/>
      <c r="G51" s="3239"/>
      <c r="H51" s="3240"/>
      <c r="I51" s="3269">
        <v>10533947</v>
      </c>
      <c r="J51" s="3269"/>
      <c r="L51" s="3280">
        <f>'Part III-A-Uses of Funds'!$J$191*10*'Part III-A-Uses of Funds'!$N$182</f>
        <v>10535000</v>
      </c>
      <c r="M51" s="3280"/>
      <c r="N51" s="3281">
        <f>I51-L51</f>
        <v>-1053</v>
      </c>
      <c r="O51" s="3281"/>
      <c r="P51" s="324">
        <f>I51/I61</f>
        <v>0.68083912325266682</v>
      </c>
      <c r="Q51" s="144"/>
      <c r="S51" s="3199"/>
      <c r="T51" s="3200"/>
      <c r="Y51" s="1742" t="s">
        <v>6360</v>
      </c>
      <c r="Z51" s="1706">
        <v>51</v>
      </c>
      <c r="AZ51" s="1676" t="s">
        <v>6361</v>
      </c>
    </row>
    <row r="52" spans="1:52" s="223" customFormat="1" ht="15" customHeight="1">
      <c r="A52" s="144"/>
      <c r="B52" s="3236" t="s">
        <v>747</v>
      </c>
      <c r="C52" s="3237"/>
      <c r="D52" s="3277"/>
      <c r="E52" s="3238" t="s">
        <v>7056</v>
      </c>
      <c r="F52" s="3239"/>
      <c r="G52" s="3239"/>
      <c r="H52" s="3240"/>
      <c r="I52" s="3269">
        <v>4900000</v>
      </c>
      <c r="J52" s="3269"/>
      <c r="L52" s="3280">
        <f>'Part III-A-Uses of Funds'!$J$191*10*'Part III-A-Uses of Funds'!$Q$182</f>
        <v>4900000</v>
      </c>
      <c r="M52" s="3280"/>
      <c r="N52" s="3281">
        <f>I52-L52</f>
        <v>0</v>
      </c>
      <c r="O52" s="3281"/>
      <c r="P52" s="324">
        <f>I52/I61</f>
        <v>0.31670101472297774</v>
      </c>
      <c r="Q52" s="144"/>
      <c r="S52" s="3199"/>
      <c r="T52" s="3200"/>
      <c r="Y52" s="1742" t="s">
        <v>6361</v>
      </c>
      <c r="Z52" s="1706">
        <v>52</v>
      </c>
      <c r="AZ52" s="1676" t="s">
        <v>6362</v>
      </c>
    </row>
    <row r="53" spans="1:52" s="223" customFormat="1" ht="15" customHeight="1">
      <c r="A53" s="144"/>
      <c r="B53" s="3236" t="s">
        <v>1331</v>
      </c>
      <c r="C53" s="3237"/>
      <c r="D53" s="3277"/>
      <c r="E53" s="3238"/>
      <c r="F53" s="3239"/>
      <c r="G53" s="3239"/>
      <c r="H53" s="3240"/>
      <c r="I53" s="3269"/>
      <c r="J53" s="3269"/>
      <c r="P53" s="325">
        <f>SUM(P51:P52)</f>
        <v>0.99754013797564456</v>
      </c>
      <c r="Q53" s="144"/>
      <c r="S53" s="3201"/>
      <c r="T53" s="3202"/>
      <c r="Y53" s="1742" t="s">
        <v>6362</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6363</v>
      </c>
    </row>
    <row r="57" spans="1:52" s="223" customFormat="1" ht="15" customHeight="1">
      <c r="A57" s="144"/>
      <c r="B57" s="820" t="s">
        <v>690</v>
      </c>
      <c r="C57" s="3256" t="s">
        <v>7057</v>
      </c>
      <c r="D57" s="3256"/>
      <c r="E57" s="3238"/>
      <c r="F57" s="3239"/>
      <c r="G57" s="3239"/>
      <c r="H57" s="3240"/>
      <c r="I57" s="3269">
        <v>110</v>
      </c>
      <c r="J57" s="3269"/>
      <c r="M57" s="301"/>
      <c r="N57" s="301"/>
      <c r="O57" s="301"/>
      <c r="P57" s="301"/>
      <c r="Q57" s="144"/>
      <c r="S57" s="3199"/>
      <c r="T57" s="3200"/>
      <c r="Y57" s="1742" t="s">
        <v>6363</v>
      </c>
      <c r="Z57" s="1706">
        <v>57</v>
      </c>
      <c r="AZ57" s="1676" t="s">
        <v>6364</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6364</v>
      </c>
      <c r="Z58" s="1706">
        <v>58</v>
      </c>
      <c r="AZ58" s="1676" t="s">
        <v>6365</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6365</v>
      </c>
      <c r="Z59" s="1706">
        <v>59</v>
      </c>
      <c r="AZ59" s="1676"/>
    </row>
    <row r="60" spans="1:52" s="223" customFormat="1" ht="14.25" customHeight="1">
      <c r="A60" s="144"/>
      <c r="B60" s="246" t="s">
        <v>2048</v>
      </c>
      <c r="C60" s="144"/>
      <c r="D60" s="144"/>
      <c r="E60" s="144"/>
      <c r="F60" s="144"/>
      <c r="G60" s="144"/>
      <c r="I60" s="3310">
        <f>SUM(I40:J45)+SUM(I49:J59)</f>
        <v>15472006</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15472006</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85" customHeight="1">
      <c r="AZ70" s="1676"/>
    </row>
    <row r="71" spans="1:52" s="223" customFormat="1" ht="14.85" customHeight="1">
      <c r="Y71" s="1742"/>
      <c r="Z71" s="1742"/>
      <c r="AZ71" s="1676"/>
    </row>
    <row r="72" spans="1:52" s="223" customFormat="1" ht="14.85" customHeight="1">
      <c r="Y72" s="1742"/>
      <c r="Z72" s="1742"/>
      <c r="AZ72" s="1676"/>
    </row>
    <row r="73" spans="1:52" s="223" customFormat="1" ht="14.85" customHeight="1">
      <c r="Y73" s="1742"/>
      <c r="Z73" s="1742"/>
      <c r="AZ73" s="1675"/>
    </row>
    <row r="74" spans="1:52" ht="14.85" customHeight="1">
      <c r="AZ74" s="1676"/>
    </row>
    <row r="75" spans="1:52" s="223" customFormat="1" ht="14.85" customHeight="1">
      <c r="A75" s="278"/>
      <c r="Y75" s="1742"/>
      <c r="Z75" s="1742"/>
      <c r="AZ75" s="1676"/>
    </row>
    <row r="76" spans="1:52" s="223" customFormat="1" ht="14.85" customHeight="1">
      <c r="A76" s="278"/>
      <c r="Y76" s="1742"/>
      <c r="Z76" s="1742"/>
      <c r="AZ76" s="1676"/>
    </row>
    <row r="77" spans="1:52" s="223" customFormat="1" ht="14.85" customHeight="1">
      <c r="Y77" s="1742"/>
      <c r="Z77" s="1742"/>
      <c r="AZ77" s="1676"/>
    </row>
    <row r="78" spans="1:52" s="223" customFormat="1" ht="14.85" customHeight="1">
      <c r="A78" s="278"/>
      <c r="Y78" s="1742"/>
      <c r="Z78" s="1742"/>
      <c r="AZ78" s="1676"/>
    </row>
    <row r="79" spans="1:52" s="223" customFormat="1" ht="14.85" customHeight="1">
      <c r="A79" s="276"/>
      <c r="Y79" s="1742"/>
      <c r="Z79" s="1742"/>
      <c r="AZ79" s="1676"/>
    </row>
    <row r="80" spans="1:52" s="223" customFormat="1" ht="14.85" customHeight="1">
      <c r="A80" s="276"/>
      <c r="Y80" s="1742"/>
      <c r="Z80" s="1742"/>
      <c r="AZ80" s="1676"/>
    </row>
    <row r="81" spans="1:52" s="223" customFormat="1" ht="14.85" customHeight="1">
      <c r="A81" s="279"/>
      <c r="Y81" s="1742"/>
      <c r="Z81" s="1742"/>
      <c r="AZ81" s="1676"/>
    </row>
    <row r="82" spans="1:52" s="223" customFormat="1" ht="14.85" customHeight="1">
      <c r="A82" s="278"/>
      <c r="Y82" s="1742"/>
      <c r="Z82" s="1742"/>
      <c r="AZ82" s="1676"/>
    </row>
    <row r="83" spans="1:52" s="223" customFormat="1" ht="14.85" customHeight="1">
      <c r="A83" s="276"/>
      <c r="Y83" s="1742"/>
      <c r="Z83" s="1742"/>
      <c r="AZ83" s="1676"/>
    </row>
    <row r="84" spans="1:52" s="223" customFormat="1" ht="14.85" customHeight="1">
      <c r="A84" s="276"/>
      <c r="Y84" s="1742"/>
      <c r="Z84" s="1742"/>
      <c r="AZ84" s="1676"/>
    </row>
    <row r="85" spans="1:52" s="223" customFormat="1" ht="14.85" customHeight="1">
      <c r="A85" s="279"/>
      <c r="Y85" s="1742"/>
      <c r="Z85" s="1742"/>
      <c r="AZ85" s="1676"/>
    </row>
    <row r="86" spans="1:52" s="223" customFormat="1" ht="14.85" customHeight="1">
      <c r="A86" s="278"/>
      <c r="Y86" s="1742"/>
      <c r="Z86" s="1742"/>
      <c r="AZ86" s="1676"/>
    </row>
    <row r="87" spans="1:52" s="223" customFormat="1" ht="14.85" customHeight="1">
      <c r="A87" s="276"/>
      <c r="Y87" s="1742"/>
      <c r="Z87" s="1742"/>
      <c r="AZ87" s="1676"/>
    </row>
    <row r="88" spans="1:52" s="223" customFormat="1" ht="14.85" customHeight="1">
      <c r="A88" s="276"/>
      <c r="Y88" s="1742"/>
      <c r="Z88" s="1742"/>
      <c r="AZ88" s="1676"/>
    </row>
    <row r="89" spans="1:52" s="223" customFormat="1" ht="14.85" customHeight="1">
      <c r="A89" s="279"/>
      <c r="Y89" s="1742"/>
      <c r="Z89" s="1742"/>
      <c r="AZ89" s="1676"/>
    </row>
    <row r="90" spans="1:52" s="223" customFormat="1" ht="14.85" customHeight="1">
      <c r="A90" s="279"/>
      <c r="Y90" s="1742"/>
      <c r="Z90" s="1742"/>
      <c r="AZ90" s="1676"/>
    </row>
    <row r="91" spans="1:52" s="223" customFormat="1" ht="14.85" customHeight="1">
      <c r="A91" s="279"/>
      <c r="Y91" s="1742"/>
      <c r="Z91" s="1742"/>
      <c r="AZ91" s="1676"/>
    </row>
    <row r="92" spans="1:52" s="223" customFormat="1" ht="14.85" customHeight="1">
      <c r="A92" s="279"/>
      <c r="Y92" s="1742"/>
      <c r="Z92" s="1742"/>
      <c r="AZ92" s="1676"/>
    </row>
    <row r="93" spans="1:52" s="223" customFormat="1" ht="14.85" customHeight="1">
      <c r="Y93" s="1742"/>
      <c r="Z93" s="1742"/>
      <c r="AZ93" s="1676"/>
    </row>
    <row r="94" spans="1:52" s="223" customFormat="1" ht="14.85" customHeight="1">
      <c r="Y94" s="1742"/>
      <c r="Z94" s="1742"/>
      <c r="AZ94" s="1675"/>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7"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546875" defaultRowHeight="13.2"/>
  <cols>
    <col min="1" max="1" width="17.5546875" customWidth="1"/>
    <col min="2" max="5" width="16.5546875" customWidth="1"/>
    <col min="6" max="6" width="4.5546875" bestFit="1" customWidth="1"/>
    <col min="7" max="7" width="11.44140625" customWidth="1"/>
    <col min="8" max="9" width="12.44140625" bestFit="1" customWidth="1"/>
    <col min="10" max="10" width="11.5546875" bestFit="1" customWidth="1"/>
    <col min="11" max="11" width="15.44140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8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8">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546875" defaultRowHeight="13.2"/>
  <cols>
    <col min="1" max="1" width="7.44140625" customWidth="1"/>
    <col min="2" max="6" width="16.5546875" customWidth="1"/>
    <col min="7" max="7" width="11.5546875" customWidth="1"/>
    <col min="8" max="8" width="2.44140625" style="60" customWidth="1"/>
    <col min="9" max="9" width="10.44140625" bestFit="1" customWidth="1"/>
    <col min="10" max="10" width="12.44140625" customWidth="1"/>
    <col min="11" max="11" width="10.55468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8">
      <c r="A51" s="3316" t="s">
        <v>2275</v>
      </c>
      <c r="B51" s="3316"/>
      <c r="C51" s="3316"/>
      <c r="D51" s="3316"/>
      <c r="E51" s="3316"/>
      <c r="F51" s="3316"/>
      <c r="G51" s="189"/>
      <c r="H51" s="189"/>
      <c r="I51" s="189"/>
      <c r="J51" s="189"/>
    </row>
    <row r="52" spans="1:10" ht="5.8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0" zoomScaleNormal="100" workbookViewId="0">
      <selection activeCell="S146" sqref="J146:T146"/>
    </sheetView>
  </sheetViews>
  <sheetFormatPr defaultColWidth="9.44140625" defaultRowHeight="13.8"/>
  <cols>
    <col min="1" max="1" width="2.44140625" style="145" customWidth="1"/>
    <col min="2" max="2" width="5.44140625" style="145" customWidth="1"/>
    <col min="3" max="3" width="18.44140625" style="145" customWidth="1"/>
    <col min="4" max="4" width="7.44140625" style="145" customWidth="1"/>
    <col min="5" max="5" width="12.5546875" style="145" customWidth="1"/>
    <col min="6" max="6" width="10.44140625" style="145" customWidth="1"/>
    <col min="7" max="8" width="6.44140625" style="145" customWidth="1"/>
    <col min="9" max="9" width="1.5546875" style="145" customWidth="1"/>
    <col min="10" max="11" width="6.44140625" style="145" customWidth="1"/>
    <col min="12" max="12" width="1.5546875" style="145" customWidth="1"/>
    <col min="13" max="14" width="6.44140625" style="145" customWidth="1"/>
    <col min="15" max="15" width="1.5546875" style="145" customWidth="1"/>
    <col min="16" max="17" width="6.44140625" style="145" customWidth="1"/>
    <col min="18" max="18" width="1.5546875" style="145" customWidth="1"/>
    <col min="19" max="20" width="7" style="145" customWidth="1"/>
    <col min="21" max="21" width="5.5546875" style="145" customWidth="1"/>
    <col min="22" max="22" width="13.44140625" style="145" customWidth="1"/>
    <col min="23" max="23" width="24.5546875" style="145" customWidth="1"/>
    <col min="24" max="24" width="73.44140625" style="145" customWidth="1"/>
    <col min="25" max="25" width="9.44140625" style="145"/>
    <col min="26" max="29" width="8" style="145" customWidth="1"/>
    <col min="30" max="31" width="9.44140625" style="145" bestFit="1" customWidth="1"/>
    <col min="32" max="33" width="10.44140625" style="145" customWidth="1"/>
    <col min="34" max="51" width="8" style="145" customWidth="1"/>
    <col min="52" max="52" width="9.44140625" style="744"/>
    <col min="53" max="53" width="9.44140625" style="1739"/>
    <col min="54" max="16384" width="9.44140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Cusseta Crossing, Columbus, Muscogee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Cusseta Crossing, Columbus, Muscogee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12000</v>
      </c>
      <c r="H9" s="3231"/>
      <c r="J9" s="3230">
        <v>12000</v>
      </c>
      <c r="K9" s="3231"/>
      <c r="L9" s="828"/>
      <c r="M9" s="3230"/>
      <c r="N9" s="3231"/>
      <c r="P9" s="3230"/>
      <c r="Q9" s="3231"/>
      <c r="S9" s="3230"/>
      <c r="T9" s="3231"/>
      <c r="V9" s="849"/>
      <c r="W9" s="3342"/>
      <c r="X9" s="3343"/>
      <c r="AZ9" s="1968"/>
      <c r="BA9" s="1706">
        <v>9</v>
      </c>
    </row>
    <row r="10" spans="1:53" s="144" customFormat="1" ht="11.25" customHeight="1">
      <c r="B10" s="144" t="s">
        <v>431</v>
      </c>
      <c r="G10" s="3241">
        <v>8800</v>
      </c>
      <c r="H10" s="3242"/>
      <c r="J10" s="3241">
        <v>8800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25000</v>
      </c>
      <c r="H11" s="3242"/>
      <c r="J11" s="3241">
        <v>25000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15000</v>
      </c>
      <c r="H12" s="3242"/>
      <c r="J12" s="3241">
        <v>15000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15000</v>
      </c>
      <c r="H13" s="3242"/>
      <c r="J13" s="3241">
        <v>15000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6272</v>
      </c>
      <c r="C15" s="3377" t="s">
        <v>6722</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6366</v>
      </c>
      <c r="BA15" s="1706">
        <v>15</v>
      </c>
    </row>
    <row r="16" spans="1:53" s="144" customFormat="1" ht="11.25" customHeight="1">
      <c r="A16" s="303" t="str">
        <f>IF(AND(G16&gt;0,OR(C16="",C16="&lt;Enter detailed description here; use Comments section if needed&gt;")),"X","")</f>
        <v/>
      </c>
      <c r="B16" s="147" t="s">
        <v>6273</v>
      </c>
      <c r="C16" s="3377" t="s">
        <v>6722</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6367</v>
      </c>
      <c r="BA16" s="1706">
        <v>16</v>
      </c>
    </row>
    <row r="17" spans="1:53" s="144" customFormat="1" ht="11.25" customHeight="1" thickBot="1">
      <c r="A17" s="303" t="str">
        <f>IF(AND(G17&gt;0,OR(C17="",C17="&lt;Enter detailed description here; use Comments section if needed&gt;")),"X","")</f>
        <v/>
      </c>
      <c r="B17" s="147" t="s">
        <v>6274</v>
      </c>
      <c r="C17" s="3377" t="s">
        <v>6722</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6368</v>
      </c>
      <c r="BA17" s="1706">
        <v>17</v>
      </c>
    </row>
    <row r="18" spans="1:53" s="144" customFormat="1" ht="12.6" customHeight="1" thickTop="1">
      <c r="F18" s="281" t="s">
        <v>184</v>
      </c>
      <c r="G18" s="3338">
        <f>SUM(G9:G17)</f>
        <v>75800</v>
      </c>
      <c r="H18" s="3339"/>
      <c r="J18" s="3338">
        <f>SUM(J9:J17)</f>
        <v>75800</v>
      </c>
      <c r="K18" s="3339"/>
      <c r="L18" s="828"/>
      <c r="M18" s="3338">
        <f>SUM(M9:M17)</f>
        <v>0</v>
      </c>
      <c r="N18" s="3339"/>
      <c r="P18" s="3338">
        <f>SUM(P9:P17)</f>
        <v>0</v>
      </c>
      <c r="Q18" s="3339"/>
      <c r="S18" s="3338">
        <f>SUM(S9:S17)</f>
        <v>0</v>
      </c>
      <c r="T18" s="3339"/>
      <c r="V18" s="851">
        <f>SUM(V9:V17)</f>
        <v>0</v>
      </c>
      <c r="W18" s="3351"/>
      <c r="X18" s="3352"/>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121428.57142857143</v>
      </c>
      <c r="G20" s="3230">
        <v>850000</v>
      </c>
      <c r="H20" s="3231"/>
      <c r="J20" s="283"/>
      <c r="K20" s="280"/>
      <c r="L20" s="283"/>
      <c r="M20" s="283"/>
      <c r="N20" s="280"/>
      <c r="P20" s="283"/>
      <c r="Q20" s="280"/>
      <c r="S20" s="3230">
        <v>850000</v>
      </c>
      <c r="T20" s="3231"/>
      <c r="V20" s="849"/>
      <c r="W20" s="3342"/>
      <c r="X20" s="3343"/>
      <c r="AZ20" s="1968"/>
      <c r="BA20" s="1706">
        <v>20</v>
      </c>
    </row>
    <row r="21" spans="1:53" s="144" customFormat="1" ht="11.25" customHeight="1">
      <c r="B21" s="144" t="s">
        <v>1054</v>
      </c>
      <c r="G21" s="3241">
        <v>183777</v>
      </c>
      <c r="H21" s="3242"/>
      <c r="J21" s="283"/>
      <c r="K21" s="280"/>
      <c r="L21" s="283"/>
      <c r="M21" s="283"/>
      <c r="N21" s="280"/>
      <c r="P21" s="283"/>
      <c r="Q21" s="280"/>
      <c r="S21" s="3241">
        <v>183777</v>
      </c>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1033777</v>
      </c>
      <c r="H24" s="3339"/>
      <c r="J24" s="283"/>
      <c r="K24" s="280"/>
      <c r="L24" s="283"/>
      <c r="M24" s="3338">
        <f>SUM(M22:M23)</f>
        <v>0</v>
      </c>
      <c r="N24" s="3339"/>
      <c r="P24" s="283"/>
      <c r="Q24" s="280"/>
      <c r="S24" s="3338">
        <f>SUM(S20:S23)</f>
        <v>1033777</v>
      </c>
      <c r="T24" s="3339"/>
      <c r="V24" s="851">
        <f>SUM(V20:V23)</f>
        <v>0</v>
      </c>
      <c r="W24" s="3351"/>
      <c r="X24" s="3352"/>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361575.57142857142</v>
      </c>
      <c r="G26" s="3230">
        <v>2531029</v>
      </c>
      <c r="H26" s="3231"/>
      <c r="J26" s="3230">
        <v>2404478</v>
      </c>
      <c r="K26" s="3231"/>
      <c r="L26" s="828"/>
      <c r="M26" s="3379"/>
      <c r="N26" s="3380"/>
      <c r="P26" s="3379"/>
      <c r="Q26" s="3380"/>
      <c r="S26" s="3230">
        <v>126551</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2531029</v>
      </c>
      <c r="H28" s="3339"/>
      <c r="J28" s="3338">
        <f>SUM(J26:J27)</f>
        <v>2404478</v>
      </c>
      <c r="K28" s="3339"/>
      <c r="L28" s="283"/>
      <c r="M28" s="3338">
        <f>M26</f>
        <v>0</v>
      </c>
      <c r="N28" s="3339"/>
      <c r="P28" s="3338">
        <f>P26</f>
        <v>0</v>
      </c>
      <c r="Q28" s="3339"/>
      <c r="S28" s="3338">
        <f>SUM(S26:S27)</f>
        <v>126551</v>
      </c>
      <c r="T28" s="3339"/>
      <c r="V28" s="851">
        <f>SUM(V26:V27)</f>
        <v>0</v>
      </c>
      <c r="W28" s="3351"/>
      <c r="X28" s="3352"/>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6704580</v>
      </c>
      <c r="H30" s="3231"/>
      <c r="J30" s="3230">
        <v>6704580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6089</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6087</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6088</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6704580</v>
      </c>
      <c r="H36" s="3339"/>
      <c r="J36" s="3338">
        <f>SUM(J30:J35)</f>
        <v>6704580</v>
      </c>
      <c r="K36" s="3339"/>
      <c r="L36" s="828"/>
      <c r="M36" s="3338">
        <f>SUM(M30:M35)</f>
        <v>0</v>
      </c>
      <c r="N36" s="3339"/>
      <c r="P36" s="3338">
        <f>SUM(P30:P35)</f>
        <v>0</v>
      </c>
      <c r="Q36" s="3339"/>
      <c r="S36" s="3338">
        <f>SUM(S30:S35)</f>
        <v>0</v>
      </c>
      <c r="T36" s="3339"/>
      <c r="V36" s="851">
        <f>SUM(V30:V35)</f>
        <v>0</v>
      </c>
      <c r="W36" s="3351"/>
      <c r="X36" s="3352"/>
      <c r="AZ36" s="1968" t="s">
        <v>6372</v>
      </c>
      <c r="BA36" s="1706">
        <v>36</v>
      </c>
    </row>
    <row r="37" spans="1:53" s="144" customFormat="1" ht="12" customHeight="1">
      <c r="B37" s="243" t="s">
        <v>2163</v>
      </c>
      <c r="D37" s="3384" t="s">
        <v>3225</v>
      </c>
      <c r="E37" s="3384"/>
      <c r="F37" s="760">
        <f>SUM(F38:F40)</f>
        <v>0.1399998635715306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554136</v>
      </c>
      <c r="F38" s="1949">
        <f>IF(($G$28+$G$36)=0,0,G38/($G$28+$G$36))</f>
        <v>5.9999941530655965E-2</v>
      </c>
      <c r="G38" s="3230">
        <v>554136</v>
      </c>
      <c r="H38" s="3231"/>
      <c r="I38" s="145"/>
      <c r="J38" s="3230">
        <v>554136</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184712</v>
      </c>
      <c r="F39" s="1949">
        <f>IF(($G$28+$G$36)=0,0,G39/($G$28+$G$36))</f>
        <v>1.9999980510218656E-2</v>
      </c>
      <c r="G39" s="3241">
        <v>184712</v>
      </c>
      <c r="H39" s="3242"/>
      <c r="I39" s="145"/>
      <c r="J39" s="3241">
        <v>184712</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554136</v>
      </c>
      <c r="F40" s="1952">
        <f>IF(($G$28+$G$36)=0,0,G40/($G$28+$G$36))</f>
        <v>5.9999941530655965E-2</v>
      </c>
      <c r="G40" s="3340">
        <v>554136</v>
      </c>
      <c r="H40" s="3341"/>
      <c r="I40" s="145"/>
      <c r="J40" s="3340">
        <v>554136</v>
      </c>
      <c r="K40" s="3341"/>
      <c r="L40" s="828"/>
      <c r="M40" s="3340"/>
      <c r="N40" s="3341"/>
      <c r="P40" s="3340"/>
      <c r="Q40" s="3341"/>
      <c r="S40" s="3340"/>
      <c r="T40" s="3341"/>
      <c r="V40" s="849"/>
      <c r="W40" s="3349"/>
      <c r="X40" s="3350"/>
      <c r="AZ40" s="1968"/>
      <c r="BA40" s="1706">
        <v>40</v>
      </c>
    </row>
    <row r="41" spans="1:53" s="144" customFormat="1" ht="12.6" customHeight="1" thickTop="1">
      <c r="B41" s="147" t="s">
        <v>3226</v>
      </c>
      <c r="D41" s="761">
        <f>SUM(D38:D40)</f>
        <v>0.14000000000000001</v>
      </c>
      <c r="E41" s="762">
        <f>SUM(E38:E40)</f>
        <v>1292984</v>
      </c>
      <c r="F41" s="1946" t="s">
        <v>184</v>
      </c>
      <c r="G41" s="3338">
        <f>SUM(G38:G40)</f>
        <v>1292984</v>
      </c>
      <c r="H41" s="3339"/>
      <c r="J41" s="3338">
        <f>SUM(J38:J40)</f>
        <v>1292984</v>
      </c>
      <c r="K41" s="3339"/>
      <c r="L41" s="283"/>
      <c r="M41" s="3338">
        <f>SUM(M38:M40)</f>
        <v>0</v>
      </c>
      <c r="N41" s="3339"/>
      <c r="P41" s="3338">
        <f>SUM(P38:P40)</f>
        <v>0</v>
      </c>
      <c r="Q41" s="3339"/>
      <c r="S41" s="3338">
        <f>SUM(S38:S40)</f>
        <v>0</v>
      </c>
      <c r="T41" s="3339"/>
      <c r="V41" s="851">
        <f>SUM(V38:V40)</f>
        <v>0</v>
      </c>
      <c r="W41" s="3351"/>
      <c r="X41" s="3352"/>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04">
        <f>G28+G36+G41</f>
        <v>10528593</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77" t="s">
        <v>6722</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6375</v>
      </c>
      <c r="BA47" s="1706">
        <v>47</v>
      </c>
    </row>
    <row r="48" spans="1:53" s="144" customFormat="1" ht="12.6" customHeight="1">
      <c r="B48" s="1665" t="s">
        <v>2479</v>
      </c>
      <c r="C48" s="1666"/>
      <c r="E48" s="3396" t="s">
        <v>2478</v>
      </c>
      <c r="F48" s="1667">
        <f>C49/'Part V-Revenues &amp; Expenses'!$P$65</f>
        <v>219345.6875</v>
      </c>
      <c r="G48" s="1668" t="s">
        <v>2492</v>
      </c>
      <c r="H48" s="1669"/>
      <c r="I48" s="1669"/>
      <c r="J48" s="3398">
        <f>C49/'Part V-Revenues &amp; Expenses'!$P$67</f>
        <v>219345.6875</v>
      </c>
      <c r="K48" s="3398"/>
      <c r="L48" s="1669"/>
      <c r="M48" s="3399" t="s">
        <v>6476</v>
      </c>
      <c r="N48" s="3399"/>
      <c r="O48" s="1669"/>
      <c r="P48" s="3398">
        <f>C49/'Part V-Revenues &amp; Expenses'!$K$175</f>
        <v>222.82736507936508</v>
      </c>
      <c r="Q48" s="3398"/>
      <c r="R48" s="1669"/>
      <c r="S48" s="3400" t="s">
        <v>6478</v>
      </c>
      <c r="T48" s="3401"/>
      <c r="V48" s="852"/>
      <c r="W48" s="3392"/>
      <c r="X48" s="3393"/>
      <c r="AZ48" s="1968"/>
      <c r="BA48" s="1706">
        <v>48</v>
      </c>
    </row>
    <row r="49" spans="1:53" s="144" customFormat="1" ht="12.6" customHeight="1">
      <c r="B49" s="1714" t="s">
        <v>6489</v>
      </c>
      <c r="C49" s="1713">
        <f>G28+G36+G41+G46</f>
        <v>10528593</v>
      </c>
      <c r="E49" s="3397"/>
      <c r="F49" s="1670">
        <f>C49/'Part V-Revenues &amp; Expenses'!$P$166</f>
        <v>298.68348936170213</v>
      </c>
      <c r="G49" s="1671" t="s">
        <v>2493</v>
      </c>
      <c r="H49" s="1672"/>
      <c r="I49" s="1672"/>
      <c r="J49" s="3386">
        <f>C49/'Part V-Revenues &amp; Expenses'!$P$168</f>
        <v>298.68348936170213</v>
      </c>
      <c r="K49" s="3386"/>
      <c r="L49" s="1672"/>
      <c r="M49" s="3387" t="s">
        <v>6477</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526429.65</v>
      </c>
      <c r="F55" s="1756">
        <f>G55/C49</f>
        <v>4.9999938263355796E-2</v>
      </c>
      <c r="G55" s="3388">
        <v>526429</v>
      </c>
      <c r="H55" s="3389"/>
      <c r="I55" s="144"/>
      <c r="J55" s="3388">
        <v>526429</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6298</v>
      </c>
      <c r="C57" s="1666"/>
      <c r="E57" s="3481" t="s">
        <v>6299</v>
      </c>
      <c r="F57" s="1667">
        <f>B58/'Part V-Revenues &amp; Expenses'!$P$65</f>
        <v>230312.95833333334</v>
      </c>
      <c r="G57" s="1668" t="s">
        <v>2492</v>
      </c>
      <c r="H57" s="1669"/>
      <c r="I57" s="1669"/>
      <c r="J57" s="3398">
        <f>B58/'Part V-Revenues &amp; Expenses'!$P$67</f>
        <v>230312.95833333334</v>
      </c>
      <c r="K57" s="3398"/>
      <c r="L57" s="1669"/>
      <c r="M57" s="3399" t="s">
        <v>6476</v>
      </c>
      <c r="N57" s="3399"/>
      <c r="O57" s="1669"/>
      <c r="P57" s="3398">
        <f>B58/'Part V-Revenues &amp; Expenses'!$K$175</f>
        <v>233.96871957671956</v>
      </c>
      <c r="Q57" s="3398"/>
      <c r="R57" s="1669"/>
      <c r="S57" s="3400" t="s">
        <v>6478</v>
      </c>
      <c r="T57" s="3401"/>
      <c r="V57" s="852"/>
      <c r="W57" s="3392"/>
      <c r="X57" s="3393"/>
      <c r="AZ57" s="1968"/>
      <c r="BA57" s="1706">
        <v>54</v>
      </c>
    </row>
    <row r="58" spans="1:53" s="144" customFormat="1" ht="12.6" customHeight="1">
      <c r="B58" s="3479">
        <f>C49+G55</f>
        <v>11055022</v>
      </c>
      <c r="C58" s="3480"/>
      <c r="E58" s="3482"/>
      <c r="F58" s="1670">
        <f>B58/'Part V-Revenues &amp; Expenses'!$P$166</f>
        <v>313.61764539007095</v>
      </c>
      <c r="G58" s="1671" t="s">
        <v>2493</v>
      </c>
      <c r="H58" s="1672"/>
      <c r="I58" s="1672"/>
      <c r="J58" s="3386">
        <f>B58/'Part V-Revenues &amp; Expenses'!$P$168</f>
        <v>313.61764539007095</v>
      </c>
      <c r="K58" s="3386"/>
      <c r="L58" s="1672"/>
      <c r="M58" s="3387" t="s">
        <v>6477</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111634</v>
      </c>
      <c r="H63" s="3242"/>
      <c r="J63" s="3241">
        <v>111634</v>
      </c>
      <c r="K63" s="3242"/>
      <c r="L63" s="828"/>
      <c r="M63" s="3241"/>
      <c r="N63" s="3242"/>
      <c r="P63" s="3241"/>
      <c r="Q63" s="3242"/>
      <c r="S63" s="3241"/>
      <c r="T63" s="3242"/>
      <c r="V63" s="853"/>
      <c r="W63" s="3342"/>
      <c r="X63" s="3343"/>
      <c r="AZ63" s="1968"/>
      <c r="BA63" s="1706">
        <v>63</v>
      </c>
    </row>
    <row r="64" spans="1:53" s="144" customFormat="1" ht="12" customHeight="1">
      <c r="B64" s="144" t="s">
        <v>2167</v>
      </c>
      <c r="G64" s="3241">
        <v>636661</v>
      </c>
      <c r="H64" s="3242"/>
      <c r="J64" s="3241">
        <v>636661</v>
      </c>
      <c r="K64" s="3242"/>
      <c r="L64" s="828"/>
      <c r="M64" s="3241"/>
      <c r="N64" s="3242"/>
      <c r="P64" s="3241"/>
      <c r="Q64" s="3242"/>
      <c r="S64" s="3241"/>
      <c r="T64" s="3242"/>
      <c r="V64" s="853"/>
      <c r="W64" s="3342"/>
      <c r="X64" s="3343"/>
      <c r="AZ64" s="1968"/>
      <c r="BA64" s="1706">
        <v>64</v>
      </c>
    </row>
    <row r="65" spans="1:53" s="144" customFormat="1" ht="12" customHeight="1">
      <c r="B65" s="144" t="s">
        <v>2168</v>
      </c>
      <c r="G65" s="3241">
        <v>50000</v>
      </c>
      <c r="H65" s="3242"/>
      <c r="J65" s="3241">
        <v>25000</v>
      </c>
      <c r="K65" s="3242"/>
      <c r="L65" s="828"/>
      <c r="M65" s="3241"/>
      <c r="N65" s="3242"/>
      <c r="P65" s="3241"/>
      <c r="Q65" s="3242"/>
      <c r="S65" s="3241">
        <v>25000</v>
      </c>
      <c r="T65" s="3242"/>
      <c r="V65" s="853"/>
      <c r="W65" s="3342"/>
      <c r="X65" s="3343"/>
      <c r="AZ65" s="1968" t="s">
        <v>6376</v>
      </c>
      <c r="BA65" s="1706">
        <v>65</v>
      </c>
    </row>
    <row r="66" spans="1:53" s="144" customFormat="1" ht="12" customHeight="1">
      <c r="B66" s="144" t="s">
        <v>2450</v>
      </c>
      <c r="G66" s="3241">
        <v>15000</v>
      </c>
      <c r="H66" s="3242"/>
      <c r="J66" s="3241">
        <v>15000</v>
      </c>
      <c r="K66" s="3242"/>
      <c r="L66" s="828"/>
      <c r="M66" s="3241"/>
      <c r="N66" s="3242"/>
      <c r="P66" s="3241"/>
      <c r="Q66" s="3242"/>
      <c r="S66" s="3241"/>
      <c r="T66" s="3242"/>
      <c r="V66" s="853"/>
      <c r="W66" s="3342"/>
      <c r="X66" s="3343"/>
      <c r="AZ66" s="1968" t="s">
        <v>6377</v>
      </c>
      <c r="BA66" s="1706">
        <v>66</v>
      </c>
    </row>
    <row r="67" spans="1:53" s="144" customFormat="1" ht="12" customHeight="1">
      <c r="B67" s="144" t="s">
        <v>676</v>
      </c>
      <c r="G67" s="3241">
        <v>15000</v>
      </c>
      <c r="H67" s="3242"/>
      <c r="J67" s="3241">
        <v>15000</v>
      </c>
      <c r="K67" s="3242"/>
      <c r="L67" s="828"/>
      <c r="M67" s="3241"/>
      <c r="N67" s="3242"/>
      <c r="P67" s="3241"/>
      <c r="Q67" s="3242"/>
      <c r="S67" s="3241"/>
      <c r="T67" s="3242"/>
      <c r="V67" s="853"/>
      <c r="W67" s="3342"/>
      <c r="X67" s="3343"/>
      <c r="AZ67" s="1968" t="s">
        <v>6378</v>
      </c>
      <c r="BA67" s="1706">
        <v>67</v>
      </c>
    </row>
    <row r="68" spans="1:53" s="144" customFormat="1" ht="12" customHeight="1">
      <c r="B68" s="144" t="s">
        <v>2169</v>
      </c>
      <c r="G68" s="3241">
        <v>25000</v>
      </c>
      <c r="H68" s="3242"/>
      <c r="J68" s="3241">
        <v>25000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60000</v>
      </c>
      <c r="H69" s="3242"/>
      <c r="J69" s="3241">
        <v>45000</v>
      </c>
      <c r="K69" s="3242"/>
      <c r="L69" s="828"/>
      <c r="M69" s="3241"/>
      <c r="N69" s="3242"/>
      <c r="P69" s="3241"/>
      <c r="Q69" s="3242"/>
      <c r="S69" s="3241">
        <v>15000</v>
      </c>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6277</v>
      </c>
      <c r="C71" s="3408" t="s">
        <v>6722</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6278</v>
      </c>
      <c r="C72" s="3406" t="s">
        <v>6722</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913295</v>
      </c>
      <c r="H73" s="3339"/>
      <c r="J73" s="3338">
        <f>SUM(J61:J72)</f>
        <v>873295</v>
      </c>
      <c r="K73" s="3339"/>
      <c r="L73" s="283"/>
      <c r="M73" s="3338">
        <f>SUM(M61:M72)</f>
        <v>0</v>
      </c>
      <c r="N73" s="3339"/>
      <c r="P73" s="3338">
        <f>SUM(P61:P72)</f>
        <v>0</v>
      </c>
      <c r="Q73" s="3339"/>
      <c r="S73" s="3338">
        <f>SUM(S61:S72)</f>
        <v>40000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144000</v>
      </c>
      <c r="H75" s="3231"/>
      <c r="J75" s="3230">
        <v>144000</v>
      </c>
      <c r="K75" s="3231"/>
      <c r="L75" s="828"/>
      <c r="M75" s="3230"/>
      <c r="N75" s="3231"/>
      <c r="P75" s="3230"/>
      <c r="Q75" s="3231"/>
      <c r="S75" s="3230"/>
      <c r="T75" s="3231"/>
      <c r="V75" s="849"/>
      <c r="W75" s="3342"/>
      <c r="X75" s="3343"/>
      <c r="AZ75" s="1968"/>
      <c r="BA75" s="1706">
        <v>75</v>
      </c>
    </row>
    <row r="76" spans="1:53" s="144" customFormat="1" ht="12" customHeight="1">
      <c r="B76" s="144" t="s">
        <v>451</v>
      </c>
      <c r="G76" s="3241">
        <v>48000</v>
      </c>
      <c r="H76" s="3242"/>
      <c r="J76" s="3241">
        <v>48000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25000</v>
      </c>
      <c r="H77" s="3242"/>
      <c r="J77" s="3241">
        <v>25000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10000</v>
      </c>
      <c r="H78" s="3242"/>
      <c r="J78" s="3241">
        <v>10000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15000</v>
      </c>
      <c r="H79" s="3242"/>
      <c r="J79" s="3241">
        <v>15000</v>
      </c>
      <c r="K79" s="3242"/>
      <c r="L79" s="828"/>
      <c r="M79" s="3241"/>
      <c r="N79" s="3242"/>
      <c r="P79" s="3241"/>
      <c r="Q79" s="3242"/>
      <c r="S79" s="3241"/>
      <c r="T79" s="3242"/>
      <c r="V79" s="849"/>
      <c r="W79" s="3342"/>
      <c r="X79" s="3343"/>
      <c r="AZ79" s="1968" t="s">
        <v>6379</v>
      </c>
      <c r="BA79" s="1706">
        <v>79</v>
      </c>
    </row>
    <row r="80" spans="1:53" s="144" customFormat="1" ht="12" customHeight="1">
      <c r="B80" s="144" t="s">
        <v>1064</v>
      </c>
      <c r="G80" s="3241">
        <v>50000</v>
      </c>
      <c r="H80" s="3242"/>
      <c r="J80" s="3241">
        <v>50000</v>
      </c>
      <c r="K80" s="3242"/>
      <c r="L80" s="828"/>
      <c r="M80" s="3241"/>
      <c r="N80" s="3242"/>
      <c r="P80" s="3241"/>
      <c r="Q80" s="3242"/>
      <c r="S80" s="3241"/>
      <c r="T80" s="3242"/>
      <c r="V80" s="849"/>
      <c r="W80" s="3342"/>
      <c r="X80" s="3343"/>
      <c r="AZ80" s="1968" t="s">
        <v>6380</v>
      </c>
      <c r="BA80" s="1706">
        <v>80</v>
      </c>
    </row>
    <row r="81" spans="1:53" s="144" customFormat="1" ht="12" customHeight="1">
      <c r="B81" s="144" t="s">
        <v>452</v>
      </c>
      <c r="G81" s="3241">
        <v>95000</v>
      </c>
      <c r="H81" s="3242"/>
      <c r="J81" s="3241">
        <v>95000</v>
      </c>
      <c r="K81" s="3242"/>
      <c r="L81" s="828"/>
      <c r="M81" s="3241"/>
      <c r="N81" s="3242"/>
      <c r="P81" s="3241"/>
      <c r="Q81" s="3242"/>
      <c r="S81" s="3241"/>
      <c r="T81" s="3242"/>
      <c r="V81" s="849"/>
      <c r="W81" s="3342"/>
      <c r="X81" s="3343"/>
      <c r="AZ81" s="744"/>
      <c r="BA81" s="1706">
        <v>81</v>
      </c>
    </row>
    <row r="82" spans="1:53" s="144" customFormat="1" ht="12" customHeight="1">
      <c r="B82" s="144" t="s">
        <v>453</v>
      </c>
      <c r="G82" s="3241">
        <v>50000</v>
      </c>
      <c r="H82" s="3242"/>
      <c r="J82" s="3241">
        <v>25000</v>
      </c>
      <c r="K82" s="3242"/>
      <c r="L82" s="828"/>
      <c r="M82" s="3241"/>
      <c r="N82" s="3242"/>
      <c r="P82" s="3241"/>
      <c r="Q82" s="3242"/>
      <c r="S82" s="3241">
        <v>25000</v>
      </c>
      <c r="T82" s="3242"/>
      <c r="V82" s="849"/>
      <c r="W82" s="3342"/>
      <c r="X82" s="3343"/>
      <c r="AZ82" s="1968"/>
      <c r="BA82" s="1706">
        <v>82</v>
      </c>
    </row>
    <row r="83" spans="1:53" s="144" customFormat="1" ht="12" customHeight="1">
      <c r="B83" s="144" t="s">
        <v>1899</v>
      </c>
      <c r="G83" s="3241">
        <v>30000</v>
      </c>
      <c r="H83" s="3242"/>
      <c r="J83" s="3241">
        <v>30000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10000</v>
      </c>
      <c r="H84" s="3242"/>
      <c r="J84" s="3241">
        <v>10000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6279</v>
      </c>
      <c r="C85" s="3377" t="s">
        <v>6722</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477000</v>
      </c>
      <c r="H86" s="3339"/>
      <c r="J86" s="3338">
        <f>SUM(J75:J85)</f>
        <v>452000</v>
      </c>
      <c r="K86" s="3339"/>
      <c r="L86" s="283"/>
      <c r="M86" s="3338">
        <f>SUM(M75:M85)</f>
        <v>0</v>
      </c>
      <c r="N86" s="3339"/>
      <c r="P86" s="3338">
        <f>SUM(P75:P85)</f>
        <v>0</v>
      </c>
      <c r="Q86" s="3339"/>
      <c r="S86" s="3338">
        <f>SUM(S75:S85)</f>
        <v>25000</v>
      </c>
      <c r="T86" s="3339"/>
      <c r="V86" s="851">
        <f>SUM(V75:V85)</f>
        <v>0</v>
      </c>
      <c r="W86" s="3351"/>
      <c r="X86" s="3352"/>
      <c r="AZ86" s="1968" t="s">
        <v>6381</v>
      </c>
      <c r="BA86" s="1706">
        <v>86</v>
      </c>
    </row>
    <row r="87" spans="1:53" ht="12" customHeight="1">
      <c r="A87" s="144"/>
      <c r="B87" s="243" t="s">
        <v>1193</v>
      </c>
      <c r="C87" s="144"/>
      <c r="D87" s="690" t="s">
        <v>3229</v>
      </c>
      <c r="E87" s="763">
        <f>G92/'Part V-Revenues &amp; Expenses'!$P$67</f>
        <v>2154.1458333333335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50149</v>
      </c>
      <c r="H88" s="3231"/>
      <c r="J88" s="3230">
        <v>50149</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16800</v>
      </c>
      <c r="H90" s="3242"/>
      <c r="I90" s="145"/>
      <c r="J90" s="3241">
        <v>16800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v>36450</v>
      </c>
      <c r="H91" s="3190"/>
      <c r="I91" s="145"/>
      <c r="J91" s="3189">
        <v>36450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103399</v>
      </c>
      <c r="H92" s="3339"/>
      <c r="J92" s="3338">
        <f>SUM(J88:J91)</f>
        <v>103399</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30"/>
      <c r="H97" s="3231"/>
      <c r="J97" s="3410"/>
      <c r="K97" s="3410"/>
      <c r="L97" s="828"/>
      <c r="M97" s="3410"/>
      <c r="N97" s="3410"/>
      <c r="P97" s="3410"/>
      <c r="Q97" s="3410"/>
      <c r="S97" s="3230"/>
      <c r="T97" s="3231"/>
      <c r="V97" s="849"/>
      <c r="W97" s="3342"/>
      <c r="X97" s="3343"/>
      <c r="AZ97" s="1968" t="s">
        <v>6383</v>
      </c>
      <c r="BA97" s="1706">
        <v>97</v>
      </c>
    </row>
    <row r="98" spans="1:53" s="144" customFormat="1" ht="12" customHeight="1">
      <c r="B98" s="144" t="s">
        <v>1199</v>
      </c>
      <c r="G98" s="3241"/>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6280</v>
      </c>
      <c r="C102" s="3377" t="s">
        <v>6722</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0</v>
      </c>
      <c r="H103" s="3339"/>
      <c r="J103" s="3410"/>
      <c r="K103" s="3410"/>
      <c r="L103" s="283"/>
      <c r="M103" s="3410"/>
      <c r="N103" s="3410"/>
      <c r="P103" s="3410"/>
      <c r="Q103" s="3410"/>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48</v>
      </c>
      <c r="AZ106" s="1968" t="s">
        <v>6384</v>
      </c>
      <c r="BA106" s="1706">
        <v>106</v>
      </c>
    </row>
    <row r="107" spans="1:53" s="144" customFormat="1" ht="12.6" customHeight="1">
      <c r="B107" s="144" t="s">
        <v>3319</v>
      </c>
      <c r="G107" s="3241">
        <v>2000</v>
      </c>
      <c r="H107" s="3242"/>
      <c r="J107" s="283"/>
      <c r="K107" s="283"/>
      <c r="L107" s="290"/>
      <c r="M107" s="283"/>
      <c r="N107" s="283"/>
      <c r="P107" s="283"/>
      <c r="Q107" s="283"/>
      <c r="S107" s="3241">
        <v>2000</v>
      </c>
      <c r="T107" s="3242"/>
      <c r="V107" s="849"/>
      <c r="W107" s="3342"/>
      <c r="X107" s="3343"/>
      <c r="Y107" s="3331"/>
      <c r="Z107" s="301"/>
      <c r="AA107" s="225" t="s">
        <v>6709</v>
      </c>
      <c r="AB107" s="147"/>
      <c r="AC107" s="147"/>
      <c r="AD107" s="147"/>
      <c r="AF107" s="1936" t="s">
        <v>6710</v>
      </c>
      <c r="AZ107" s="1968" t="s">
        <v>6385</v>
      </c>
      <c r="BA107" s="1706">
        <v>107</v>
      </c>
    </row>
    <row r="108" spans="1:53" s="144" customFormat="1" ht="12.6" customHeight="1">
      <c r="B108" s="144" t="s">
        <v>486</v>
      </c>
      <c r="E108" s="3411">
        <f>ROUNDUP('DCA Underwriting Assumptions'!$Q$56*J191,0)</f>
        <v>98000</v>
      </c>
      <c r="F108" s="3412"/>
      <c r="G108" s="3241">
        <v>98000</v>
      </c>
      <c r="H108" s="3242"/>
      <c r="J108" s="764" t="str">
        <f>IF(E108&gt;G108,"WARNING!  LIHTC Allocation Fee proposed is below minimum required.","")</f>
        <v/>
      </c>
      <c r="K108" s="283"/>
      <c r="L108" s="828"/>
      <c r="M108" s="283"/>
      <c r="N108" s="283"/>
      <c r="P108" s="283"/>
      <c r="Q108" s="283"/>
      <c r="S108" s="3241">
        <v>98000</v>
      </c>
      <c r="T108" s="3242"/>
      <c r="V108" s="849"/>
      <c r="W108" s="3342"/>
      <c r="X108" s="3343"/>
      <c r="Y108" s="333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11">
        <f>AF111+AF115</f>
        <v>48000</v>
      </c>
      <c r="F109" s="3412"/>
      <c r="G109" s="3241">
        <v>48000</v>
      </c>
      <c r="H109" s="3242"/>
      <c r="I109" s="3346" t="str">
        <f>IF(E109&gt;G109,"WARNING!  LIHTC Compliance Fee proposed is below minimum required.","")</f>
        <v/>
      </c>
      <c r="J109" s="3347"/>
      <c r="K109" s="3347"/>
      <c r="L109" s="3347"/>
      <c r="M109" s="3347"/>
      <c r="N109" s="3347"/>
      <c r="O109" s="3347"/>
      <c r="P109" s="3347"/>
      <c r="Q109" s="3347"/>
      <c r="R109" s="3348"/>
      <c r="S109" s="3241">
        <v>48000</v>
      </c>
      <c r="T109" s="3242"/>
      <c r="V109" s="849"/>
      <c r="W109" s="3342"/>
      <c r="X109" s="3343"/>
      <c r="Y109" s="333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08" t="s">
        <v>6722</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06" t="s">
        <v>6722</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48</v>
      </c>
      <c r="AF113" s="1934">
        <f>IF($AD$105="Income Averaging",AD113*'DCA Underwriting Assumptions'!$Q$61,AD113*'DCA Underwriting Assumptions'!$Q$60)</f>
        <v>48000</v>
      </c>
      <c r="AZ113" s="1968" t="s">
        <v>6387</v>
      </c>
      <c r="BA113" s="1706">
        <v>113</v>
      </c>
    </row>
    <row r="114" spans="1:53" s="144" customFormat="1" ht="12.6" customHeight="1" thickTop="1">
      <c r="F114" s="281" t="s">
        <v>184</v>
      </c>
      <c r="G114" s="3338">
        <f>SUM(G105:G113)</f>
        <v>169000</v>
      </c>
      <c r="H114" s="3339"/>
      <c r="J114" s="283"/>
      <c r="K114" s="283"/>
      <c r="L114" s="828"/>
      <c r="M114" s="283"/>
      <c r="N114" s="283"/>
      <c r="P114" s="283"/>
      <c r="Q114" s="283"/>
      <c r="S114" s="3338">
        <f>SUM(S105:S113)</f>
        <v>169000</v>
      </c>
      <c r="T114" s="3339"/>
      <c r="V114" s="851">
        <f>SUM(V105:V113)</f>
        <v>0</v>
      </c>
      <c r="W114" s="3465"/>
      <c r="X114" s="3466"/>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48</v>
      </c>
      <c r="AF115" s="1935">
        <f>SUM(AF113:AF114)</f>
        <v>48000</v>
      </c>
      <c r="AZ115" s="1959"/>
      <c r="BA115" s="1706">
        <v>115</v>
      </c>
    </row>
    <row r="116" spans="1:53" s="144" customFormat="1" ht="12.6" customHeight="1">
      <c r="B116" s="144" t="s">
        <v>267</v>
      </c>
      <c r="G116" s="3230">
        <v>3000</v>
      </c>
      <c r="H116" s="3231"/>
      <c r="J116" s="3410"/>
      <c r="K116" s="3410"/>
      <c r="L116" s="828"/>
      <c r="M116" s="3410"/>
      <c r="N116" s="3410"/>
      <c r="P116" s="3410"/>
      <c r="Q116" s="3410"/>
      <c r="S116" s="3230">
        <v>3000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6276</v>
      </c>
      <c r="C119" s="3377" t="s">
        <v>6722</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3000</v>
      </c>
      <c r="H120" s="3339"/>
      <c r="J120" s="3410"/>
      <c r="K120" s="3410"/>
      <c r="L120" s="828"/>
      <c r="M120" s="3410"/>
      <c r="N120" s="3410"/>
      <c r="P120" s="3410"/>
      <c r="Q120" s="3410"/>
      <c r="S120" s="3338">
        <f>SUM(S116:S119)</f>
        <v>3000</v>
      </c>
      <c r="T120" s="3339"/>
      <c r="V120" s="851">
        <f>SUM(V116:V119)</f>
        <v>0</v>
      </c>
      <c r="W120" s="3351"/>
      <c r="X120" s="3352"/>
      <c r="AC120" s="3362" t="s">
        <v>3923</v>
      </c>
      <c r="AD120" s="3362" t="s">
        <v>3924</v>
      </c>
      <c r="AE120" s="3376" t="s">
        <v>3927</v>
      </c>
      <c r="AF120" s="3368" t="s">
        <v>3925</v>
      </c>
      <c r="AG120" s="3376" t="s">
        <v>3916</v>
      </c>
      <c r="AH120" s="3488" t="s">
        <v>6743</v>
      </c>
      <c r="AI120" s="348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63"/>
      <c r="AD121" s="3363"/>
      <c r="AE121" s="3170"/>
      <c r="AF121" s="3369"/>
      <c r="AG121" s="3376"/>
      <c r="AH121" s="3488"/>
      <c r="AI121" s="3488"/>
      <c r="AK121" s="44"/>
      <c r="AZ121" s="1959" t="s">
        <v>6389</v>
      </c>
      <c r="BA121" s="1706">
        <v>121</v>
      </c>
    </row>
    <row r="122" spans="1:53" s="144" customFormat="1" ht="12.6" customHeight="1">
      <c r="B122" s="144" t="s">
        <v>1724</v>
      </c>
      <c r="F122" s="323">
        <f>IF($G$127=0,0,G122/$G$127)</f>
        <v>0.23464566929133859</v>
      </c>
      <c r="G122" s="3413">
        <v>298000</v>
      </c>
      <c r="H122" s="3413"/>
      <c r="J122" s="3414">
        <v>298000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1320000</v>
      </c>
      <c r="AF122" s="3370">
        <f>SUM(AE122:AE124)</f>
        <v>1320000</v>
      </c>
      <c r="AG122" s="3497">
        <f>'DCA Underwriting Assumptions'!$Q$74</f>
        <v>2000000</v>
      </c>
      <c r="AH122" s="3489">
        <f>MIN(AF122,AG122)</f>
        <v>1320000</v>
      </c>
      <c r="AI122" s="3490"/>
      <c r="AZ122" s="1959"/>
      <c r="BA122" s="1706">
        <v>122</v>
      </c>
    </row>
    <row r="123" spans="1:53" s="144" customFormat="1" ht="12.6" customHeight="1">
      <c r="B123" s="144" t="s">
        <v>3412</v>
      </c>
      <c r="F123" s="949">
        <v>298000</v>
      </c>
      <c r="G123" s="241" t="s">
        <v>6723</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4.3307086614173228E-2</v>
      </c>
      <c r="G124" s="3230">
        <v>55000</v>
      </c>
      <c r="H124" s="3231"/>
      <c r="J124" s="3230">
        <v>55000</v>
      </c>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1320000</v>
      </c>
      <c r="AF125" s="3370">
        <f>SUM(AE125:AE127)</f>
        <v>1320000</v>
      </c>
      <c r="AG125" s="3370">
        <f>'DCA Underwriting Assumptions'!$Q$75</f>
        <v>3500000</v>
      </c>
      <c r="AH125" s="3489">
        <f>MIN(AF125,AG125)</f>
        <v>1320000</v>
      </c>
      <c r="AI125" s="3490"/>
      <c r="AZ125" s="1959"/>
      <c r="BA125" s="1706">
        <v>125</v>
      </c>
    </row>
    <row r="126" spans="1:53" s="144" customFormat="1" ht="12.6" customHeight="1" thickBot="1">
      <c r="B126" s="144" t="s">
        <v>1717</v>
      </c>
      <c r="F126" s="323">
        <f>IF($G$127=0,0,G126/$G$127)</f>
        <v>0.72204724409448817</v>
      </c>
      <c r="G126" s="3189">
        <v>917000</v>
      </c>
      <c r="H126" s="3190"/>
      <c r="J126" s="3189">
        <v>917000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1320000</v>
      </c>
      <c r="F127" s="281" t="s">
        <v>184</v>
      </c>
      <c r="G127" s="3338">
        <f>SUM(G122:G126)</f>
        <v>1270000</v>
      </c>
      <c r="H127" s="3416"/>
      <c r="J127" s="3338">
        <f>SUM(J122:J126)</f>
        <v>1270000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30">
        <v>40000</v>
      </c>
      <c r="H129" s="3231"/>
      <c r="J129" s="291"/>
      <c r="K129" s="291"/>
      <c r="L129" s="291"/>
      <c r="M129" s="291"/>
      <c r="N129" s="291"/>
      <c r="P129" s="291"/>
      <c r="Q129" s="291"/>
      <c r="S129" s="3230">
        <v>40000</v>
      </c>
      <c r="T129" s="3231"/>
      <c r="V129" s="849"/>
      <c r="W129" s="3342"/>
      <c r="X129" s="3343"/>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67237</v>
      </c>
      <c r="G130" s="3241">
        <v>67238</v>
      </c>
      <c r="H130" s="3242"/>
      <c r="J130" s="765" t="str">
        <f>IF(E130&gt;G130,"WARNING! Rent-Up Reserves proposed is below minimum - add comment.","")</f>
        <v/>
      </c>
      <c r="K130" s="765"/>
      <c r="L130" s="828"/>
      <c r="M130" s="750"/>
      <c r="N130" s="750"/>
      <c r="P130" s="750"/>
      <c r="Q130" s="750"/>
      <c r="S130" s="3241">
        <v>67238</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134474</v>
      </c>
      <c r="G131" s="3241">
        <v>134475</v>
      </c>
      <c r="H131" s="3242"/>
      <c r="J131" s="765" t="str">
        <f>IF(E131&gt;G131,"WARNING! ODR proposed is below minimum - add comment.","")</f>
        <v/>
      </c>
      <c r="K131" s="290"/>
      <c r="L131" s="290"/>
      <c r="M131" s="290"/>
      <c r="N131" s="290"/>
      <c r="P131" s="290"/>
      <c r="Q131" s="290"/>
      <c r="S131" s="3241">
        <v>134475</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6392</v>
      </c>
      <c r="BA132" s="1706">
        <v>132</v>
      </c>
    </row>
    <row r="133" spans="1:53" s="144" customFormat="1" ht="12.6" customHeight="1">
      <c r="B133" s="144" t="s">
        <v>1171</v>
      </c>
      <c r="E133" s="658" t="s">
        <v>3138</v>
      </c>
      <c r="F133" s="365">
        <f>IF('Part V-Revenues &amp; Expenses'!$P$67=0,0,G133/'Part V-Revenues &amp; Expenses'!$P$67)</f>
        <v>1666.6666666666667</v>
      </c>
      <c r="G133" s="3241">
        <v>80000</v>
      </c>
      <c r="H133" s="3242"/>
      <c r="J133" s="3230">
        <v>80000</v>
      </c>
      <c r="K133" s="3231"/>
      <c r="L133" s="828"/>
      <c r="M133" s="3230"/>
      <c r="N133" s="3231"/>
      <c r="P133" s="3230"/>
      <c r="Q133" s="3231"/>
      <c r="S133" s="3241"/>
      <c r="T133" s="3242"/>
      <c r="V133" s="849"/>
      <c r="W133" s="3342"/>
      <c r="X133" s="3343"/>
      <c r="AZ133" s="1968" t="s">
        <v>6393</v>
      </c>
      <c r="BA133" s="1706">
        <v>133</v>
      </c>
    </row>
    <row r="134" spans="1:53" s="144" customFormat="1" ht="12.6" customHeight="1" thickBot="1">
      <c r="A134" s="303" t="str">
        <f>IF(AND(G134&gt;0,OR(C134="",C134="&lt;Enter detailed description here; use Comments section if needed&gt;")),"X","")</f>
        <v/>
      </c>
      <c r="B134" s="147" t="s">
        <v>6276</v>
      </c>
      <c r="C134" s="3377" t="s">
        <v>7058</v>
      </c>
      <c r="D134" s="3377"/>
      <c r="E134" s="3377"/>
      <c r="F134" s="3378"/>
      <c r="G134" s="3189">
        <v>50000</v>
      </c>
      <c r="H134" s="3190"/>
      <c r="J134" s="3340"/>
      <c r="K134" s="3341"/>
      <c r="L134" s="828"/>
      <c r="M134" s="3189"/>
      <c r="N134" s="3190"/>
      <c r="P134" s="3189"/>
      <c r="Q134" s="3190"/>
      <c r="S134" s="3189">
        <v>50000</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371713</v>
      </c>
      <c r="H135" s="3339"/>
      <c r="J135" s="3338">
        <f>SUM(J133:J134)</f>
        <v>80000</v>
      </c>
      <c r="K135" s="3339"/>
      <c r="L135" s="828"/>
      <c r="M135" s="3338">
        <f>SUM(M133:M134)</f>
        <v>0</v>
      </c>
      <c r="N135" s="3339"/>
      <c r="P135" s="3338">
        <f>SUM(P133:P134)</f>
        <v>0</v>
      </c>
      <c r="Q135" s="3339"/>
      <c r="S135" s="3338">
        <f>SUM(S129:S134)</f>
        <v>291713</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6276</v>
      </c>
      <c r="C143" s="3377" t="s">
        <v>6722</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486">
        <f>G18+G24+G28+G36+G41+G46+G55+G73+G86+G92+G103+G114+G120+G127+G135+G144</f>
        <v>15472006</v>
      </c>
      <c r="H146" s="3487"/>
      <c r="J146" s="3486">
        <f>J18+J24+J28+J36+J41+J46+J55+J73+J86+J92+J103+J114+J120+J127+J135+J144</f>
        <v>13782965</v>
      </c>
      <c r="K146" s="3487"/>
      <c r="M146" s="3486">
        <f>M18+M24+M28+M36+M41+M46+M55+M73+M86+M92+M103+M114+M120+M127+M135+M144</f>
        <v>0</v>
      </c>
      <c r="N146" s="3487"/>
      <c r="P146" s="3486">
        <f>P18+P24+P28+P36+P41+P46+P55+P73+P86+P92+P103+P114+P120+P127+P135+P144</f>
        <v>0</v>
      </c>
      <c r="Q146" s="3487"/>
      <c r="S146" s="3486">
        <f>S18+S24+S28+S36+S41+S46+S55+S73+S86+S92+S103+S114+S120+S127+S135+S144</f>
        <v>1689041</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322333.45833333331</v>
      </c>
      <c r="E148" s="3483"/>
      <c r="F148" s="390" t="s">
        <v>2487</v>
      </c>
      <c r="G148" s="3484">
        <f>IF('Part V-Revenues &amp; Expenses'!$K$175=0,0,G146/'Part V-Revenues &amp; Expenses'!$K$175)</f>
        <v>327.44986243386245</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13782965</v>
      </c>
      <c r="K162" s="3335"/>
      <c r="M162" s="3336">
        <f>M146</f>
        <v>0</v>
      </c>
      <c r="N162" s="3337"/>
      <c r="P162" s="3334">
        <f>P146</f>
        <v>0</v>
      </c>
      <c r="Q162" s="3335"/>
      <c r="R162" s="3469" t="s">
        <v>3774</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13782965</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7059</v>
      </c>
      <c r="I165" s="3420"/>
      <c r="J165" s="3421">
        <v>1.3</v>
      </c>
      <c r="K165" s="3422"/>
      <c r="M165" s="3423"/>
      <c r="N165" s="3423"/>
      <c r="P165" s="3421"/>
      <c r="Q165" s="3422"/>
      <c r="R165" s="3470" t="s">
        <v>3205</v>
      </c>
      <c r="S165" s="3471"/>
      <c r="T165" s="3472"/>
      <c r="U165" s="1170"/>
      <c r="V165" s="849"/>
      <c r="W165" s="3342"/>
      <c r="X165" s="3343"/>
      <c r="AZ165" s="1968"/>
      <c r="BA165" s="1706">
        <v>165</v>
      </c>
    </row>
    <row r="166" spans="1:53" s="144" customFormat="1" ht="14.1" customHeight="1">
      <c r="B166" s="144" t="s">
        <v>1903</v>
      </c>
      <c r="J166" s="3355">
        <f>J164*J165</f>
        <v>17917854.5</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17917854.5</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1612606.905</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1612606</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34">
        <f>G146</f>
        <v>15472006</v>
      </c>
      <c r="K176" s="3452"/>
      <c r="L176" s="3335"/>
      <c r="N176" s="3431" t="s">
        <v>6717</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110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15471896</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1547189.6</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1.26</v>
      </c>
      <c r="K182" s="3441"/>
      <c r="L182" s="3442"/>
      <c r="M182" s="248" t="s">
        <v>1212</v>
      </c>
      <c r="N182" s="3443">
        <v>0.86</v>
      </c>
      <c r="O182" s="3444"/>
      <c r="P182" s="248" t="s">
        <v>570</v>
      </c>
      <c r="Q182" s="3443">
        <v>0.4</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1227928</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5">
        <v>1225000</v>
      </c>
      <c r="K187" s="3446"/>
      <c r="L187" s="3447"/>
      <c r="Q187" s="147" t="s">
        <v>6248</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5">
        <v>1225000</v>
      </c>
      <c r="K189" s="3446"/>
      <c r="L189" s="3447"/>
      <c r="M189" s="3430" t="str">
        <f>IF(J187=0,"",IF(J189&gt;J187,"Request can't exceed Maximum - REVISE (Try Round Down)!",""))</f>
        <v/>
      </c>
      <c r="N189" s="3430"/>
      <c r="O189" s="3430"/>
      <c r="P189" s="3430"/>
      <c r="Q189" s="241" t="s">
        <v>6544</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0">
        <f>IF(J189="",0,+MIN(J187,J189))</f>
        <v>1225000</v>
      </c>
      <c r="K191" s="3461"/>
      <c r="L191" s="3462"/>
      <c r="M191" s="3430"/>
      <c r="N191" s="3430"/>
      <c r="O191" s="3430"/>
      <c r="P191" s="3430"/>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7082</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85" customHeight="1">
      <c r="BA199" s="1745"/>
    </row>
    <row r="200" spans="1:53" s="144" customFormat="1" ht="14.85" customHeight="1">
      <c r="AZ200" s="1968"/>
      <c r="BA200" s="1739"/>
    </row>
    <row r="201" spans="1:53" s="144" customFormat="1" ht="14.85" customHeight="1">
      <c r="AZ201" s="1968"/>
      <c r="BA201" s="1745"/>
    </row>
    <row r="202" spans="1:53" s="144" customFormat="1" ht="14.85" customHeight="1">
      <c r="AZ202" s="1968"/>
      <c r="BA202" s="1745"/>
    </row>
    <row r="203" spans="1:53" ht="14.85" customHeight="1">
      <c r="AZ203" s="1968"/>
      <c r="BA203" s="1745"/>
    </row>
    <row r="204" spans="1:53" s="144" customFormat="1" ht="14.85" customHeight="1">
      <c r="A204" s="222"/>
      <c r="AZ204" s="1968"/>
      <c r="BA204" s="1745"/>
    </row>
    <row r="205" spans="1:53" ht="14.85" customHeight="1">
      <c r="AZ205" s="1968"/>
      <c r="BA205" s="1745"/>
    </row>
    <row r="206" spans="1:53" s="144" customFormat="1" ht="14.85" customHeight="1">
      <c r="AZ206" s="1968"/>
      <c r="BA206" s="1745"/>
    </row>
    <row r="207" spans="1:53" s="144" customFormat="1" ht="14.85" customHeight="1">
      <c r="A207" s="222"/>
      <c r="AZ207" s="1968"/>
      <c r="BA207" s="1745"/>
    </row>
    <row r="208" spans="1:53" s="144" customFormat="1" ht="14.85" customHeight="1">
      <c r="A208" s="375"/>
      <c r="AZ208" s="1968"/>
      <c r="BA208" s="1745"/>
    </row>
    <row r="209" spans="1:53" s="144" customFormat="1" ht="14.85" customHeight="1">
      <c r="AZ209" s="744"/>
      <c r="BA209" s="1745"/>
    </row>
    <row r="210" spans="1:53" s="144" customFormat="1" ht="14.85" customHeight="1">
      <c r="A210" s="260"/>
      <c r="AZ210" s="744"/>
      <c r="BA210" s="1739"/>
    </row>
    <row r="211" spans="1:53" s="144" customFormat="1" ht="14.85" customHeight="1">
      <c r="A211" s="260"/>
      <c r="AZ211" s="744"/>
      <c r="BA211" s="1739"/>
    </row>
    <row r="212" spans="1:53" s="144" customFormat="1" ht="14.85" customHeight="1">
      <c r="A212" s="260"/>
      <c r="AZ212" s="744"/>
      <c r="BA212" s="1739"/>
    </row>
    <row r="213" spans="1:53" s="144" customFormat="1" ht="14.85" customHeight="1">
      <c r="AZ213" s="744"/>
      <c r="BA213" s="1739"/>
    </row>
    <row r="214" spans="1:53" s="144" customFormat="1" ht="14.85" customHeight="1">
      <c r="AZ214" s="744"/>
      <c r="BA214" s="1739"/>
    </row>
    <row r="215" spans="1:53" ht="14.85" customHeight="1"/>
    <row r="216" spans="1:53" ht="14.85" customHeight="1"/>
    <row r="217" spans="1:53" ht="14.85" customHeight="1">
      <c r="AZ217" s="1968"/>
    </row>
    <row r="218" spans="1:53" ht="14.85" customHeight="1">
      <c r="BA218" s="1745"/>
    </row>
    <row r="219" spans="1:53" ht="14.85" customHeight="1"/>
    <row r="220" spans="1:53" ht="14.85" customHeight="1"/>
    <row r="221" spans="1:53" ht="14.85" customHeight="1"/>
    <row r="222" spans="1:53" ht="14.85" customHeight="1"/>
    <row r="223" spans="1:53" s="144" customFormat="1" ht="14.85" customHeight="1">
      <c r="AZ223" s="744"/>
      <c r="BA223" s="1739"/>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680"/>
      <c r="L237" s="144"/>
    </row>
    <row r="238" spans="11:12" ht="14.8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65" sqref="F65:F69"/>
    </sheetView>
  </sheetViews>
  <sheetFormatPr defaultColWidth="9.44140625" defaultRowHeight="13.2"/>
  <cols>
    <col min="1" max="1" width="7.44140625" style="432" customWidth="1"/>
    <col min="2" max="2" width="12.5546875" style="432" customWidth="1"/>
    <col min="3" max="3" width="7.5546875" style="432" customWidth="1"/>
    <col min="4" max="4" width="12.5546875" style="432" customWidth="1"/>
    <col min="5" max="5" width="0.5546875" style="432" customWidth="1"/>
    <col min="6" max="6" width="46.5546875" style="432" customWidth="1"/>
    <col min="7" max="7" width="0.5546875" style="432" customWidth="1"/>
    <col min="8" max="8" width="46.5546875" style="432" customWidth="1"/>
    <col min="9" max="16384" width="9.44140625" style="432"/>
  </cols>
  <sheetData>
    <row r="1" spans="1:14" ht="15.6">
      <c r="A1" s="3504" t="str">
        <f>CONCATENATE("PART THREE (B) -  OTHER COSTS","  -  ",'Part I-Project Identification'!$O$7," - ",'Part I-Project Identification'!$F$25,"  -  ",'Part I-Project Identification'!$F$26,"  -  ",'Part I-Project Identification'!$J$26,",  ","County")</f>
        <v>PART THREE (B) -  OTHER COSTS  -  2023-0 - Cusseta Crossing  -  Columbus  -  Muscogee,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3277</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199999999999999">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199999999999999">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199999999999999">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199999999999999">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Community Improvement Fund</v>
      </c>
      <c r="B71" s="3523"/>
      <c r="C71" s="3523"/>
      <c r="D71" s="3524"/>
      <c r="F71" s="3519" t="s">
        <v>7081</v>
      </c>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50000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8" zoomScaleNormal="100" workbookViewId="0">
      <selection activeCell="I7" sqref="I7:M7"/>
    </sheetView>
  </sheetViews>
  <sheetFormatPr defaultColWidth="8.5546875" defaultRowHeight="13.2"/>
  <cols>
    <col min="1" max="1" width="2.44140625" customWidth="1"/>
    <col min="4" max="4" width="12.5546875" customWidth="1"/>
    <col min="5" max="5" width="9.44140625" customWidth="1"/>
    <col min="6" max="7" width="9.5546875" customWidth="1"/>
    <col min="8" max="8" width="8.44140625" customWidth="1"/>
    <col min="9" max="13" width="10.5546875" customWidth="1"/>
    <col min="14" max="14" width="3" customWidth="1"/>
    <col min="18" max="18" width="8.55468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Cusseta Crossing, Columbus, Muscogee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6738</v>
      </c>
      <c r="I3" s="3538" t="str">
        <f>VLOOKUP('Part I-Project Identification'!$J$26,'DCA Underwriting Assumptions'!$G$141:$H$300,2)</f>
        <v>Local PHA</v>
      </c>
      <c r="J3" s="3539"/>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7042</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44769</v>
      </c>
      <c r="J8" s="3535"/>
      <c r="K8" s="5" t="s">
        <v>505</v>
      </c>
      <c r="L8" s="3525" t="s">
        <v>7041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7043</v>
      </c>
      <c r="E12" s="3528"/>
      <c r="F12" s="207" t="s">
        <v>416</v>
      </c>
      <c r="G12" s="207"/>
      <c r="H12" s="804"/>
      <c r="I12" s="1266"/>
      <c r="J12" s="1266">
        <v>12</v>
      </c>
      <c r="K12" s="1266">
        <v>15</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10</v>
      </c>
      <c r="K13" s="1267">
        <v>12</v>
      </c>
      <c r="L13" s="1268"/>
      <c r="M13" s="1268"/>
      <c r="O13" s="3540" t="s">
        <v>3276</v>
      </c>
      <c r="P13" s="3540"/>
      <c r="Q13" s="3540"/>
    </row>
    <row r="14" spans="1:25" s="6" customFormat="1" ht="12" customHeight="1">
      <c r="B14" s="1275" t="s">
        <v>1493</v>
      </c>
      <c r="C14" s="1276"/>
      <c r="D14" s="3547" t="s">
        <v>1491</v>
      </c>
      <c r="E14" s="3548"/>
      <c r="F14" s="208" t="s">
        <v>416</v>
      </c>
      <c r="G14" s="208"/>
      <c r="H14" s="203"/>
      <c r="I14" s="1267"/>
      <c r="J14" s="1267">
        <v>17</v>
      </c>
      <c r="K14" s="1267">
        <v>24</v>
      </c>
      <c r="L14" s="1268"/>
      <c r="M14" s="1268"/>
      <c r="O14" s="3540"/>
      <c r="P14" s="3540"/>
      <c r="Q14" s="3540"/>
    </row>
    <row r="15" spans="1:25" s="6" customFormat="1" ht="12" customHeight="1">
      <c r="B15" s="1277" t="s">
        <v>440</v>
      </c>
      <c r="C15" s="1278"/>
      <c r="D15" s="1277" t="s">
        <v>1491</v>
      </c>
      <c r="E15" s="204"/>
      <c r="F15" s="208" t="s">
        <v>416</v>
      </c>
      <c r="G15" s="208"/>
      <c r="H15" s="802"/>
      <c r="I15" s="1267"/>
      <c r="J15" s="1267">
        <v>19</v>
      </c>
      <c r="K15" s="1267">
        <v>24</v>
      </c>
      <c r="L15" s="1268"/>
      <c r="M15" s="1268"/>
      <c r="O15" s="3540"/>
      <c r="P15" s="3540"/>
      <c r="Q15" s="3540"/>
    </row>
    <row r="16" spans="1:25" s="6" customFormat="1" ht="12" customHeight="1">
      <c r="B16" s="1279" t="s">
        <v>3270</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3271</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3272</v>
      </c>
      <c r="C18" s="1276"/>
      <c r="D18" s="1275" t="s">
        <v>1491</v>
      </c>
      <c r="E18" s="801"/>
      <c r="F18" s="208" t="s">
        <v>416</v>
      </c>
      <c r="G18" s="208"/>
      <c r="H18" s="203"/>
      <c r="I18" s="1267"/>
      <c r="J18" s="1267">
        <v>36</v>
      </c>
      <c r="K18" s="1267">
        <v>40</v>
      </c>
      <c r="L18" s="1268"/>
      <c r="M18" s="1268"/>
      <c r="O18" s="3540"/>
      <c r="P18" s="3540"/>
      <c r="Q18" s="3540"/>
    </row>
    <row r="19" spans="1:25" s="6" customFormat="1" ht="12" customHeight="1">
      <c r="B19" s="1277" t="s">
        <v>1292</v>
      </c>
      <c r="C19" s="1278"/>
      <c r="D19" s="1283" t="s">
        <v>3076</v>
      </c>
      <c r="E19" s="1265" t="s">
        <v>2649</v>
      </c>
      <c r="F19" s="208" t="s">
        <v>416</v>
      </c>
      <c r="G19" s="208"/>
      <c r="H19" s="802"/>
      <c r="I19" s="1267"/>
      <c r="J19" s="1267">
        <v>35</v>
      </c>
      <c r="K19" s="1267">
        <v>46</v>
      </c>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129</v>
      </c>
      <c r="K22" s="119">
        <f>IF(SUM(K12:K21)=0,0,IF(OR($D12="&lt;&lt;Select Fuel &gt;&gt;",$D13="&lt;&lt;Select Fuel &gt;&gt;",$D14="&lt;&lt;Select Fuel &gt;&gt;"),"Select Fuel",IF($E19="&lt;Select&gt;","Submeter?",SUM(K12:K21))))</f>
        <v>161</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3276</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3270</v>
      </c>
      <c r="C33" s="1274"/>
      <c r="D33" s="1273" t="s">
        <v>1491</v>
      </c>
      <c r="E33" s="801"/>
      <c r="F33" s="208"/>
      <c r="G33" s="208"/>
      <c r="H33" s="803"/>
      <c r="I33" s="1267"/>
      <c r="J33" s="1267"/>
      <c r="K33" s="1267"/>
      <c r="L33" s="1268"/>
      <c r="M33" s="1268"/>
      <c r="O33" s="3540"/>
      <c r="P33" s="3540"/>
      <c r="Q33" s="3540"/>
    </row>
    <row r="34" spans="1:19" s="6" customFormat="1" ht="12" customHeight="1">
      <c r="B34" s="1279" t="s">
        <v>3271</v>
      </c>
      <c r="C34" s="1274"/>
      <c r="D34" s="1273" t="s">
        <v>1491</v>
      </c>
      <c r="E34" s="801"/>
      <c r="F34" s="208"/>
      <c r="G34" s="208"/>
      <c r="H34" s="803"/>
      <c r="I34" s="1267"/>
      <c r="J34" s="1267"/>
      <c r="K34" s="1267"/>
      <c r="L34" s="1268"/>
      <c r="M34" s="1268"/>
      <c r="O34" s="3540"/>
      <c r="P34" s="3540"/>
      <c r="Q34" s="3540"/>
    </row>
    <row r="35" spans="1:19" s="6" customFormat="1" ht="12" customHeight="1">
      <c r="B35" s="1280" t="s">
        <v>3272</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7044</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Tony Timmerman</cp:lastModifiedBy>
  <cp:lastPrinted>2023-04-28T17:11:20Z</cp:lastPrinted>
  <dcterms:created xsi:type="dcterms:W3CDTF">2005-09-15T20:51:37Z</dcterms:created>
  <dcterms:modified xsi:type="dcterms:W3CDTF">2023-05-19T02:44:56Z</dcterms:modified>
</cp:coreProperties>
</file>