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8_{95DACD21-197F-441D-894D-CA7A790ACD45}"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120" windowWidth="29040" windowHeight="15840" tabRatio="872"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R312" i="102" l="1"/>
  <c r="O1463" i="103"/>
  <c r="BF432" i="102"/>
  <c r="P1351" i="103"/>
  <c r="BF1583" i="103" s="1"/>
  <c r="E21" i="102"/>
  <c r="E1172" i="103" s="1"/>
  <c r="O1351" i="103"/>
  <c r="E34" i="102"/>
  <c r="C1187" i="103"/>
  <c r="AH449" i="102"/>
  <c r="AH1600" i="103" s="1"/>
  <c r="AJ449" i="102"/>
  <c r="AJ1600" i="103" s="1"/>
  <c r="AI449" i="102"/>
  <c r="AI1600"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B34" i="87"/>
  <c r="B11" i="87"/>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D10" i="86"/>
  <c r="F55" i="78"/>
  <c r="B5" i="92"/>
  <c r="J21" i="75"/>
  <c r="J468" i="103" s="1"/>
  <c r="L468" i="103" s="1"/>
  <c r="M468" i="103" s="1"/>
  <c r="F40" i="78"/>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J739" i="103" l="1"/>
  <c r="B739" i="103"/>
  <c r="B751" i="103"/>
  <c r="F771" i="103"/>
  <c r="F739" i="103"/>
  <c r="D771" i="103"/>
  <c r="E771" i="103"/>
  <c r="E739" i="103"/>
  <c r="G739" i="103"/>
  <c r="K739" i="103"/>
  <c r="H739" i="103"/>
  <c r="I739" i="103"/>
  <c r="D739" i="103"/>
  <c r="C771" i="103"/>
  <c r="B771" i="103"/>
  <c r="C739" i="103"/>
  <c r="C44" i="74"/>
  <c r="B798" i="103"/>
  <c r="B766" i="103"/>
  <c r="E828" i="103"/>
  <c r="B828" i="103"/>
  <c r="J798" i="103"/>
  <c r="F734" i="103"/>
  <c r="J766" i="103"/>
  <c r="E734" i="103"/>
  <c r="J734" i="103"/>
  <c r="C734" i="103"/>
  <c r="D798" i="103"/>
  <c r="F828" i="103"/>
  <c r="D828" i="103"/>
  <c r="G766" i="103"/>
  <c r="G734" i="103"/>
  <c r="D766" i="103"/>
  <c r="H798" i="103"/>
  <c r="B734" i="103"/>
  <c r="B41" i="74"/>
  <c r="C75" i="100"/>
  <c r="F798" i="103"/>
  <c r="K734" i="103"/>
  <c r="H766" i="103"/>
  <c r="E798" i="103"/>
  <c r="F766" i="103"/>
  <c r="I734" i="103"/>
  <c r="E766" i="103"/>
  <c r="I798" i="103"/>
  <c r="G798" i="103"/>
  <c r="C798" i="103"/>
  <c r="D734" i="103"/>
  <c r="I766" i="103"/>
  <c r="K766" i="103"/>
  <c r="K733" i="103"/>
  <c r="J797" i="103"/>
  <c r="C77" i="100"/>
  <c r="I75" i="100"/>
  <c r="I77" i="100" s="1"/>
  <c r="G75" i="100"/>
  <c r="G77" i="100" s="1"/>
  <c r="E75" i="100"/>
  <c r="E77" i="100" s="1"/>
  <c r="K75" i="100"/>
  <c r="K77" i="100" s="1"/>
  <c r="P94" i="103"/>
  <c r="P95"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751" i="103" l="1"/>
  <c r="D44" i="74"/>
  <c r="B748" i="103"/>
  <c r="C11" i="86"/>
  <c r="C41" i="74"/>
  <c r="C81" i="100"/>
  <c r="C80" i="100"/>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751" i="103" l="1"/>
  <c r="E44" i="74"/>
  <c r="C748" i="103"/>
  <c r="D41" i="74"/>
  <c r="D11"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E751" i="103"/>
  <c r="F44" i="74"/>
  <c r="D748" i="103"/>
  <c r="E41" i="74"/>
  <c r="E11" i="86"/>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P167" i="78"/>
  <c r="P168" i="78" s="1"/>
  <c r="P170" i="78" s="1"/>
  <c r="H21" i="86"/>
  <c r="G22" i="86"/>
  <c r="G722" i="103" l="1"/>
  <c r="B723" i="103"/>
  <c r="E722" i="103"/>
  <c r="D722" i="103"/>
  <c r="C722" i="103"/>
  <c r="F722" i="103"/>
  <c r="F751" i="103"/>
  <c r="G44" i="74"/>
  <c r="E748" i="103"/>
  <c r="F41" i="74"/>
  <c r="F11" i="86"/>
  <c r="Q243" i="75"/>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N235" i="75"/>
  <c r="C66" i="84"/>
  <c r="E66" i="84" s="1"/>
  <c r="E174" i="90"/>
  <c r="E175" i="90" s="1"/>
  <c r="L103" i="72"/>
  <c r="L113" i="72"/>
  <c r="L378" i="72"/>
  <c r="K225" i="72"/>
  <c r="B23" i="74"/>
  <c r="B730" i="103" s="1"/>
  <c r="P48" i="78"/>
  <c r="J48" i="78"/>
  <c r="J57" i="78"/>
  <c r="H31" i="74"/>
  <c r="J365" i="72"/>
  <c r="J366" i="72" s="1"/>
  <c r="M442" i="72"/>
  <c r="E343" i="73"/>
  <c r="N343" i="73" s="1"/>
  <c r="N228" i="75"/>
  <c r="H40" i="74"/>
  <c r="H747" i="103" s="1"/>
  <c r="L89" i="72"/>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H722" i="103" l="1"/>
  <c r="F723" i="103"/>
  <c r="C723" i="103"/>
  <c r="E723" i="103"/>
  <c r="D723" i="103"/>
  <c r="B724" i="103"/>
  <c r="B22" i="74"/>
  <c r="G723" i="103"/>
  <c r="G751" i="103"/>
  <c r="H44" i="74"/>
  <c r="F748" i="103"/>
  <c r="G41" i="74"/>
  <c r="G11" i="86"/>
  <c r="H53" i="82"/>
  <c r="H738"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K8" i="74"/>
  <c r="K715" i="103" s="1"/>
  <c r="J4" i="91"/>
  <c r="D17" i="74"/>
  <c r="K53" i="84"/>
  <c r="K54" i="84" s="1"/>
  <c r="K56" i="84" s="1"/>
  <c r="K64" i="84" s="1"/>
  <c r="G53" i="84"/>
  <c r="G54" i="84" s="1"/>
  <c r="E17" i="74"/>
  <c r="E53" i="84"/>
  <c r="E54" i="84" s="1"/>
  <c r="E56" i="84" s="1"/>
  <c r="E64" i="84" s="1"/>
  <c r="F17" i="74"/>
  <c r="P97" i="72"/>
  <c r="O87" i="75"/>
  <c r="K87" i="75"/>
  <c r="L87" i="75"/>
  <c r="P75" i="75"/>
  <c r="AF125" i="78"/>
  <c r="AH125" i="78" s="1"/>
  <c r="H19" i="84"/>
  <c r="AF122" i="78"/>
  <c r="C19" i="84"/>
  <c r="H17" i="74"/>
  <c r="I53" i="82"/>
  <c r="J31" i="74"/>
  <c r="J738" i="103" s="1"/>
  <c r="I24" i="74"/>
  <c r="J14" i="74"/>
  <c r="I16" i="74"/>
  <c r="I723" i="103" s="1"/>
  <c r="I15" i="74"/>
  <c r="I722" i="103" l="1"/>
  <c r="H724" i="103"/>
  <c r="H22" i="74"/>
  <c r="F724" i="103"/>
  <c r="F22" i="74"/>
  <c r="E724" i="103"/>
  <c r="E22" i="74"/>
  <c r="D724" i="103"/>
  <c r="D22" i="74"/>
  <c r="C724" i="103"/>
  <c r="C22" i="74"/>
  <c r="G724" i="103"/>
  <c r="G22" i="74"/>
  <c r="Q667" i="103"/>
  <c r="B729" i="103"/>
  <c r="Q220" i="75"/>
  <c r="H751" i="103"/>
  <c r="I44" i="74"/>
  <c r="G748" i="103"/>
  <c r="H41" i="74"/>
  <c r="I11" i="86"/>
  <c r="H11" i="86"/>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H20" i="74"/>
  <c r="H727" i="103" s="1"/>
  <c r="I724" i="103" l="1"/>
  <c r="I22" i="74"/>
  <c r="J722" i="103"/>
  <c r="C68" i="84"/>
  <c r="Q228" i="75"/>
  <c r="O222" i="75"/>
  <c r="O221" i="75"/>
  <c r="Q675" i="103"/>
  <c r="O669" i="103"/>
  <c r="O668" i="103"/>
  <c r="G729" i="103"/>
  <c r="C729" i="103"/>
  <c r="D729" i="103"/>
  <c r="E729" i="103"/>
  <c r="F729" i="103"/>
  <c r="H729" i="103"/>
  <c r="I751" i="103"/>
  <c r="J44" i="74"/>
  <c r="H748" i="103"/>
  <c r="I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l="1"/>
  <c r="J22" i="74"/>
  <c r="K722" i="103"/>
  <c r="P676" i="103"/>
  <c r="Q694" i="103"/>
  <c r="F131" i="78"/>
  <c r="F244" i="103" s="1"/>
  <c r="F130" i="78"/>
  <c r="F243" i="103" s="1"/>
  <c r="B21" i="74"/>
  <c r="Q247" i="75"/>
  <c r="P229" i="75"/>
  <c r="K68" i="84"/>
  <c r="K70" i="84" s="1"/>
  <c r="E68" i="84"/>
  <c r="E70" i="84" s="1"/>
  <c r="I68" i="84"/>
  <c r="I70" i="84" s="1"/>
  <c r="G68" i="84"/>
  <c r="G70" i="84" s="1"/>
  <c r="C70" i="84"/>
  <c r="I729" i="103"/>
  <c r="J751" i="103"/>
  <c r="K44" i="74"/>
  <c r="I748" i="103"/>
  <c r="J41" i="74"/>
  <c r="C31" i="86"/>
  <c r="E30" i="86"/>
  <c r="B15" i="82"/>
  <c r="J183" i="78"/>
  <c r="M189" i="78" s="1"/>
  <c r="B72" i="74"/>
  <c r="B779" i="103" s="1"/>
  <c r="J20" i="74"/>
  <c r="J727" i="103" s="1"/>
  <c r="K17" i="74"/>
  <c r="C46" i="74"/>
  <c r="B56" i="74"/>
  <c r="B48" i="74"/>
  <c r="B755" i="103" s="1"/>
  <c r="B47" i="74"/>
  <c r="B53" i="74"/>
  <c r="B55" i="74"/>
  <c r="B762" i="103" s="1"/>
  <c r="C63" i="74"/>
  <c r="C770" i="103" s="1"/>
  <c r="B73" i="82"/>
  <c r="E33" i="86"/>
  <c r="B754" i="103" l="1"/>
  <c r="K724" i="103"/>
  <c r="K22" i="74"/>
  <c r="C72" i="84"/>
  <c r="C76" i="84"/>
  <c r="C73" i="84" s="1"/>
  <c r="G76" i="84"/>
  <c r="G73" i="84" s="1"/>
  <c r="G72" i="84"/>
  <c r="I76" i="84"/>
  <c r="I73" i="84" s="1"/>
  <c r="I72" i="84"/>
  <c r="E76" i="84"/>
  <c r="E73" i="84" s="1"/>
  <c r="E72" i="84"/>
  <c r="K72" i="84"/>
  <c r="K76" i="84"/>
  <c r="K73" i="84" s="1"/>
  <c r="B728" i="103"/>
  <c r="E21" i="74"/>
  <c r="D21" i="74"/>
  <c r="C21" i="74"/>
  <c r="F21" i="74"/>
  <c r="G21" i="74"/>
  <c r="H21" i="74"/>
  <c r="I21" i="74"/>
  <c r="B39" i="74"/>
  <c r="B25" i="74"/>
  <c r="J21" i="74"/>
  <c r="J728" i="103" s="1"/>
  <c r="K21" i="74"/>
  <c r="K728" i="103" s="1"/>
  <c r="J729" i="103"/>
  <c r="J39" i="74"/>
  <c r="K751" i="103"/>
  <c r="B76" i="74"/>
  <c r="J748" i="103"/>
  <c r="K41" i="74"/>
  <c r="D31" i="86"/>
  <c r="B760" i="103"/>
  <c r="F30" i="86"/>
  <c r="C72" i="74"/>
  <c r="C779" i="103" s="1"/>
  <c r="J25" i="74"/>
  <c r="C73" i="82"/>
  <c r="D63" i="74"/>
  <c r="D770" i="103" s="1"/>
  <c r="C48" i="74"/>
  <c r="C755" i="103" s="1"/>
  <c r="C56" i="74"/>
  <c r="D46" i="74"/>
  <c r="C47" i="74"/>
  <c r="C53" i="74"/>
  <c r="C55" i="74"/>
  <c r="C762" i="103" s="1"/>
  <c r="B49" i="74"/>
  <c r="F33" i="86"/>
  <c r="K20" i="74"/>
  <c r="K727" i="103" s="1"/>
  <c r="B756" i="103" l="1"/>
  <c r="B54" i="74"/>
  <c r="C754" i="103"/>
  <c r="J34" i="74"/>
  <c r="J38" i="74"/>
  <c r="J35" i="74"/>
  <c r="J746" i="103"/>
  <c r="J732" i="103"/>
  <c r="B34" i="74"/>
  <c r="B38" i="74"/>
  <c r="B35" i="74"/>
  <c r="B44" i="82"/>
  <c r="B33" i="74"/>
  <c r="I728" i="103"/>
  <c r="I39" i="74"/>
  <c r="I25" i="74"/>
  <c r="H728" i="103"/>
  <c r="H39" i="74"/>
  <c r="H25" i="74"/>
  <c r="G728" i="103"/>
  <c r="G25" i="74"/>
  <c r="G39" i="74"/>
  <c r="F728" i="103"/>
  <c r="F39" i="74"/>
  <c r="F25" i="74"/>
  <c r="C728" i="103"/>
  <c r="C39" i="74"/>
  <c r="C25" i="74"/>
  <c r="D728" i="103"/>
  <c r="D39" i="74"/>
  <c r="D25" i="74"/>
  <c r="E728" i="103"/>
  <c r="E39" i="74"/>
  <c r="E25" i="74"/>
  <c r="B746" i="103"/>
  <c r="B732" i="103"/>
  <c r="K729" i="103"/>
  <c r="K39" i="74"/>
  <c r="B783" i="103"/>
  <c r="C76" i="74"/>
  <c r="K748" i="103"/>
  <c r="B73" i="74"/>
  <c r="E31" i="86"/>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l="1"/>
  <c r="C54" i="74"/>
  <c r="K34" i="74"/>
  <c r="K35" i="74"/>
  <c r="K38" i="74"/>
  <c r="D754" i="103"/>
  <c r="K732" i="103"/>
  <c r="K746" i="103"/>
  <c r="B740" i="103"/>
  <c r="B745" i="103"/>
  <c r="B741" i="103"/>
  <c r="B742" i="103"/>
  <c r="E34" i="74"/>
  <c r="E38" i="74"/>
  <c r="E35" i="74"/>
  <c r="E33" i="74"/>
  <c r="F9" i="86" s="1"/>
  <c r="F17" i="86" s="1"/>
  <c r="F18" i="86" s="1"/>
  <c r="F20" i="86" s="1"/>
  <c r="F24" i="86" s="1"/>
  <c r="K9" i="86" s="1"/>
  <c r="E44" i="82"/>
  <c r="E746" i="103"/>
  <c r="E732" i="103"/>
  <c r="D34" i="74"/>
  <c r="D38" i="74"/>
  <c r="D35" i="74"/>
  <c r="D44" i="82"/>
  <c r="D33" i="74"/>
  <c r="E9" i="86" s="1"/>
  <c r="E17" i="86" s="1"/>
  <c r="E18" i="86" s="1"/>
  <c r="E20" i="86" s="1"/>
  <c r="E24" i="86" s="1"/>
  <c r="K8" i="86" s="1"/>
  <c r="D746" i="103"/>
  <c r="D732" i="103"/>
  <c r="C34" i="74"/>
  <c r="C38" i="74"/>
  <c r="C35" i="74"/>
  <c r="C33" i="74"/>
  <c r="C44" i="82"/>
  <c r="C746" i="103"/>
  <c r="C732" i="103"/>
  <c r="F34" i="74"/>
  <c r="F35" i="74"/>
  <c r="F38" i="74"/>
  <c r="F44" i="82"/>
  <c r="F33" i="74"/>
  <c r="G9" i="86" s="1"/>
  <c r="G17" i="86" s="1"/>
  <c r="G18" i="86" s="1"/>
  <c r="G20" i="86" s="1"/>
  <c r="G24" i="86" s="1"/>
  <c r="K10" i="86" s="1"/>
  <c r="F746" i="103"/>
  <c r="F732" i="103"/>
  <c r="G34" i="74"/>
  <c r="G38" i="74"/>
  <c r="G35" i="74"/>
  <c r="G44" i="82"/>
  <c r="G33" i="74"/>
  <c r="H9" i="86" s="1"/>
  <c r="H17" i="86" s="1"/>
  <c r="H18" i="86" s="1"/>
  <c r="H20" i="86" s="1"/>
  <c r="H24" i="86" s="1"/>
  <c r="K11" i="86" s="1"/>
  <c r="G746" i="103"/>
  <c r="G732" i="103"/>
  <c r="H34" i="74"/>
  <c r="H35" i="74"/>
  <c r="H38" i="74"/>
  <c r="H44" i="82"/>
  <c r="H33" i="74"/>
  <c r="I9" i="86" s="1"/>
  <c r="I17" i="86" s="1"/>
  <c r="I18" i="86" s="1"/>
  <c r="I20" i="86" s="1"/>
  <c r="I24" i="86" s="1"/>
  <c r="K12" i="86" s="1"/>
  <c r="H746" i="103"/>
  <c r="H732" i="103"/>
  <c r="I34" i="74"/>
  <c r="I35" i="74"/>
  <c r="I38" i="74"/>
  <c r="I44" i="82"/>
  <c r="I33" i="74"/>
  <c r="C29" i="86" s="1"/>
  <c r="C37" i="86" s="1"/>
  <c r="C38" i="86" s="1"/>
  <c r="C40" i="86" s="1"/>
  <c r="C44" i="86" s="1"/>
  <c r="K13" i="86" s="1"/>
  <c r="I746" i="103"/>
  <c r="I732" i="103"/>
  <c r="S21" i="74"/>
  <c r="C9" i="86"/>
  <c r="C17" i="86" s="1"/>
  <c r="C18" i="86" s="1"/>
  <c r="C20" i="86" s="1"/>
  <c r="C24" i="86" s="1"/>
  <c r="K6" i="86" s="1"/>
  <c r="G66" i="86" s="1"/>
  <c r="N92" i="85" s="1"/>
  <c r="S22" i="74"/>
  <c r="S26" i="74"/>
  <c r="S23" i="74"/>
  <c r="S24" i="74"/>
  <c r="S25" i="74"/>
  <c r="S27" i="74"/>
  <c r="B51" i="82"/>
  <c r="B46" i="82"/>
  <c r="J740" i="103"/>
  <c r="J745" i="103"/>
  <c r="J741" i="103"/>
  <c r="J742" i="103"/>
  <c r="B761" i="103"/>
  <c r="B71" i="74"/>
  <c r="C783" i="103"/>
  <c r="D76" i="74"/>
  <c r="B780" i="103"/>
  <c r="C73" i="74"/>
  <c r="G31" i="86"/>
  <c r="F31" i="86"/>
  <c r="D760" i="103"/>
  <c r="H30" i="86"/>
  <c r="E72" i="74"/>
  <c r="E779" i="103" s="1"/>
  <c r="J51" i="82"/>
  <c r="S29" i="74"/>
  <c r="D29" i="86"/>
  <c r="D37" i="86" s="1"/>
  <c r="D38" i="86" s="1"/>
  <c r="D40" i="86" s="1"/>
  <c r="D44" i="86" s="1"/>
  <c r="K14" i="86" s="1"/>
  <c r="C52" i="74"/>
  <c r="C759" i="103" s="1"/>
  <c r="E73" i="82"/>
  <c r="F63" i="74"/>
  <c r="F770" i="103" s="1"/>
  <c r="D49" i="74"/>
  <c r="B57" i="74"/>
  <c r="K44" i="82"/>
  <c r="K33" i="74"/>
  <c r="E47" i="74"/>
  <c r="E56" i="74"/>
  <c r="F46" i="74"/>
  <c r="E48" i="74"/>
  <c r="E755" i="103" s="1"/>
  <c r="E53" i="74"/>
  <c r="E55" i="74"/>
  <c r="E762" i="103" s="1"/>
  <c r="H33" i="86"/>
  <c r="E754" i="103" l="1"/>
  <c r="B66" i="74"/>
  <c r="B70" i="74"/>
  <c r="B67" i="74"/>
  <c r="D756" i="103"/>
  <c r="D54" i="74"/>
  <c r="B778" i="103"/>
  <c r="B764" i="103"/>
  <c r="I740" i="103"/>
  <c r="I741" i="103"/>
  <c r="I742" i="103"/>
  <c r="I745" i="103"/>
  <c r="I51" i="82"/>
  <c r="I46" i="82"/>
  <c r="H740" i="103"/>
  <c r="H742" i="103"/>
  <c r="H741" i="103"/>
  <c r="H745" i="103"/>
  <c r="H51" i="82"/>
  <c r="H46" i="82"/>
  <c r="G740" i="103"/>
  <c r="G741" i="103"/>
  <c r="G745" i="103"/>
  <c r="G742" i="103"/>
  <c r="G51" i="82"/>
  <c r="G46" i="82"/>
  <c r="F740" i="103"/>
  <c r="F745" i="103"/>
  <c r="F741" i="103"/>
  <c r="F742" i="103"/>
  <c r="F46" i="82"/>
  <c r="F51" i="82"/>
  <c r="C740" i="103"/>
  <c r="C741" i="103"/>
  <c r="C745" i="103"/>
  <c r="C742" i="103"/>
  <c r="C46" i="82"/>
  <c r="C51" i="82"/>
  <c r="D9" i="86"/>
  <c r="D17" i="86" s="1"/>
  <c r="D18" i="86" s="1"/>
  <c r="D20" i="86" s="1"/>
  <c r="D24" i="86" s="1"/>
  <c r="K7" i="86" s="1"/>
  <c r="S28" i="74"/>
  <c r="D740" i="103"/>
  <c r="D741" i="103"/>
  <c r="D745" i="103"/>
  <c r="D742" i="103"/>
  <c r="D46" i="82"/>
  <c r="D51" i="82"/>
  <c r="E740" i="103"/>
  <c r="E745" i="103"/>
  <c r="E741" i="103"/>
  <c r="E742" i="103"/>
  <c r="E46" i="82"/>
  <c r="E51" i="82"/>
  <c r="K740" i="103"/>
  <c r="K742" i="103"/>
  <c r="K741" i="103"/>
  <c r="K745" i="103"/>
  <c r="C761" i="103"/>
  <c r="C71" i="74"/>
  <c r="D783" i="103"/>
  <c r="E76" i="74"/>
  <c r="C780" i="103"/>
  <c r="D73" i="74"/>
  <c r="E760" i="103"/>
  <c r="I30" i="86"/>
  <c r="F72" i="74"/>
  <c r="F779" i="103" s="1"/>
  <c r="C57" i="74"/>
  <c r="D52" i="74"/>
  <c r="D759" i="103" s="1"/>
  <c r="F56" i="74"/>
  <c r="F48" i="74"/>
  <c r="F755" i="103" s="1"/>
  <c r="F47" i="74"/>
  <c r="G46" i="74"/>
  <c r="F53" i="74"/>
  <c r="F55" i="74"/>
  <c r="F762" i="103" s="1"/>
  <c r="E49" i="74"/>
  <c r="E29" i="86"/>
  <c r="S30" i="74"/>
  <c r="F73" i="82"/>
  <c r="G63" i="74"/>
  <c r="G770" i="103" s="1"/>
  <c r="K51" i="82"/>
  <c r="K46" i="82"/>
  <c r="B25" i="82" s="1"/>
  <c r="I33" i="86"/>
  <c r="B64" i="82"/>
  <c r="B65" i="74"/>
  <c r="E756" i="103" l="1"/>
  <c r="E54" i="74"/>
  <c r="F754" i="103"/>
  <c r="C70" i="74"/>
  <c r="C67" i="74"/>
  <c r="C66" i="74"/>
  <c r="C778" i="103"/>
  <c r="C764" i="103"/>
  <c r="B772" i="103"/>
  <c r="B777" i="103"/>
  <c r="B773" i="103"/>
  <c r="B774" i="103"/>
  <c r="D761" i="103"/>
  <c r="D71" i="74"/>
  <c r="E783" i="103"/>
  <c r="F76" i="74"/>
  <c r="D780" i="103"/>
  <c r="E73" i="74"/>
  <c r="H31" i="86"/>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770" i="103" s="1"/>
  <c r="G73" i="82"/>
  <c r="B66" i="82"/>
  <c r="B71" i="82"/>
  <c r="C53" i="86"/>
  <c r="D57" i="74"/>
  <c r="G56" i="74"/>
  <c r="G48" i="74"/>
  <c r="G755" i="103" s="1"/>
  <c r="H46" i="74"/>
  <c r="G47" i="74"/>
  <c r="G53" i="74"/>
  <c r="G55" i="74"/>
  <c r="G762" i="103" s="1"/>
  <c r="G754" i="103" l="1"/>
  <c r="D66" i="74"/>
  <c r="D67" i="74"/>
  <c r="D70" i="74"/>
  <c r="F756" i="103"/>
  <c r="F54" i="74"/>
  <c r="D778" i="103"/>
  <c r="D764" i="103"/>
  <c r="C772" i="103"/>
  <c r="C774" i="103"/>
  <c r="C773" i="103"/>
  <c r="C777" i="103"/>
  <c r="E761" i="103"/>
  <c r="E71" i="74"/>
  <c r="F783" i="103"/>
  <c r="G76" i="74"/>
  <c r="G783" i="103" s="1"/>
  <c r="E780" i="103"/>
  <c r="F73" i="74"/>
  <c r="I31" i="86"/>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D65" i="74"/>
  <c r="D64" i="82"/>
  <c r="G756" i="103" l="1"/>
  <c r="G54" i="74"/>
  <c r="H754" i="103"/>
  <c r="E66" i="74"/>
  <c r="E67" i="74"/>
  <c r="E70" i="74"/>
  <c r="E778" i="103"/>
  <c r="E764" i="103"/>
  <c r="D772" i="103"/>
  <c r="D773" i="103"/>
  <c r="D777" i="103"/>
  <c r="D774" i="103"/>
  <c r="F761" i="103"/>
  <c r="F71" i="74"/>
  <c r="F780" i="103"/>
  <c r="G73" i="74"/>
  <c r="C51" i="86"/>
  <c r="H760" i="103"/>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J63" i="74"/>
  <c r="J770" i="103" s="1"/>
  <c r="I73" i="82"/>
  <c r="F57" i="74"/>
  <c r="F66" i="74" l="1"/>
  <c r="F67" i="74"/>
  <c r="F70" i="74"/>
  <c r="H756" i="103"/>
  <c r="H54" i="74"/>
  <c r="I754" i="103"/>
  <c r="F778" i="103"/>
  <c r="F764" i="103"/>
  <c r="E772" i="103"/>
  <c r="E773" i="103"/>
  <c r="E777" i="103"/>
  <c r="E774" i="103"/>
  <c r="G761" i="103"/>
  <c r="G71" i="74"/>
  <c r="G780" i="103"/>
  <c r="H73" i="74"/>
  <c r="D51" i="86"/>
  <c r="D57" i="86" s="1"/>
  <c r="D58" i="86" s="1"/>
  <c r="D60" i="86" s="1"/>
  <c r="D64" i="86" s="1"/>
  <c r="K21" i="86" s="1"/>
  <c r="I760" i="103"/>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J73" i="82"/>
  <c r="K63" i="74"/>
  <c r="K770" i="103" s="1"/>
  <c r="D75" i="82"/>
  <c r="D76" i="82" s="1"/>
  <c r="E75" i="82"/>
  <c r="E76" i="82" s="1"/>
  <c r="H52" i="74"/>
  <c r="H759" i="103" s="1"/>
  <c r="F53" i="86"/>
  <c r="I756" i="103" l="1"/>
  <c r="I54" i="74"/>
  <c r="G66" i="74"/>
  <c r="G70" i="74"/>
  <c r="G67" i="74"/>
  <c r="J754" i="103"/>
  <c r="G778" i="103"/>
  <c r="G764" i="103"/>
  <c r="F772" i="103"/>
  <c r="F777" i="103"/>
  <c r="F773" i="103"/>
  <c r="F774" i="103"/>
  <c r="H761" i="103"/>
  <c r="H71" i="74"/>
  <c r="H780" i="103"/>
  <c r="I73" i="74"/>
  <c r="E51" i="86"/>
  <c r="E57" i="86" s="1"/>
  <c r="E58" i="86" s="1"/>
  <c r="E60" i="86" s="1"/>
  <c r="E64" i="86" s="1"/>
  <c r="K22" i="86" s="1"/>
  <c r="J760" i="103"/>
  <c r="G50" i="86"/>
  <c r="K72" i="74"/>
  <c r="K779" i="103" s="1"/>
  <c r="I52" i="74"/>
  <c r="I759" i="103" s="1"/>
  <c r="F66" i="82"/>
  <c r="F71" i="82"/>
  <c r="F74" i="82" s="1"/>
  <c r="G53" i="86"/>
  <c r="G64" i="82"/>
  <c r="G65" i="74"/>
  <c r="J49" i="74"/>
  <c r="C49" i="86"/>
  <c r="S35" i="74"/>
  <c r="K73" i="82"/>
  <c r="B95" i="74"/>
  <c r="B802" i="103" s="1"/>
  <c r="B78" i="74"/>
  <c r="K56" i="74"/>
  <c r="K47" i="74"/>
  <c r="K48" i="74"/>
  <c r="K755" i="103" s="1"/>
  <c r="K53" i="74"/>
  <c r="K55" i="74"/>
  <c r="K762" i="103" s="1"/>
  <c r="H57" i="74"/>
  <c r="H66" i="74" l="1"/>
  <c r="H70" i="74"/>
  <c r="H67" i="74"/>
  <c r="K754" i="103"/>
  <c r="J756" i="103"/>
  <c r="J54" i="74"/>
  <c r="H778" i="103"/>
  <c r="H764" i="103"/>
  <c r="G772" i="103"/>
  <c r="G777" i="103"/>
  <c r="G773" i="103"/>
  <c r="G774" i="103"/>
  <c r="I761" i="103"/>
  <c r="I71" i="74"/>
  <c r="I780" i="103"/>
  <c r="J73" i="74"/>
  <c r="F51" i="86"/>
  <c r="F57" i="86" s="1"/>
  <c r="F58" i="86" s="1"/>
  <c r="F60" i="86" s="1"/>
  <c r="F64" i="86" s="1"/>
  <c r="K23" i="86" s="1"/>
  <c r="K760" i="103"/>
  <c r="B103" i="74"/>
  <c r="B810" i="103" s="1"/>
  <c r="L100" i="85"/>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C95" i="74"/>
  <c r="C802" i="103" s="1"/>
  <c r="K756" i="103" l="1"/>
  <c r="K54" i="74"/>
  <c r="B786" i="103"/>
  <c r="I66" i="74"/>
  <c r="I70" i="74"/>
  <c r="I67" i="74"/>
  <c r="I778" i="103"/>
  <c r="I764" i="103"/>
  <c r="H772" i="103"/>
  <c r="H777" i="103"/>
  <c r="H773" i="103"/>
  <c r="H774" i="103"/>
  <c r="J761" i="103"/>
  <c r="J71" i="74"/>
  <c r="J780" i="103"/>
  <c r="K73" i="74"/>
  <c r="G51" i="86"/>
  <c r="G57" i="86" s="1"/>
  <c r="G58" i="86" s="1"/>
  <c r="G60" i="86" s="1"/>
  <c r="G64" i="86" s="1"/>
  <c r="K24" i="86" s="1"/>
  <c r="B792" i="103"/>
  <c r="C86" i="90"/>
  <c r="F61" i="89"/>
  <c r="C103" i="74"/>
  <c r="C810" i="103" s="1"/>
  <c r="I65" i="74"/>
  <c r="L47" i="68"/>
  <c r="L90" i="103" s="1"/>
  <c r="J57" i="74"/>
  <c r="I64" i="82"/>
  <c r="I66" i="82" s="1"/>
  <c r="K52" i="74"/>
  <c r="K759" i="103" s="1"/>
  <c r="B81" i="74"/>
  <c r="S37" i="74"/>
  <c r="D95" i="74"/>
  <c r="D802" i="103" s="1"/>
  <c r="H66" i="82"/>
  <c r="H71" i="82"/>
  <c r="H74" i="82" s="1"/>
  <c r="C79" i="74"/>
  <c r="D78" i="74"/>
  <c r="C88" i="74"/>
  <c r="C80" i="74"/>
  <c r="C787" i="103" s="1"/>
  <c r="C85" i="74"/>
  <c r="C87" i="74"/>
  <c r="C794" i="103" s="1"/>
  <c r="G75" i="82"/>
  <c r="G76" i="82" s="1"/>
  <c r="C786" i="103" l="1"/>
  <c r="B788" i="103"/>
  <c r="B86" i="74"/>
  <c r="J66" i="74"/>
  <c r="J70" i="74"/>
  <c r="J67" i="74"/>
  <c r="J778" i="103"/>
  <c r="J764" i="103"/>
  <c r="I772" i="103"/>
  <c r="I773" i="103"/>
  <c r="I777" i="103"/>
  <c r="I774" i="103"/>
  <c r="K761" i="103"/>
  <c r="K71" i="74"/>
  <c r="K780" i="103"/>
  <c r="B104" i="74"/>
  <c r="O8" i="86"/>
  <c r="O14" i="86" s="1"/>
  <c r="O33" i="86" s="1"/>
  <c r="H63" i="86" s="1"/>
  <c r="H51" i="86"/>
  <c r="H57" i="86" s="1"/>
  <c r="H58" i="86" s="1"/>
  <c r="H60" i="86" s="1"/>
  <c r="H64" i="86" s="1"/>
  <c r="K25" i="86" s="1"/>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E95" i="74"/>
  <c r="E802" i="103" s="1"/>
  <c r="B84" i="74"/>
  <c r="B791" i="103" s="1"/>
  <c r="H75" i="82"/>
  <c r="H76" i="82" s="1"/>
  <c r="K57" i="74"/>
  <c r="K66" i="74" l="1"/>
  <c r="K67" i="74"/>
  <c r="K70" i="74"/>
  <c r="C788" i="103"/>
  <c r="C86" i="74"/>
  <c r="D786" i="103"/>
  <c r="K778" i="103"/>
  <c r="K764" i="103"/>
  <c r="J772" i="103"/>
  <c r="J773" i="103"/>
  <c r="J774" i="103"/>
  <c r="J777" i="103"/>
  <c r="B793" i="103"/>
  <c r="B102" i="74"/>
  <c r="B811" i="103"/>
  <c r="C104" i="74"/>
  <c r="D792" i="103"/>
  <c r="E103" i="74"/>
  <c r="E810" i="103" s="1"/>
  <c r="S39" i="74"/>
  <c r="J71" i="82"/>
  <c r="J74" i="82" s="1"/>
  <c r="J75" i="82" s="1"/>
  <c r="J76" i="82" s="1"/>
  <c r="C84" i="74"/>
  <c r="C791" i="103" s="1"/>
  <c r="F95" i="74"/>
  <c r="F802" i="103" s="1"/>
  <c r="K65" i="74"/>
  <c r="K64" i="82"/>
  <c r="D81" i="74"/>
  <c r="F78" i="74"/>
  <c r="E88" i="74"/>
  <c r="E79" i="74"/>
  <c r="E80" i="74"/>
  <c r="E787" i="103" s="1"/>
  <c r="E85" i="74"/>
  <c r="E87" i="74"/>
  <c r="E794" i="103" s="1"/>
  <c r="B89" i="74"/>
  <c r="B97" i="74" l="1"/>
  <c r="B101" i="74"/>
  <c r="B98" i="74"/>
  <c r="E786" i="103"/>
  <c r="D788" i="103"/>
  <c r="D86" i="74"/>
  <c r="B809" i="103"/>
  <c r="B796" i="103"/>
  <c r="K772" i="103"/>
  <c r="K773" i="103"/>
  <c r="K777" i="103"/>
  <c r="K774" i="103"/>
  <c r="C793" i="103"/>
  <c r="C102" i="74"/>
  <c r="C811" i="103"/>
  <c r="D104" i="74"/>
  <c r="E792" i="103"/>
  <c r="F103" i="74"/>
  <c r="F810" i="103" s="1"/>
  <c r="B96" i="74"/>
  <c r="C89" i="74"/>
  <c r="D84" i="74"/>
  <c r="D791" i="103" s="1"/>
  <c r="E81" i="74"/>
  <c r="K71" i="82"/>
  <c r="K74" i="82" s="1"/>
  <c r="K66" i="82"/>
  <c r="F88" i="74"/>
  <c r="G78" i="74"/>
  <c r="F80" i="74"/>
  <c r="F787" i="103" s="1"/>
  <c r="F79" i="74"/>
  <c r="F85" i="74"/>
  <c r="F87" i="74"/>
  <c r="F794" i="103" s="1"/>
  <c r="S40" i="74"/>
  <c r="G95" i="74"/>
  <c r="G802" i="103" s="1"/>
  <c r="F786" i="103" l="1"/>
  <c r="E788" i="103"/>
  <c r="E86" i="74"/>
  <c r="C97" i="74"/>
  <c r="C101" i="74"/>
  <c r="C98" i="74"/>
  <c r="C809" i="103"/>
  <c r="C796" i="103"/>
  <c r="B803" i="103"/>
  <c r="B804" i="103"/>
  <c r="B808" i="103"/>
  <c r="B805" i="103"/>
  <c r="D793" i="103"/>
  <c r="D102" i="74"/>
  <c r="D811" i="103"/>
  <c r="E104" i="74"/>
  <c r="F792" i="103"/>
  <c r="G103" i="74"/>
  <c r="G810" i="103" s="1"/>
  <c r="C96" i="74"/>
  <c r="E84" i="74"/>
  <c r="E791" i="103" s="1"/>
  <c r="G79" i="74"/>
  <c r="G88" i="74"/>
  <c r="G80" i="74"/>
  <c r="G787" i="103" s="1"/>
  <c r="H78" i="74"/>
  <c r="G85" i="74"/>
  <c r="G87" i="74"/>
  <c r="G794" i="103" s="1"/>
  <c r="K75" i="82"/>
  <c r="K76" i="82" s="1"/>
  <c r="H95" i="74"/>
  <c r="H802" i="103" s="1"/>
  <c r="F81" i="74"/>
  <c r="D89" i="74"/>
  <c r="D97" i="74" l="1"/>
  <c r="D101" i="74"/>
  <c r="D98" i="74"/>
  <c r="F788" i="103"/>
  <c r="F86" i="74"/>
  <c r="G786" i="103"/>
  <c r="D809" i="103"/>
  <c r="D796" i="103"/>
  <c r="C803" i="103"/>
  <c r="C804" i="103"/>
  <c r="C808" i="103"/>
  <c r="C805" i="103"/>
  <c r="E793" i="103"/>
  <c r="E102" i="74"/>
  <c r="E811" i="103"/>
  <c r="F104" i="74"/>
  <c r="G792" i="103"/>
  <c r="H103" i="74"/>
  <c r="H810" i="103" s="1"/>
  <c r="D96" i="74"/>
  <c r="E89" i="74"/>
  <c r="F84" i="74"/>
  <c r="F791" i="103" s="1"/>
  <c r="H88" i="74"/>
  <c r="H80" i="74"/>
  <c r="H787" i="103" s="1"/>
  <c r="H79" i="74"/>
  <c r="I78" i="74"/>
  <c r="H85" i="74"/>
  <c r="H87" i="74"/>
  <c r="H794" i="103" s="1"/>
  <c r="G81" i="74"/>
  <c r="I95" i="74"/>
  <c r="I802" i="103" s="1"/>
  <c r="G788" i="103" l="1"/>
  <c r="G86" i="74"/>
  <c r="H786" i="103"/>
  <c r="E97" i="74"/>
  <c r="E98" i="74"/>
  <c r="E101" i="74"/>
  <c r="E809" i="103"/>
  <c r="E796" i="103"/>
  <c r="D803" i="103"/>
  <c r="D804" i="103"/>
  <c r="D808" i="103"/>
  <c r="D805" i="103"/>
  <c r="F793" i="103"/>
  <c r="F102" i="74"/>
  <c r="F811" i="103"/>
  <c r="G104" i="74"/>
  <c r="H792" i="103"/>
  <c r="I103" i="74"/>
  <c r="I810" i="103" s="1"/>
  <c r="E96" i="74"/>
  <c r="F89" i="74"/>
  <c r="G84" i="74"/>
  <c r="G791" i="103" s="1"/>
  <c r="I88" i="74"/>
  <c r="I79" i="74"/>
  <c r="J78" i="74"/>
  <c r="I80" i="74"/>
  <c r="I787" i="103" s="1"/>
  <c r="I85" i="74"/>
  <c r="I87" i="74"/>
  <c r="I794" i="103" s="1"/>
  <c r="H81" i="74"/>
  <c r="J95" i="74"/>
  <c r="J802" i="103" s="1"/>
  <c r="H788" i="103" l="1"/>
  <c r="H86" i="74"/>
  <c r="I786" i="103"/>
  <c r="F97" i="74"/>
  <c r="F101" i="74"/>
  <c r="F98" i="74"/>
  <c r="F809" i="103"/>
  <c r="F796" i="103"/>
  <c r="E803" i="103"/>
  <c r="E808" i="103"/>
  <c r="E804" i="103"/>
  <c r="E805" i="103"/>
  <c r="G793" i="103"/>
  <c r="G102" i="74"/>
  <c r="G811" i="103"/>
  <c r="H104" i="74"/>
  <c r="I792" i="103"/>
  <c r="J103" i="74"/>
  <c r="J810" i="103" s="1"/>
  <c r="F96" i="74"/>
  <c r="J80" i="74"/>
  <c r="J787" i="103" s="1"/>
  <c r="K78" i="74"/>
  <c r="J79" i="74"/>
  <c r="J88" i="74"/>
  <c r="J85" i="74"/>
  <c r="J87" i="74"/>
  <c r="J794" i="103" s="1"/>
  <c r="I81" i="74"/>
  <c r="K95" i="74"/>
  <c r="K802" i="103" s="1"/>
  <c r="G89" i="74"/>
  <c r="H84" i="74"/>
  <c r="H791" i="103" s="1"/>
  <c r="G97" i="74" l="1"/>
  <c r="G98" i="74"/>
  <c r="G101" i="74"/>
  <c r="I788" i="103"/>
  <c r="I86" i="74"/>
  <c r="J786" i="103"/>
  <c r="G809" i="103"/>
  <c r="G796" i="103"/>
  <c r="F803" i="103"/>
  <c r="F804" i="103"/>
  <c r="F808" i="103"/>
  <c r="F805" i="103"/>
  <c r="H793" i="103"/>
  <c r="H102" i="74"/>
  <c r="H811" i="103"/>
  <c r="I104" i="74"/>
  <c r="J792" i="103"/>
  <c r="K103" i="74"/>
  <c r="K810" i="103" s="1"/>
  <c r="G96" i="74"/>
  <c r="H89" i="74"/>
  <c r="J81" i="74"/>
  <c r="B125" i="74"/>
  <c r="B832" i="103" s="1"/>
  <c r="K80" i="74"/>
  <c r="K787" i="103" s="1"/>
  <c r="B108" i="74"/>
  <c r="K88" i="74"/>
  <c r="K79" i="74"/>
  <c r="K85" i="74"/>
  <c r="K87" i="74"/>
  <c r="K794" i="103" s="1"/>
  <c r="I84" i="74"/>
  <c r="I791" i="103" s="1"/>
  <c r="K786" i="103" l="1"/>
  <c r="J788" i="103"/>
  <c r="J86" i="74"/>
  <c r="H97" i="74"/>
  <c r="H101" i="74"/>
  <c r="H98" i="74"/>
  <c r="H809" i="103"/>
  <c r="H796" i="103"/>
  <c r="G803" i="103"/>
  <c r="G804" i="103"/>
  <c r="G808" i="103"/>
  <c r="G805" i="103"/>
  <c r="I793" i="103"/>
  <c r="I102" i="74"/>
  <c r="I811" i="103"/>
  <c r="J104" i="74"/>
  <c r="K792" i="103"/>
  <c r="B133" i="74"/>
  <c r="B840" i="103" s="1"/>
  <c r="H96" i="74"/>
  <c r="J84" i="74"/>
  <c r="J791" i="103" s="1"/>
  <c r="K81" i="74"/>
  <c r="C125" i="74"/>
  <c r="C832" i="103" s="1"/>
  <c r="I89" i="74"/>
  <c r="B109" i="74"/>
  <c r="C108" i="74"/>
  <c r="B110" i="74"/>
  <c r="B817" i="103" s="1"/>
  <c r="B118" i="74"/>
  <c r="B115" i="74"/>
  <c r="B117" i="74"/>
  <c r="B824" i="103" s="1"/>
  <c r="B816" i="103" l="1"/>
  <c r="I97" i="74"/>
  <c r="I101" i="74"/>
  <c r="I98" i="74"/>
  <c r="K788" i="103"/>
  <c r="K86" i="74"/>
  <c r="I809" i="103"/>
  <c r="I796" i="103"/>
  <c r="H803" i="103"/>
  <c r="H804" i="103"/>
  <c r="H808" i="103"/>
  <c r="H805" i="103"/>
  <c r="J793" i="103"/>
  <c r="J102" i="74"/>
  <c r="J811" i="103"/>
  <c r="K104" i="74"/>
  <c r="B822" i="103"/>
  <c r="C133" i="74"/>
  <c r="C840" i="103" s="1"/>
  <c r="I96" i="74"/>
  <c r="J89" i="74"/>
  <c r="K84" i="74"/>
  <c r="K791" i="103" s="1"/>
  <c r="D108" i="74"/>
  <c r="C109" i="74"/>
  <c r="C118" i="74"/>
  <c r="C110" i="74"/>
  <c r="C817" i="103" s="1"/>
  <c r="C115" i="74"/>
  <c r="C117" i="74"/>
  <c r="C824" i="103" s="1"/>
  <c r="D125" i="74"/>
  <c r="D832" i="103" s="1"/>
  <c r="B111" i="74"/>
  <c r="B818" i="103" l="1"/>
  <c r="B116" i="74"/>
  <c r="C816" i="103"/>
  <c r="J97" i="74"/>
  <c r="J98" i="74"/>
  <c r="J101" i="74"/>
  <c r="J809" i="103"/>
  <c r="J796" i="103"/>
  <c r="I803" i="103"/>
  <c r="I808" i="103"/>
  <c r="I804" i="103"/>
  <c r="I805" i="103"/>
  <c r="K793" i="103"/>
  <c r="K102" i="74"/>
  <c r="K811" i="103"/>
  <c r="B134" i="74"/>
  <c r="C822" i="103"/>
  <c r="D133" i="74"/>
  <c r="D840" i="103" s="1"/>
  <c r="K89" i="74"/>
  <c r="J96" i="74"/>
  <c r="B114" i="74"/>
  <c r="B821" i="103" s="1"/>
  <c r="C111" i="74"/>
  <c r="E125" i="74"/>
  <c r="E832" i="103" s="1"/>
  <c r="D118" i="74"/>
  <c r="D109" i="74"/>
  <c r="E108" i="74"/>
  <c r="D110" i="74"/>
  <c r="D817" i="103" s="1"/>
  <c r="D115" i="74"/>
  <c r="D117" i="74"/>
  <c r="D824" i="103" s="1"/>
  <c r="D816" i="103" l="1"/>
  <c r="C818" i="103"/>
  <c r="C116" i="74"/>
  <c r="K97" i="74"/>
  <c r="K98" i="74"/>
  <c r="K101" i="74"/>
  <c r="K809" i="103"/>
  <c r="K796" i="103"/>
  <c r="J803" i="103"/>
  <c r="J805" i="103"/>
  <c r="J804" i="103"/>
  <c r="J808" i="103"/>
  <c r="B823" i="103"/>
  <c r="B132" i="74"/>
  <c r="B841" i="103"/>
  <c r="C134" i="74"/>
  <c r="D822" i="103"/>
  <c r="E133" i="74"/>
  <c r="E840" i="103" s="1"/>
  <c r="K96" i="74"/>
  <c r="B119" i="74"/>
  <c r="C114" i="74"/>
  <c r="C821" i="103" s="1"/>
  <c r="F125" i="74"/>
  <c r="F832" i="103" s="1"/>
  <c r="F108" i="74"/>
  <c r="E109" i="74"/>
  <c r="E118" i="74"/>
  <c r="E110" i="74"/>
  <c r="E817" i="103" s="1"/>
  <c r="E115" i="74"/>
  <c r="E117" i="74"/>
  <c r="E824" i="103" s="1"/>
  <c r="D111" i="74"/>
  <c r="D818" i="103" l="1"/>
  <c r="D116" i="74"/>
  <c r="E816" i="103"/>
  <c r="B127" i="74"/>
  <c r="B131" i="74"/>
  <c r="B128" i="74"/>
  <c r="B839" i="103"/>
  <c r="B826" i="103"/>
  <c r="K803" i="103"/>
  <c r="K805" i="103"/>
  <c r="K804" i="103"/>
  <c r="K808" i="103"/>
  <c r="C823" i="103"/>
  <c r="C132" i="74"/>
  <c r="C841" i="103"/>
  <c r="D134" i="74"/>
  <c r="E822" i="103"/>
  <c r="F133" i="74"/>
  <c r="F840" i="103" s="1"/>
  <c r="B126" i="74"/>
  <c r="C119" i="74"/>
  <c r="E111" i="74"/>
  <c r="F118" i="74"/>
  <c r="F110" i="74"/>
  <c r="F817" i="103" s="1"/>
  <c r="F109" i="74"/>
  <c r="F115" i="74"/>
  <c r="F117" i="74"/>
  <c r="F824" i="103" s="1"/>
  <c r="D114" i="74"/>
  <c r="D821" i="103" s="1"/>
  <c r="F816" i="103" l="1"/>
  <c r="E818" i="103"/>
  <c r="E116" i="74"/>
  <c r="C128" i="74"/>
  <c r="C127" i="74"/>
  <c r="C131" i="74"/>
  <c r="C839" i="103"/>
  <c r="C826" i="103"/>
  <c r="B833" i="103"/>
  <c r="B834" i="103"/>
  <c r="B835" i="103"/>
  <c r="B838" i="103"/>
  <c r="D823" i="103"/>
  <c r="D132" i="74"/>
  <c r="D841" i="103"/>
  <c r="E134" i="74"/>
  <c r="F822" i="103"/>
  <c r="C126" i="74"/>
  <c r="E114" i="74"/>
  <c r="E821" i="103" s="1"/>
  <c r="F111" i="74"/>
  <c r="D119" i="74"/>
  <c r="D127" i="74" l="1"/>
  <c r="D131" i="74"/>
  <c r="D128" i="74"/>
  <c r="F818" i="103"/>
  <c r="F116" i="74"/>
  <c r="D839" i="103"/>
  <c r="D826" i="103"/>
  <c r="C833" i="103"/>
  <c r="C835" i="103"/>
  <c r="C834" i="103"/>
  <c r="C838" i="103"/>
  <c r="E823" i="103"/>
  <c r="E132" i="74"/>
  <c r="E841" i="103"/>
  <c r="F134" i="74"/>
  <c r="F841" i="103" s="1"/>
  <c r="D126" i="74"/>
  <c r="E119" i="74"/>
  <c r="F114" i="74"/>
  <c r="F821" i="103" s="1"/>
  <c r="E127" i="74" l="1"/>
  <c r="E128" i="74"/>
  <c r="E131" i="74"/>
  <c r="E839" i="103"/>
  <c r="E826" i="103"/>
  <c r="D833" i="103"/>
  <c r="D834" i="103"/>
  <c r="D835" i="103"/>
  <c r="D838" i="103"/>
  <c r="F823" i="103"/>
  <c r="F132" i="74"/>
  <c r="E126" i="74"/>
  <c r="F119" i="74"/>
  <c r="F127" i="74" l="1"/>
  <c r="F131" i="74"/>
  <c r="F128" i="74"/>
  <c r="F839" i="103"/>
  <c r="F826" i="103"/>
  <c r="E833" i="103"/>
  <c r="E834" i="103"/>
  <c r="E838" i="103"/>
  <c r="E835" i="103"/>
  <c r="F126" i="74"/>
  <c r="F833" i="103" l="1"/>
  <c r="F834" i="103"/>
  <c r="F838" i="103"/>
  <c r="F835"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<sst xmlns="http://schemas.openxmlformats.org/spreadsheetml/2006/main" count="19324" uniqueCount="7114">
  <si>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</si>
  <si>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</si>
  <si>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</si>
  <si>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</si>
  <si>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</si>
  <si>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</si>
  <si>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</si>
  <si>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</si>
  <si>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</si>
  <si>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</si>
  <si>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</si>
  <si>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</si>
  <si>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</si>
  <si>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</si>
  <si>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</si>
  <si>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</si>
  <si>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</si>
  <si>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</si>
  <si>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</si>
  <si>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</si>
  <si>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</si>
  <si>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</si>
  <si>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</si>
  <si>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</si>
  <si>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</si>
  <si>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</si>
  <si>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</si>
  <si>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</si>
  <si>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</si>
  <si>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</si>
  <si>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</si>
  <si>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</si>
  <si>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</si>
  <si>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</si>
  <si>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</si>
  <si>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</si>
  <si>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</si>
  <si>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</si>
  <si>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</si>
  <si>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</si>
  <si>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</si>
  <si>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</si>
  <si>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</si>
  <si>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</si>
  <si>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</si>
  <si>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</si>
  <si>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</si>
  <si>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</si>
  <si>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</si>
  <si>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</si>
  <si>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</si>
  <si>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</si>
  <si>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</si>
  <si>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</si>
  <si>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</si>
  <si>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</si>
  <si>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</si>
  <si>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</si>
  <si>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</si>
  <si>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</si>
  <si>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</si>
  <si>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</si>
  <si>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</si>
  <si>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</si>
  <si>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</si>
  <si>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</si>
  <si>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</si>
  <si>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</si>
  <si>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</si>
  <si>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</si>
  <si>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</si>
  <si>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</si>
  <si>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</si>
  <si>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</si>
  <si>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</si>
  <si>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</si>
  <si>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</si>
  <si>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</si>
  <si>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</si>
  <si>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</si>
  <si>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</si>
  <si>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</si>
  <si>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</si>
  <si>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</si>
  <si>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</si>
  <si>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</si>
  <si>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</si>
  <si>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</si>
  <si>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</si>
  <si>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</si>
  <si>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</si>
  <si>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</si>
  <si>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</si>
  <si>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</si>
  <si>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</si>
  <si>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</si>
  <si>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</si>
  <si>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</si>
  <si>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</si>
  <si>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</si>
  <si>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</si>
  <si>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</si>
  <si>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</si>
  <si>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</si>
  <si>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</si>
  <si>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</si>
  <si>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</si>
  <si>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</si>
  <si>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</si>
  <si>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</si>
  <si>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</si>
  <si>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</si>
  <si>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</si>
  <si>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</si>
  <si>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</si>
  <si>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</si>
  <si>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</si>
  <si>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</si>
  <si>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</si>
  <si>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</si>
  <si>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</si>
  <si>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</si>
  <si>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</si>
  <si>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</si>
  <si>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</si>
  <si>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</si>
  <si>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</si>
  <si>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</si>
  <si>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</si>
  <si>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</si>
  <si>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</si>
  <si>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</si>
  <si>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</si>
  <si>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</si>
  <si>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</si>
  <si>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</si>
  <si>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</si>
  <si>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</si>
  <si>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</si>
  <si>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</si>
  <si>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</si>
  <si>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</si>
  <si>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</si>
  <si>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</si>
  <si>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</si>
  <si>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</si>
  <si>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</si>
  <si>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</si>
  <si>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</si>
  <si>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</si>
  <si>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</si>
  <si>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</si>
  <si>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</si>
  <si>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</si>
  <si>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</si>
  <si>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</si>
  <si>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</si>
  <si>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</si>
  <si>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</si>
  <si>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</si>
  <si>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</si>
  <si>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</si>
  <si>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</si>
  <si>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</si>
  <si>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</si>
  <si>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</si>
  <si>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</si>
  <si>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</si>
  <si>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</si>
  <si>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</si>
  <si>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</si>
  <si>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</si>
  <si>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</si>
  <si>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</si>
  <si>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</si>
  <si>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</si>
  <si>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</si>
  <si>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</si>
  <si>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</si>
  <si>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</si>
  <si>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</si>
  <si>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</si>
  <si>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</si>
  <si>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</si>
  <si>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</si>
  <si>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</si>
  <si>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</si>
  <si>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</si>
  <si>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</si>
  <si>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</si>
  <si>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</si>
  <si>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</si>
  <si>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</si>
  <si>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</si>
  <si>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</si>
  <si>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</si>
  <si>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</si>
  <si>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</si>
  <si>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</si>
  <si>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</si>
  <si>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</si>
  <si>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</si>
  <si>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</si>
  <si>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</si>
  <si>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</si>
  <si>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</si>
  <si>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</si>
  <si>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</si>
  <si>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</si>
  <si>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</si>
  <si>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</si>
  <si>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</si>
  <si>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</si>
  <si>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</si>
  <si>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</si>
  <si>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</si>
  <si>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</si>
  <si>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</si>
  <si>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</si>
  <si>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</si>
  <si>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</si>
  <si>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</si>
  <si>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</si>
  <si>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</si>
  <si>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</si>
  <si>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</si>
  <si>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</si>
  <si>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</si>
  <si>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</si>
  <si>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</si>
  <si>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</si>
  <si>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</si>
  <si>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</si>
  <si>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</si>
  <si>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</si>
  <si>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</si>
  <si>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</si>
  <si>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</si>
  <si>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</si>
  <si>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</si>
  <si>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</si>
  <si>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</si>
  <si>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</si>
  <si>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</si>
  <si>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</si>
  <si>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</si>
  <si>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</si>
  <si>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</si>
  <si>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</si>
  <si>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</si>
  <si>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</si>
  <si>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</si>
  <si>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</si>
  <si>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</si>
  <si>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</si>
  <si>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</si>
  <si>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</si>
  <si>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</si>
  <si>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</si>
  <si>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</si>
  <si>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</si>
  <si>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</si>
  <si>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</si>
  <si>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</si>
  <si>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</si>
  <si>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</si>
  <si>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</si>
  <si>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</si>
  <si>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</si>
  <si>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</si>
  <si>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</si>
  <si>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</si>
  <si>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</si>
  <si>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</si>
  <si>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</si>
  <si>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</si>
  <si>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</si>
  <si>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</si>
  <si>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</si>
  <si>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</si>
  <si>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</si>
  <si>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</si>
  <si>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</si>
  <si>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</si>
  <si>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</si>
  <si>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</si>
  <si>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</si>
  <si>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</si>
  <si>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</si>
  <si>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</si>
  <si>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</si>
  <si>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</si>
  <si>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</si>
  <si>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</si>
  <si>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</si>
  <si>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</si>
  <si>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</si>
  <si>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</si>
  <si>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</si>
  <si>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</si>
  <si>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</si>
  <si>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</si>
  <si>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</si>
  <si>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</si>
  <si>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</si>
  <si>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</si>
  <si>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</si>
  <si>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</si>
  <si>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</si>
  <si>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</si>
  <si>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</si>
  <si>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</si>
  <si>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</si>
  <si>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</si>
  <si>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</si>
  <si>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</si>
  <si>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</si>
  <si>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</si>
  <si>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</si>
  <si>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</si>
  <si>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</si>
  <si>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</si>
  <si>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</si>
  <si>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</si>
  <si>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</si>
  <si>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</si>
  <si>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</si>
  <si>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</si>
  <si>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</si>
  <si>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</si>
  <si>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</si>
  <si>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</si>
  <si>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</si>
  <si>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</si>
  <si>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</si>
  <si>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</si>
  <si>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</si>
  <si>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</si>
  <si>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</si>
  <si>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</si>
  <si>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</si>
  <si>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</si>
  <si>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</si>
  <si>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</si>
  <si>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</si>
  <si>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</si>
  <si>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</si>
  <si>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</si>
  <si>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</si>
  <si>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</si>
  <si>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</si>
  <si>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</si>
  <si>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</si>
  <si>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</si>
  <si>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</si>
  <si>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</si>
  <si>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</si>
  <si>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</si>
  <si>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</si>
  <si>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</si>
  <si>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</si>
  <si>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</si>
  <si>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</si>
  <si>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</si>
  <si>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</si>
  <si>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</si>
  <si>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</si>
  <si>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</si>
  <si>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</si>
  <si>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</si>
  <si>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</si>
  <si>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</si>
  <si>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</si>
  <si>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</si>
  <si>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</si>
  <si>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</si>
  <si>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</si>
  <si>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</si>
  <si>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</si>
  <si>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</si>
  <si>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</si>
  <si>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</si>
  <si>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</si>
  <si>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</si>
  <si>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</si>
  <si>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</si>
  <si>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</si>
  <si>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</si>
  <si>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</si>
  <si>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</si>
  <si>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</si>
  <si>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</si>
  <si>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</si>
  <si>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</si>
  <si>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</si>
  <si>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</si>
  <si>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</si>
  <si>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</si>
  <si>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</si>
  <si>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</si>
  <si>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</si>
  <si>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</si>
  <si>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</si>
  <si>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</si>
  <si>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</si>
  <si>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</si>
  <si>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</si>
  <si>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</si>
  <si>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</si>
  <si>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</si>
  <si>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</si>
  <si>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</si>
  <si>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</si>
  <si>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</si>
  <si>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</si>
  <si>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</si>
  <si>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</si>
  <si>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</si>
  <si>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</si>
  <si>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</si>
  <si>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</si>
  <si>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</si>
  <si>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</si>
  <si>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</si>
  <si>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</si>
  <si>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</si>
  <si>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</si>
  <si>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</si>
  <si>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</si>
  <si>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</si>
  <si>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</si>
  <si>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</si>
  <si>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</si>
  <si>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</si>
  <si>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</si>
  <si>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</si>
  <si>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</si>
  <si>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</si>
  <si>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</si>
  <si>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</si>
  <si>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</si>
  <si>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</si>
  <si>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</si>
  <si>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</si>
  <si>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</si>
  <si>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</si>
  <si>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</si>
  <si>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</si>
  <si>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</si>
  <si>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</si>
  <si>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</si>
  <si>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</si>
  <si>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</si>
  <si>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</si>
  <si>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</si>
  <si>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</si>
  <si>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</si>
  <si>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</si>
  <si>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</si>
  <si>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</si>
  <si>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</si>
  <si>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</si>
  <si>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</si>
  <si>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</si>
  <si>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</si>
  <si>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</si>
  <si>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</si>
  <si>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</si>
  <si>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</si>
  <si>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</si>
  <si>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</si>
  <si>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</si>
  <si>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</si>
  <si>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</si>
  <si>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</si>
  <si>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</si>
  <si>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</si>
  <si>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</si>
  <si>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</si>
  <si>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</si>
  <si>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</si>
  <si>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</si>
  <si>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</si>
  <si>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</si>
  <si>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</si>
  <si>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</si>
  <si>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</si>
  <si>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</si>
  <si>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</si>
  <si>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</si>
  <si>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</si>
  <si>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</si>
  <si>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</si>
  <si>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</si>
  <si>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</si>
  <si>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</si>
  <si>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</si>
  <si>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</si>
  <si>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</si>
  <si>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</si>
  <si>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</si>
  <si>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</si>
  <si>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</si>
  <si>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</si>
  <si>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</si>
  <si>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</si>
  <si>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</si>
  <si>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</si>
  <si>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</si>
  <si>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</si>
  <si>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</si>
  <si>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</si>
  <si>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</si>
  <si>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</si>
  <si>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</si>
  <si>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</si>
  <si>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</si>
  <si>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</si>
  <si>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</si>
  <si>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</si>
  <si>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</si>
  <si>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</si>
  <si>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</si>
  <si>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</si>
  <si>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</si>
  <si>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</si>
  <si>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</si>
  <si>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</si>
  <si>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</si>
  <si>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</si>
  <si>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</si>
  <si>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</si>
  <si>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</si>
  <si>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</si>
  <si>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</si>
  <si>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</si>
  <si>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</si>
  <si>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</si>
  <si>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</si>
  <si>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</si>
  <si>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</si>
  <si>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</si>
  <si>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</si>
  <si>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</si>
  <si>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</si>
  <si>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</si>
  <si>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</si>
  <si>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</si>
  <si>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</si>
  <si>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</si>
  <si>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</si>
  <si>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</si>
  <si>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</si>
  <si>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</si>
  <si>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</si>
  <si>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</si>
  <si>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</si>
  <si>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</si>
  <si>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</si>
  <si>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</si>
  <si>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</si>
  <si>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</si>
  <si>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</si>
  <si>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</si>
  <si>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</si>
  <si>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</si>
  <si>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</si>
  <si>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</si>
  <si>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</si>
  <si>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</si>
  <si>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</si>
  <si>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</si>
  <si>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</si>
  <si>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</si>
  <si>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</si>
  <si>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</si>
  <si>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</si>
  <si>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</si>
  <si>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</si>
  <si>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</si>
  <si>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</si>
  <si>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</si>
  <si>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</si>
  <si>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</si>
  <si>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</si>
  <si>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</si>
  <si>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</si>
  <si>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</si>
  <si>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</si>
  <si>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</si>
  <si>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</si>
  <si>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</si>
  <si>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</si>
  <si>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</si>
  <si>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</si>
  <si>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</si>
  <si>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</si>
  <si>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</si>
  <si>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</si>
  <si>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</si>
  <si>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</si>
  <si>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</si>
  <si>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</si>
  <si>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</si>
  <si>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</si>
  <si>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</si>
  <si>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</si>
  <si>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</si>
  <si>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</si>
  <si>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</si>
  <si>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</si>
  <si>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</si>
  <si>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</si>
  <si>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</si>
  <si>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</si>
  <si>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</si>
  <si>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</si>
  <si>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</si>
  <si>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</si>
  <si>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</si>
  <si>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</si>
  <si>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</si>
  <si>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</si>
  <si>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</si>
  <si>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</si>
  <si>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</si>
  <si>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</si>
  <si>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</si>
  <si>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</si>
  <si>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</si>
  <si>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</si>
  <si>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</si>
  <si>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</si>
  <si>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</si>
  <si>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</si>
  <si>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</si>
  <si>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</si>
  <si>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</si>
  <si>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</si>
  <si>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</si>
  <si>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</si>
  <si>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</si>
  <si>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</si>
  <si>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</si>
  <si>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</si>
  <si>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</si>
  <si>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</si>
  <si>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</si>
  <si>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</si>
  <si>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</si>
  <si>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</si>
  <si>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</si>
  <si>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</si>
  <si>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</si>
  <si>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</si>
  <si>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</si>
  <si>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</si>
  <si>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</si>
  <si>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</si>
  <si>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</si>
  <si>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</si>
  <si>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</si>
  <si>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</si>
  <si>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</si>
  <si>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</si>
  <si>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</si>
  <si>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</si>
  <si>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</si>
  <si>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</si>
  <si>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</si>
  <si>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</si>
  <si>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</si>
  <si>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</si>
  <si>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</si>
  <si>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</si>
  <si>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</si>
  <si>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</si>
  <si>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</si>
  <si>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</si>
  <si>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</si>
  <si>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</si>
  <si>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</si>
  <si>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</si>
  <si>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</si>
  <si>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</si>
  <si>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</si>
  <si>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</si>
  <si>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</si>
  <si>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</si>
  <si>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</si>
  <si>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</si>
  <si>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</si>
  <si>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</si>
  <si>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</si>
  <si>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</si>
  <si>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</si>
  <si>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</si>
  <si>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</si>
  <si>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</si>
  <si>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</si>
  <si>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</si>
  <si>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</si>
  <si>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</si>
  <si>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</si>
  <si>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</si>
  <si>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</si>
  <si>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</si>
  <si>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</si>
  <si>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</si>
  <si>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</si>
  <si>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</si>
  <si>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</si>
  <si>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</si>
  <si>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</si>
  <si>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</si>
  <si>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</si>
  <si>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</si>
  <si>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</si>
  <si>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</si>
  <si>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</si>
  <si>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</si>
  <si>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</si>
  <si>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</si>
  <si>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</si>
  <si>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</si>
  <si>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</si>
  <si>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</si>
  <si>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</si>
  <si>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</si>
  <si>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</si>
  <si>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</si>
  <si>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</si>
  <si>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</si>
  <si>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</si>
  <si>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</si>
  <si>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</si>
  <si>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</si>
  <si>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</si>
  <si>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</si>
  <si>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</si>
  <si>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</si>
  <si>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</si>
  <si>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</si>
  <si>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</si>
  <si>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</si>
  <si>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</si>
  <si>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</si>
  <si>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</si>
  <si>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</si>
  <si>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</si>
  <si>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</si>
  <si>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</si>
  <si>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</si>
  <si>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</si>
  <si>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</si>
  <si>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</si>
  <si>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</si>
  <si>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</si>
  <si>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</si>
  <si>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</si>
  <si>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</si>
  <si>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</si>
  <si>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</si>
  <si>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</si>
  <si>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</si>
  <si>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</si>
  <si>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</si>
  <si>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</si>
  <si>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</si>
  <si>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</si>
  <si>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</si>
  <si>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</si>
  <si>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</si>
  <si>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</si>
  <si>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</si>
  <si>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</si>
  <si>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</si>
  <si>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</si>
  <si>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</si>
  <si>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</si>
  <si>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</si>
  <si>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</si>
  <si>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</si>
  <si>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</si>
  <si>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</si>
  <si>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</si>
  <si>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</si>
  <si>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</si>
  <si>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</si>
  <si>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</si>
  <si>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</si>
  <si>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</si>
  <si>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</si>
  <si>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</si>
  <si>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</si>
  <si>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</si>
  <si>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</si>
  <si>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</si>
  <si>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</si>
  <si>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</si>
  <si>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</si>
  <si>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</si>
  <si>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</si>
  <si>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</si>
  <si>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</si>
  <si>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</si>
  <si>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</si>
  <si>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</si>
  <si>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</si>
  <si>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</si>
  <si>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</si>
  <si>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</si>
  <si>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</si>
  <si>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</si>
  <si>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</si>
  <si>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</si>
  <si>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</si>
  <si>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</si>
  <si>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</si>
  <si>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</si>
  <si>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</si>
  <si>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</si>
  <si>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</si>
  <si>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</si>
  <si>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</si>
  <si>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</si>
  <si>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</si>
  <si>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</si>
  <si>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</si>
  <si>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</si>
  <si>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</si>
  <si>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</si>
  <si>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</si>
  <si>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</si>
  <si>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</si>
  <si>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</si>
  <si>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</si>
  <si>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</si>
  <si>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</si>
  <si>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</si>
  <si>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</si>
  <si>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</si>
  <si>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</si>
  <si>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</si>
  <si>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</si>
  <si>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</si>
  <si>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</si>
  <si>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</si>
  <si>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</si>
  <si>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</si>
  <si>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</si>
  <si>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</si>
  <si>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</si>
  <si>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</si>
  <si>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</si>
  <si>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</si>
  <si>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</si>
  <si>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</si>
  <si>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</si>
  <si>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</si>
  <si>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</si>
  <si>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</si>
  <si>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</si>
  <si>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</si>
  <si>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</si>
  <si>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</si>
  <si>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</si>
  <si>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</si>
  <si>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</si>
  <si>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</si>
  <si>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</si>
  <si>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</si>
  <si>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</si>
  <si>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</si>
  <si>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</si>
  <si>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</si>
  <si>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</si>
  <si>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</si>
  <si>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</si>
  <si>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</si>
  <si>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</si>
  <si>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</si>
  <si>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</si>
  <si>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</si>
  <si>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</si>
  <si>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</si>
  <si>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</si>
  <si>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</si>
  <si>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</si>
  <si>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</si>
  <si>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</si>
  <si>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</si>
  <si>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</si>
  <si>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</si>
  <si>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</si>
  <si>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</si>
  <si>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</si>
  <si>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</si>
  <si>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</si>
  <si>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</si>
  <si>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</si>
  <si>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</si>
  <si>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</si>
  <si>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</si>
  <si>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</si>
  <si>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</si>
  <si>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</si>
  <si>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</si>
  <si>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</si>
  <si>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</si>
  <si>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</si>
  <si>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</si>
  <si>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</si>
  <si>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</si>
  <si>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</si>
  <si>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</si>
  <si>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</si>
  <si>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</si>
  <si>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</si>
  <si>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</si>
  <si>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</si>
  <si>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</si>
  <si>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</si>
  <si>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</si>
  <si>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</si>
  <si>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</si>
  <si>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</si>
  <si>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</si>
  <si>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</si>
  <si>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</si>
  <si>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</si>
  <si>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</si>
  <si>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</si>
  <si>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</si>
  <si>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</si>
  <si>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</si>
  <si>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</si>
  <si>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</si>
  <si>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</si>
  <si>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</si>
  <si>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</si>
  <si>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</si>
  <si>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</si>
  <si>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</si>
  <si>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</si>
  <si>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</si>
  <si>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</si>
  <si>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</si>
  <si>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</si>
  <si>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</si>
  <si>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</si>
  <si>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</si>
  <si>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</si>
  <si>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</si>
  <si>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</si>
  <si>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</si>
  <si>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</si>
  <si>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</si>
  <si>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</si>
  <si>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</si>
  <si>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</si>
  <si>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</si>
  <si>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</si>
  <si>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</si>
  <si>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</si>
  <si>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</si>
  <si>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</si>
  <si>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</si>
  <si>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</si>
  <si>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</si>
  <si>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</si>
  <si>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</si>
  <si>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</si>
  <si>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</si>
  <si>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</si>
  <si>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</si>
  <si>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</si>
  <si>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</si>
  <si>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</si>
  <si>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</si>
  <si>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</si>
  <si>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</si>
  <si>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</si>
  <si>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</si>
  <si>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</si>
  <si>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</si>
  <si>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</si>
  <si>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</si>
  <si>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</si>
  <si>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</si>
  <si>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</si>
  <si>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</si>
  <si>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</si>
  <si>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</si>
  <si>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</si>
  <si>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</si>
  <si>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</si>
  <si>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</si>
  <si>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</si>
  <si>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</si>
  <si>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</si>
  <si>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</si>
  <si>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</si>
  <si>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</si>
  <si>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</si>
  <si>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</si>
  <si>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</si>
  <si>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</si>
  <si>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</si>
  <si>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</si>
  <si>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</si>
  <si>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</si>
  <si>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</si>
  <si>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</si>
  <si>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</si>
  <si>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</si>
  <si>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</si>
  <si>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</si>
  <si>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</si>
  <si>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</si>
  <si>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</si>
  <si>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</si>
  <si>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</si>
  <si>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</si>
  <si>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</si>
  <si>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</si>
  <si>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</si>
  <si>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</si>
  <si>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</si>
  <si>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</si>
  <si>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</si>
  <si>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</si>
  <si>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</si>
  <si>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</si>
  <si>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</si>
  <si>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</si>
  <si>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</si>
  <si>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</si>
  <si>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</si>
  <si>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</si>
  <si>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</si>
  <si>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</si>
  <si>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</si>
  <si>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</si>
  <si>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</si>
  <si>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</si>
  <si>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</si>
  <si>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</si>
  <si>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</si>
  <si>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</si>
  <si>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</si>
  <si>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</si>
  <si>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</si>
  <si>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</si>
  <si>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</si>
  <si>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</si>
  <si>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</si>
  <si>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</si>
  <si>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</si>
  <si>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</si>
  <si>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</si>
  <si>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</si>
  <si>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</si>
  <si>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</si>
  <si>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</si>
  <si>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</si>
  <si>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</si>
  <si>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</si>
  <si>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</si>
  <si>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</si>
  <si>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</si>
  <si>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</si>
  <si>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</si>
  <si>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</si>
  <si>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</si>
  <si>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</si>
  <si>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</si>
  <si>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</si>
  <si>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</si>
  <si>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</si>
  <si>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</si>
  <si>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</si>
  <si>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</si>
  <si>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</si>
  <si>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</si>
  <si>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</si>
  <si>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</si>
  <si>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</si>
  <si>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</si>
  <si>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</si>
  <si>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</si>
  <si>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</si>
  <si>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</si>
  <si>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</si>
  <si>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</si>
  <si>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</si>
  <si>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</si>
  <si>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</si>
  <si>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</si>
  <si>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</si>
  <si>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</si>
  <si>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</si>
  <si>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</si>
  <si>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</si>
  <si>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</si>
  <si>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</si>
  <si>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</si>
  <si>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</si>
  <si>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</si>
  <si>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</si>
  <si>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</si>
  <si>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</si>
  <si>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</si>
  <si>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</si>
  <si>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</si>
  <si>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</si>
  <si>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</si>
  <si>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</si>
  <si>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</si>
  <si>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</si>
  <si>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</si>
  <si>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</si>
  <si>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</si>
  <si>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</si>
  <si>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</si>
  <si>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</si>
  <si>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</si>
  <si>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</si>
  <si>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</si>
  <si>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</si>
  <si>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</si>
  <si>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</si>
  <si>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</si>
  <si>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</si>
  <si>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</si>
  <si>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</si>
  <si>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</si>
  <si>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</si>
  <si>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</si>
  <si>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</si>
  <si>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</si>
  <si>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</si>
  <si>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</si>
  <si>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</si>
  <si>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</si>
  <si>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</si>
  <si>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</si>
  <si>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</si>
  <si>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</si>
  <si>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</si>
  <si>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</si>
  <si>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</si>
  <si>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</si>
  <si>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</si>
  <si>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</si>
  <si>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</si>
  <si>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</si>
  <si>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</si>
  <si>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</si>
  <si>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</si>
  <si>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</si>
  <si>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</si>
  <si>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</si>
  <si>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</si>
  <si>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</si>
  <si>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</si>
  <si>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</si>
  <si>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</si>
  <si>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</si>
  <si>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</si>
  <si>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</si>
  <si>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</si>
  <si>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</si>
  <si>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</si>
  <si>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</si>
  <si>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</si>
  <si>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</si>
  <si>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</si>
  <si>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</si>
  <si>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</si>
  <si>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</si>
  <si>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</si>
  <si>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</si>
  <si>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</si>
  <si>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</si>
  <si>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</si>
  <si>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</si>
  <si>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</si>
  <si>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</si>
  <si>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</si>
  <si>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</si>
  <si>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</si>
  <si>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</si>
  <si>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</si>
  <si>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</si>
  <si>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</si>
  <si>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</si>
  <si>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</si>
  <si>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</si>
  <si>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</si>
  <si>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</si>
  <si>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</si>
  <si>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</si>
  <si>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</si>
  <si>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</si>
  <si>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</si>
  <si>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</si>
  <si>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</si>
  <si>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</si>
  <si>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</si>
  <si>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</si>
  <si>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</si>
  <si>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</si>
  <si>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</si>
  <si>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</si>
  <si>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</si>
  <si>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</si>
  <si>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</si>
  <si>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</si>
  <si>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</si>
  <si>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</si>
  <si>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</si>
  <si>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</si>
  <si>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</si>
  <si>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</si>
  <si>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</si>
  <si>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</si>
  <si>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</si>
  <si>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</si>
  <si>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</si>
  <si>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</si>
  <si>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</si>
  <si>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</si>
  <si>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</si>
  <si>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</si>
  <si>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</si>
  <si>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</si>
  <si>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</si>
  <si>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</si>
  <si>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</si>
  <si>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</si>
  <si>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</si>
  <si>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</si>
  <si>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</si>
  <si>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</si>
  <si>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</si>
  <si>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</si>
  <si>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</si>
  <si>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</si>
  <si>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</si>
  <si>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</si>
  <si>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</si>
  <si>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</si>
  <si>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</si>
  <si>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</si>
  <si>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</si>
  <si>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</si>
  <si>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</si>
  <si>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</si>
  <si>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</si>
  <si>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</si>
  <si>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</si>
  <si>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</si>
  <si>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</si>
  <si>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</si>
  <si>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</si>
  <si>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</si>
  <si>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</si>
  <si>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</si>
  <si>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</si>
  <si>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</si>
  <si>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</si>
  <si>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</si>
  <si>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</si>
  <si>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</si>
  <si>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</si>
  <si>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</si>
  <si>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</si>
  <si>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</si>
  <si>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</si>
  <si>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</si>
  <si>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</si>
  <si>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</si>
  <si>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</si>
  <si>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</si>
  <si>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</si>
  <si>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</si>
  <si>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</si>
  <si>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</si>
  <si>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</si>
  <si>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</si>
  <si>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</si>
  <si>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</si>
  <si>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</si>
  <si>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</si>
  <si>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</si>
  <si>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</si>
  <si>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</si>
  <si>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</si>
  <si>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</si>
  <si>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</si>
  <si>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</si>
  <si>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</si>
  <si>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</si>
  <si>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</si>
  <si>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</si>
  <si>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</si>
  <si>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</si>
  <si>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</si>
  <si>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</si>
  <si>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</si>
  <si>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</si>
  <si>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</si>
  <si>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</si>
  <si>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</si>
  <si>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</si>
  <si>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</si>
  <si>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</si>
  <si>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</si>
  <si>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</si>
  <si>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</si>
  <si>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</si>
  <si>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</si>
  <si>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</si>
  <si>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</si>
  <si>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</si>
  <si>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</si>
  <si>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</si>
  <si>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</si>
  <si>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</si>
  <si>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</si>
  <si>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</si>
  <si>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</si>
  <si>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</si>
  <si>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</si>
  <si>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</si>
  <si>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</si>
  <si>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</si>
  <si>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</si>
  <si>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</si>
  <si>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</si>
  <si>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</si>
  <si>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</si>
  <si>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</si>
  <si>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</si>
  <si>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</si>
  <si>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</si>
  <si>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</si>
  <si>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</si>
  <si>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</si>
  <si>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</si>
  <si>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</si>
  <si>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</si>
  <si>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</si>
  <si>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</si>
  <si>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</si>
  <si>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</si>
  <si>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</si>
  <si>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</si>
  <si>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</si>
  <si>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</si>
  <si>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</si>
  <si>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</si>
  <si>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</si>
  <si>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</si>
  <si>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</si>
  <si>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</si>
  <si>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</si>
  <si>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</si>
  <si>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</si>
  <si>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</si>
  <si>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</si>
  <si>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</si>
  <si>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</si>
  <si>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</si>
  <si>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</si>
  <si>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</si>
  <si>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</si>
  <si>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</si>
  <si>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</si>
  <si>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</si>
  <si>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</si>
  <si>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</si>
  <si>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</si>
  <si>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</si>
  <si>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</si>
  <si>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</si>
  <si>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</si>
  <si>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</si>
  <si>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</si>
  <si>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</si>
  <si>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</si>
  <si>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</si>
  <si>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</si>
  <si>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</si>
  <si>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</si>
  <si>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</si>
  <si>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</si>
  <si>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</si>
  <si>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</si>
  <si>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</si>
  <si>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</si>
  <si>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</si>
  <si>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</si>
  <si>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</si>
  <si>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</si>
  <si>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</si>
  <si>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</si>
  <si>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</si>
  <si>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</si>
  <si>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</si>
  <si>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</si>
  <si>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</si>
  <si>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</si>
  <si>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</si>
  <si>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</si>
  <si>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</si>
  <si>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</si>
  <si>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</si>
  <si>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</si>
  <si>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</si>
  <si>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</si>
  <si>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</si>
  <si>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</si>
  <si>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</si>
  <si>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</si>
  <si>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</si>
  <si>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</si>
  <si>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</si>
  <si>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</si>
  <si>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</si>
  <si>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</si>
  <si>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</si>
  <si>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</si>
  <si>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</si>
  <si>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</si>
  <si>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</si>
  <si>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</si>
  <si>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</si>
  <si>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</si>
  <si>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</si>
  <si>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</si>
  <si>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</si>
  <si>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</si>
  <si>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</si>
  <si>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</si>
  <si>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</si>
  <si>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</si>
  <si>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</si>
  <si>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</si>
  <si>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</si>
  <si>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</si>
  <si>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</si>
  <si>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</si>
  <si>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</si>
  <si>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</si>
  <si>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</si>
  <si>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</si>
  <si>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</si>
  <si>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</si>
  <si>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</si>
  <si>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</si>
  <si>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</si>
  <si>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</si>
  <si>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</si>
  <si>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</si>
  <si>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</si>
  <si>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</si>
  <si>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</si>
  <si>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</si>
  <si>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</si>
  <si>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</si>
  <si>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</si>
  <si>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</si>
  <si>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</si>
  <si>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</si>
  <si>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</si>
  <si>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</si>
  <si>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</si>
  <si>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</si>
  <si>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</si>
  <si>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</si>
  <si>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</si>
  <si>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</si>
  <si>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</si>
  <si>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</si>
  <si>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</si>
  <si>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</si>
  <si>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</si>
  <si>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</si>
  <si>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</si>
  <si>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</si>
  <si>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</si>
  <si>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</si>
  <si>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</si>
  <si>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</si>
  <si>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</si>
  <si>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</si>
  <si>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</si>
  <si>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</si>
  <si>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</si>
  <si>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</si>
  <si>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</si>
  <si>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</si>
  <si>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</si>
  <si>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</si>
  <si>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</si>
  <si>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</si>
  <si>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</si>
  <si>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</si>
  <si>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</si>
  <si>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</si>
  <si>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</si>
  <si>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</si>
  <si>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</si>
  <si>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</si>
  <si>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</si>
  <si>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</si>
  <si>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</si>
  <si>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</si>
  <si>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</si>
  <si>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</si>
  <si>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</si>
  <si>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</si>
  <si>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</si>
  <si>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</si>
  <si>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</si>
  <si>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</si>
  <si>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</si>
  <si>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</si>
  <si>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</si>
  <si>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</si>
  <si>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</si>
  <si>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</si>
  <si>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</si>
  <si>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</si>
  <si>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</si>
  <si>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</si>
  <si>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</si>
  <si>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</si>
  <si>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</si>
  <si>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</si>
  <si>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</si>
  <si>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</si>
  <si>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</si>
  <si>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</si>
  <si>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</si>
  <si>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</si>
  <si>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</si>
  <si>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</si>
  <si>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</si>
  <si>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</si>
  <si>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</si>
  <si>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</si>
  <si>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</si>
  <si>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</si>
  <si>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</si>
  <si>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</si>
  <si>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</si>
  <si>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</si>
  <si>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</si>
  <si>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</si>
  <si>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</si>
  <si>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</si>
  <si>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</si>
  <si>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</si>
  <si>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</si>
  <si>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</si>
  <si>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</si>
  <si>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</si>
  <si>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</si>
  <si>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</si>
  <si>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</si>
  <si>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</si>
  <si>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</si>
  <si>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</si>
  <si>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</si>
  <si>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</si>
  <si>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</si>
  <si>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</si>
  <si>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</si>
  <si>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</si>
  <si>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</si>
  <si>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</si>
  <si>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</si>
  <si>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</si>
  <si>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</si>
  <si>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</si>
  <si>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</si>
  <si>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</si>
  <si>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</si>
  <si>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</si>
  <si>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</si>
  <si>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</si>
  <si>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</si>
  <si>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</si>
  <si>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</si>
  <si>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</si>
  <si>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</si>
  <si>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</si>
  <si>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</si>
  <si>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</si>
  <si>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</si>
  <si>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</si>
  <si>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</si>
  <si>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</si>
  <si>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</si>
  <si>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</si>
  <si>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</si>
  <si>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</si>
  <si>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</si>
  <si>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</si>
  <si>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</si>
  <si>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</si>
  <si>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</si>
  <si>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</si>
  <si>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</si>
  <si>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</si>
  <si>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</si>
  <si>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</si>
  <si>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</si>
  <si>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</si>
  <si>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</si>
  <si>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</si>
  <si>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</si>
  <si>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</si>
  <si>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</si>
  <si>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</si>
  <si>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</si>
  <si>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</si>
  <si>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</si>
  <si>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</si>
  <si>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</si>
  <si>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</si>
  <si>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</si>
  <si>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</si>
  <si>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</si>
  <si>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</si>
  <si>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</si>
  <si>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</si>
  <si>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</si>
  <si>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</si>
  <si>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</si>
  <si>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</si>
  <si>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</si>
  <si>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</si>
  <si>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</si>
  <si>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</si>
  <si>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</si>
  <si>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</si>
  <si>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</si>
  <si>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</si>
  <si>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</si>
  <si>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</si>
  <si>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</si>
  <si>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</si>
  <si>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</si>
  <si>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</si>
  <si>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</si>
  <si>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</si>
  <si>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</si>
  <si>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</si>
  <si>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</si>
  <si>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</si>
  <si>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</si>
  <si>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</si>
  <si>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</si>
  <si>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</si>
  <si>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</si>
  <si>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</si>
  <si>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</si>
  <si>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</si>
  <si>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</si>
  <si>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</si>
  <si>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</si>
  <si>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</si>
  <si>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</si>
  <si>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</si>
  <si>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</si>
  <si>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</si>
  <si>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</si>
  <si>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</si>
  <si>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</si>
  <si>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</si>
  <si>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</si>
  <si>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</si>
  <si>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</si>
  <si>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</si>
  <si>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</si>
  <si>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</si>
  <si>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</si>
  <si>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</si>
  <si>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</si>
  <si>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</si>
  <si>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</si>
  <si>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</si>
  <si>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</si>
  <si>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</si>
  <si>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</si>
  <si>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</si>
  <si>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</si>
  <si>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</si>
  <si>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</si>
  <si>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</si>
  <si>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</si>
  <si>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</si>
  <si>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</si>
  <si>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</si>
  <si>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</si>
  <si>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</si>
  <si>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</si>
  <si>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</si>
  <si>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</si>
  <si>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</si>
  <si>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</si>
  <si>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</si>
  <si>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</si>
  <si>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</si>
  <si>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</si>
  <si>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</si>
  <si>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</si>
  <si>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</si>
  <si>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</si>
  <si>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</si>
  <si>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</si>
  <si>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</si>
  <si>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</si>
  <si>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</si>
  <si>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</si>
  <si>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</si>
  <si>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</si>
  <si>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</si>
  <si>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</si>
  <si>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</si>
  <si>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</si>
  <si>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</si>
  <si>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</si>
  <si>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</si>
  <si>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</si>
  <si>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</si>
  <si>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</si>
  <si>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</si>
  <si>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</si>
  <si>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</si>
  <si>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</si>
  <si>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</si>
  <si>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</si>
  <si>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</si>
  <si>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</si>
  <si>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</si>
  <si>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</si>
  <si>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</si>
  <si>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</si>
  <si>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</si>
  <si>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</si>
  <si>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</si>
  <si>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</si>
  <si>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</si>
  <si>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</si>
  <si>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</si>
  <si>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</si>
  <si>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</si>
  <si>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</si>
  <si>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</si>
  <si>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</si>
  <si>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</si>
  <si>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</si>
  <si>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</si>
  <si>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</si>
  <si>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</si>
  <si>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</si>
  <si>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</si>
  <si>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</si>
  <si>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</si>
  <si>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</si>
  <si>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</si>
  <si>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</si>
  <si>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</si>
  <si>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</si>
  <si>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</si>
  <si>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</si>
  <si>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</si>
  <si>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</si>
  <si>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</si>
  <si>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</si>
  <si>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</si>
  <si>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</si>
  <si>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</si>
  <si>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</si>
  <si>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</si>
  <si>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</si>
  <si>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</si>
  <si>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</si>
  <si>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</si>
  <si>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</si>
  <si>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</si>
  <si>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</si>
  <si>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</si>
  <si>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</si>
  <si>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</si>
  <si>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</si>
  <si>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</si>
  <si>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</si>
  <si>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</si>
  <si>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</si>
  <si>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</si>
  <si>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</si>
  <si>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</si>
  <si>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</si>
  <si>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</si>
  <si>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</si>
  <si>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</si>
  <si>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</si>
  <si>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</si>
  <si>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</si>
  <si>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</si>
  <si>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</si>
  <si>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</si>
  <si>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</si>
  <si>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</si>
  <si>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</si>
  <si>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</si>
  <si>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</si>
  <si>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</si>
  <si>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</si>
  <si>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</si>
  <si>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</si>
  <si>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</si>
  <si>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</si>
  <si>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</si>
  <si>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</si>
  <si>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</si>
  <si>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</si>
  <si>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</si>
  <si>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</si>
  <si>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</si>
  <si>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</si>
  <si>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</si>
  <si>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</si>
  <si>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</si>
  <si>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</si>
  <si>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</si>
  <si>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</si>
  <si>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</si>
  <si>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</si>
  <si>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</si>
  <si>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</si>
  <si>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</si>
  <si>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</si>
  <si>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</si>
  <si>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</si>
  <si>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</si>
  <si>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</si>
  <si>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</si>
  <si>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</si>
  <si>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</si>
  <si>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</si>
  <si>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</si>
  <si>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</si>
  <si>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</si>
  <si>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</si>
  <si>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</si>
  <si>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</si>
  <si>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</si>
  <si>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</si>
  <si>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</si>
  <si>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</si>
  <si>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</si>
  <si>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</si>
  <si>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</si>
  <si>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</si>
  <si>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</si>
  <si>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</si>
  <si>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</si>
  <si>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</si>
  <si>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</si>
  <si>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</si>
  <si>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</si>
  <si>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</si>
  <si>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</si>
  <si>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</si>
  <si>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</si>
  <si>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</si>
  <si>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</si>
  <si>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</si>
  <si>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</si>
  <si>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</si>
  <si>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</si>
  <si>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</si>
  <si>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</si>
  <si>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</si>
  <si>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</si>
  <si>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</si>
  <si>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</si>
  <si>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</si>
  <si>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</si>
  <si>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</si>
  <si>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</si>
  <si>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</si>
  <si>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</si>
  <si>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</si>
  <si>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</si>
  <si>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</si>
  <si>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</si>
  <si>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</si>
  <si>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</si>
  <si>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</si>
  <si>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</si>
  <si>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</si>
  <si>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</si>
  <si>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</si>
  <si>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</si>
  <si>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</si>
  <si>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</si>
  <si>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</si>
  <si>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</si>
  <si>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</si>
  <si>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</si>
  <si>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</si>
  <si>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</si>
  <si>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</si>
  <si>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</si>
  <si>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</si>
  <si>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</si>
  <si>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</si>
  <si>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</si>
  <si>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</si>
  <si>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</si>
  <si>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</si>
  <si>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</si>
  <si>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</si>
  <si>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</si>
  <si>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</si>
  <si>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</si>
  <si>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</si>
  <si>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</si>
  <si>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</si>
  <si>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</si>
  <si>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</si>
  <si>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</si>
  <si>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</si>
  <si>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</si>
  <si>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</si>
  <si>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</si>
  <si>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</si>
  <si>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</si>
  <si>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</si>
  <si>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</si>
  <si>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</si>
  <si>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</si>
  <si>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</si>
  <si>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</si>
  <si>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</si>
  <si>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</si>
  <si>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</si>
  <si>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</si>
  <si>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</si>
  <si>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</si>
  <si>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</si>
  <si>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</si>
  <si>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</si>
  <si>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</si>
  <si>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</si>
  <si>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</si>
  <si>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</si>
  <si>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</si>
  <si>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</si>
  <si>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</si>
  <si>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</si>
  <si>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</si>
  <si>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</si>
  <si>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</si>
  <si>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</si>
  <si>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</si>
  <si>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</si>
  <si>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</si>
  <si>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</si>
  <si>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</si>
  <si>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</si>
  <si>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</si>
  <si>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</si>
  <si>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</si>
  <si>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</si>
  <si>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</si>
  <si>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</si>
  <si>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</si>
  <si>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</si>
  <si>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</si>
  <si>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</si>
  <si>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</si>
  <si>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</si>
  <si>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</si>
  <si>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</si>
  <si>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</si>
  <si>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</si>
  <si>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</si>
  <si>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</si>
  <si>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</si>
  <si>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</si>
  <si>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</si>
  <si>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</si>
  <si>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</si>
  <si>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</si>
  <si>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</si>
  <si>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</si>
  <si>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</si>
  <si>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</si>
  <si>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</si>
  <si>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</si>
  <si>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</si>
  <si>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</si>
  <si>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</si>
  <si>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</si>
  <si>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</si>
  <si>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</si>
  <si>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</si>
  <si>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</si>
  <si>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</si>
  <si>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</si>
  <si>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</si>
  <si>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</si>
  <si>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</si>
  <si>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</si>
  <si>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</si>
  <si>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</si>
  <si>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</si>
  <si>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</si>
  <si>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</si>
  <si>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</si>
  <si>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</si>
  <si>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</si>
  <si>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</si>
  <si>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</si>
  <si>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</si>
  <si>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</si>
  <si>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</si>
  <si>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</si>
  <si>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</si>
  <si>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</si>
  <si>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</si>
  <si>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</si>
  <si>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</si>
  <si>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</si>
  <si>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</si>
  <si>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</si>
  <si>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</si>
  <si>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</si>
  <si>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</si>
  <si>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</si>
  <si>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</si>
  <si>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</si>
  <si>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</si>
  <si>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</si>
  <si>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</si>
  <si>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</si>
  <si>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</si>
  <si>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</si>
  <si>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</si>
  <si>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</si>
  <si>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</si>
  <si>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</si>
  <si>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</si>
  <si>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</si>
  <si>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</si>
  <si>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</si>
  <si>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</si>
  <si>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</si>
  <si>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</si>
  <si>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</si>
  <si>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</si>
  <si>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</si>
  <si>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</si>
  <si>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</si>
  <si>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</si>
  <si>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</si>
  <si>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</si>
  <si>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</si>
  <si>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</si>
  <si>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</si>
  <si>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</si>
  <si>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</si>
  <si>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</si>
  <si>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</si>
  <si>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</si>
  <si>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</si>
  <si>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</si>
  <si>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</si>
  <si>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</si>
  <si>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</si>
  <si>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</si>
  <si>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</si>
  <si>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</si>
  <si>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</si>
  <si>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</si>
  <si>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</si>
  <si>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</si>
  <si>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</si>
  <si>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</si>
  <si>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</si>
  <si>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</si>
  <si>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</si>
  <si>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</si>
  <si>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</si>
  <si>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</si>
  <si>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</si>
  <si>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</si>
  <si>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</si>
  <si>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</si>
  <si>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</si>
  <si>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</si>
  <si>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</si>
  <si>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</si>
  <si>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</si>
  <si>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</si>
  <si>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</si>
  <si>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</si>
  <si>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</si>
  <si>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</si>
  <si>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</si>
  <si>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</si>
  <si>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</si>
  <si>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</si>
  <si>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</si>
  <si>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</si>
  <si>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</si>
  <si>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</si>
  <si>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</si>
  <si>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</si>
  <si>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</si>
  <si>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</si>
  <si>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</si>
  <si>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</si>
  <si>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</si>
  <si>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</si>
  <si>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</si>
  <si>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</si>
  <si>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</si>
  <si>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</si>
  <si>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</si>
  <si>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</si>
  <si>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</si>
  <si>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</si>
  <si>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</si>
  <si>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</si>
  <si>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</si>
  <si>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</si>
  <si>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</si>
  <si>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</si>
  <si>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</si>
  <si>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</si>
  <si>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</si>
  <si>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</si>
  <si>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</si>
  <si>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</si>
  <si>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</si>
  <si>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</si>
  <si>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</si>
  <si>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</si>
  <si>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</si>
  <si>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</si>
  <si>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</si>
  <si>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</si>
  <si>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</si>
  <si>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</si>
  <si>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</si>
  <si>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</si>
  <si>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</si>
  <si>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</si>
  <si>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</si>
  <si>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</si>
  <si>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</si>
  <si>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</si>
  <si>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</si>
  <si>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</si>
  <si>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</si>
  <si>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</si>
  <si>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</si>
  <si>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</si>
  <si>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</si>
  <si>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</si>
  <si>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</si>
  <si>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</si>
  <si>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</si>
  <si>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</si>
  <si>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</si>
  <si>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</si>
  <si>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</si>
  <si>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</si>
  <si>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</si>
  <si>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</si>
  <si>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</si>
  <si>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</si>
  <si>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</si>
  <si>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</si>
  <si>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</si>
  <si>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</si>
  <si>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</si>
  <si>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</si>
  <si>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</si>
  <si>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</si>
  <si>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</si>
  <si>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</si>
  <si>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</si>
  <si>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</si>
  <si>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</si>
  <si>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</si>
  <si>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</si>
  <si>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</si>
  <si>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</si>
  <si>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</si>
  <si>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</si>
  <si>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</si>
  <si>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</si>
  <si>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</si>
  <si>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</si>
  <si>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</si>
  <si>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</si>
  <si>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</si>
  <si>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</si>
  <si>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</si>
  <si>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</si>
  <si>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</si>
  <si>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</si>
  <si>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</si>
  <si>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</si>
  <si>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</si>
  <si>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</si>
  <si>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</si>
  <si>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</si>
  <si>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</si>
  <si>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</si>
  <si>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</si>
  <si>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</si>
  <si>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</si>
  <si>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</si>
  <si>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</si>
  <si>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</si>
  <si>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</si>
  <si>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</si>
  <si>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</si>
  <si>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</si>
  <si>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</si>
  <si>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</si>
  <si>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</si>
  <si>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</si>
  <si>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</si>
  <si>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</si>
  <si>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</si>
  <si>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</si>
  <si>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</si>
  <si>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</si>
  <si>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</si>
  <si>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</si>
  <si>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</si>
  <si>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</si>
  <si>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</si>
  <si>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</si>
  <si>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</si>
  <si>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</si>
  <si>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</si>
  <si>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</si>
  <si>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</si>
  <si>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</si>
  <si>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</si>
  <si>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</si>
  <si>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</si>
  <si>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</si>
  <si>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</si>
  <si>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</si>
  <si>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</si>
  <si>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</si>
  <si>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</si>
  <si>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</si>
  <si>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</si>
  <si>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</si>
  <si>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</si>
  <si>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</si>
  <si>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</si>
  <si>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</si>
  <si>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</si>
  <si>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</si>
  <si>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</si>
  <si>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</si>
  <si>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</si>
  <si>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</si>
  <si>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</si>
  <si>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</si>
  <si>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</si>
  <si>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</si>
  <si>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</si>
  <si>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</si>
  <si>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</si>
  <si>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</si>
  <si>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</si>
  <si>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</si>
  <si>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</si>
  <si>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</si>
  <si>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</si>
  <si>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</si>
  <si>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</si>
  <si>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</si>
  <si>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</si>
  <si>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</si>
  <si>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</si>
  <si>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</si>
  <si>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</si>
  <si>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</si>
  <si>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</si>
  <si>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</si>
  <si>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</si>
  <si>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</si>
  <si>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</si>
  <si>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</si>
  <si>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</si>
  <si>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</si>
  <si>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</si>
  <si>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</si>
  <si>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</si>
  <si>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</si>
  <si>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</si>
  <si>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</si>
  <si>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</si>
  <si>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</si>
  <si>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</si>
  <si>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</si>
  <si>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</si>
  <si>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</si>
  <si>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</si>
  <si>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</si>
  <si>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</si>
  <si>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</si>
  <si>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</si>
  <si>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</si>
  <si>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</si>
  <si>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</si>
  <si>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</si>
  <si>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</si>
  <si>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</si>
  <si>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</si>
  <si>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</si>
  <si>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</si>
  <si>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</si>
  <si>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</si>
  <si>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</si>
  <si>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</si>
  <si>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</si>
  <si>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</si>
  <si>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</si>
  <si>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</si>
  <si>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</si>
  <si>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</si>
  <si>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</si>
  <si>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</si>
  <si>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</si>
  <si>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</si>
  <si>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</si>
  <si>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</si>
  <si>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</si>
  <si>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</si>
  <si>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</si>
  <si>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</si>
  <si>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</si>
  <si>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</si>
  <si>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</si>
  <si>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</si>
  <si>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</si>
  <si>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</si>
  <si>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</si>
  <si>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</si>
  <si>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</si>
  <si>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</si>
  <si>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</si>
  <si>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</si>
  <si>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</si>
  <si>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</si>
  <si>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</si>
  <si>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</si>
  <si>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</si>
  <si>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</si>
  <si>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</si>
  <si>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</si>
  <si>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</si>
  <si>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</si>
  <si>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</si>
  <si>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</si>
  <si>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</si>
  <si>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</si>
  <si>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</si>
  <si>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</si>
  <si>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</si>
  <si>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</si>
  <si>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</si>
  <si>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</si>
  <si>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</si>
  <si>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</si>
  <si>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</si>
  <si>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</si>
  <si>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</si>
  <si>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</si>
  <si>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</si>
  <si>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</si>
  <si>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</si>
  <si>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</si>
  <si>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</si>
  <si>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</si>
  <si>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</si>
  <si>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</si>
  <si>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</si>
  <si>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</si>
  <si>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</si>
  <si>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</si>
  <si>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</si>
  <si>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</si>
  <si>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</si>
  <si>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</si>
  <si>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</si>
  <si>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</si>
  <si>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</si>
  <si>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</si>
  <si>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</si>
  <si>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</si>
  <si>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</si>
  <si>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</si>
  <si>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</si>
  <si>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</si>
  <si>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</si>
  <si>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</si>
  <si>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</si>
  <si>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</si>
  <si>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</si>
  <si>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</si>
  <si>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</si>
  <si>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</si>
  <si>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</si>
  <si>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</si>
  <si>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</si>
  <si>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</si>
  <si>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</si>
  <si>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</si>
  <si>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</si>
  <si>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</si>
  <si>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</si>
  <si>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</si>
  <si>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</si>
  <si>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</si>
  <si>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</si>
  <si>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</si>
  <si>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</si>
  <si>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</si>
  <si>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</si>
  <si>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</si>
  <si>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</si>
  <si>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</si>
  <si>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</si>
  <si>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</si>
  <si>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</si>
  <si>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</si>
  <si>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</si>
  <si>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</si>
  <si>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</si>
  <si>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</si>
  <si>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</si>
  <si>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</si>
  <si>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</si>
  <si>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</si>
  <si>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</si>
  <si>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</si>
  <si>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</si>
  <si>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</si>
  <si>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</si>
  <si>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</si>
  <si>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</si>
  <si>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</si>
  <si>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</si>
  <si>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</si>
  <si>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</si>
  <si>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</si>
  <si>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</si>
  <si>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</si>
  <si>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</si>
  <si>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</si>
  <si>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</si>
  <si>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</si>
  <si>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</si>
  <si>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</si>
  <si>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</si>
  <si>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</si>
  <si>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</si>
  <si>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</si>
  <si>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</si>
  <si>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</si>
  <si>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</si>
  <si>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</si>
  <si>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</si>
  <si>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</si>
  <si>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</si>
  <si>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</si>
  <si>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</si>
  <si>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</si>
  <si>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</si>
  <si>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</si>
  <si>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</si>
  <si>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</si>
  <si>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</si>
  <si>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</si>
  <si>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</si>
  <si>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</si>
  <si>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</si>
  <si>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</si>
  <si>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</si>
  <si>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</si>
  <si>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</si>
  <si>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</si>
  <si>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</si>
  <si>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</si>
  <si>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</si>
  <si>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</si>
  <si>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</si>
  <si>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</si>
  <si>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</si>
  <si>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</si>
  <si>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</si>
  <si>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</si>
  <si>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</si>
  <si>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</si>
  <si>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</si>
  <si>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</si>
  <si>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</si>
  <si>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</si>
  <si>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</si>
  <si>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</si>
  <si>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</si>
  <si>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</si>
  <si>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</si>
  <si>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</si>
  <si>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</si>
  <si>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</si>
  <si>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</si>
  <si>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</si>
  <si>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</si>
  <si>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</si>
  <si>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</si>
  <si>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</si>
  <si>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</si>
  <si>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</si>
  <si>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</si>
  <si>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</si>
  <si>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</si>
  <si>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</si>
  <si>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</si>
  <si>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</si>
  <si>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</si>
  <si>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</si>
  <si>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</si>
  <si>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</si>
  <si>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</si>
  <si>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</si>
  <si>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</si>
  <si>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</si>
  <si>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</si>
  <si>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</si>
  <si>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</si>
  <si>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</si>
  <si>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</si>
  <si>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</si>
  <si>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</si>
  <si>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</si>
  <si>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</si>
  <si>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</si>
  <si>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</si>
  <si>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</si>
  <si>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</si>
  <si>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</si>
  <si>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</si>
  <si>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</si>
  <si>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</si>
  <si>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</si>
  <si>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</si>
  <si>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</si>
  <si>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</si>
  <si>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</si>
  <si>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</si>
  <si>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</si>
  <si>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</si>
  <si>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</si>
  <si>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</si>
  <si>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</si>
  <si>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</si>
  <si>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</si>
  <si>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</si>
  <si>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</si>
  <si>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</si>
  <si>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</si>
  <si>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</si>
  <si>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</si>
  <si>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</si>
  <si>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</si>
  <si>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</si>
  <si>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</si>
  <si>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</si>
  <si>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</si>
  <si>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</si>
  <si>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</si>
  <si>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</si>
  <si>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</si>
  <si>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</si>
  <si>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</si>
  <si>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</si>
  <si>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</si>
  <si>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</si>
  <si>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</si>
  <si>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</si>
  <si>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</si>
  <si>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</si>
  <si>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</si>
  <si>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</si>
  <si>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</si>
  <si>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</si>
  <si>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</si>
  <si>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</si>
  <si>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</si>
  <si>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</si>
  <si>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</si>
  <si>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</si>
  <si>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</si>
  <si>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</si>
  <si>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</si>
  <si>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</si>
  <si>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</si>
  <si>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</si>
  <si>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</si>
  <si>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</si>
  <si>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</si>
  <si>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</si>
  <si>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</si>
  <si>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</si>
  <si>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</si>
  <si>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</si>
  <si>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</si>
  <si>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</si>
  <si>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</si>
  <si>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</si>
  <si>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</si>
  <si>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</si>
  <si>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</si>
  <si>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</si>
  <si>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</si>
  <si>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</si>
  <si>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</si>
  <si>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</si>
  <si>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</si>
  <si>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</si>
  <si>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</si>
  <si>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</si>
  <si>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</si>
  <si>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</si>
  <si>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</si>
  <si>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</si>
  <si>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</si>
  <si>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</si>
  <si>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</si>
  <si>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</si>
  <si>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</si>
  <si>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</si>
  <si>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</si>
  <si>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</si>
  <si>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</si>
  <si>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</si>
  <si>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</si>
  <si>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</si>
  <si>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</si>
  <si>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</si>
  <si>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</si>
  <si>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</si>
  <si>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</si>
  <si>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</si>
  <si>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</si>
  <si>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</si>
  <si>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</si>
  <si>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</si>
  <si>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</si>
  <si>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</si>
  <si>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</si>
  <si>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</si>
  <si>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</si>
  <si>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</si>
  <si>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</si>
  <si>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</si>
  <si>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</si>
  <si>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</si>
  <si>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</si>
  <si>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</si>
  <si>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</si>
  <si>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</si>
  <si>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</si>
  <si>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</si>
  <si>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</si>
  <si>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</si>
  <si>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</si>
  <si>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</si>
  <si>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</si>
  <si>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</si>
  <si>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</si>
  <si>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</si>
  <si>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</si>
  <si>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</si>
  <si>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</si>
  <si>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</si>
  <si>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</si>
  <si>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</si>
  <si>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</si>
  <si>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</si>
  <si>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</si>
  <si>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</si>
  <si>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</si>
  <si>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</si>
  <si>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</si>
  <si>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</si>
  <si>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</si>
  <si>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</si>
  <si>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</si>
  <si>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</si>
  <si>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</si>
  <si>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</si>
  <si>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</si>
  <si>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</si>
  <si>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</si>
  <si>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</si>
  <si>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</si>
  <si>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</si>
  <si>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</si>
  <si>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</si>
  <si>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</si>
  <si>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</si>
  <si>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</si>
  <si>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</si>
  <si>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</si>
  <si>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</si>
  <si>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</si>
  <si>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</si>
  <si>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</si>
  <si>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</si>
  <si>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</si>
  <si>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</si>
  <si>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</si>
  <si>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</si>
  <si>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</si>
  <si>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</si>
  <si>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</si>
  <si>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</si>
  <si>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</si>
  <si>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</si>
  <si>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</si>
  <si>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</si>
  <si>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</si>
  <si>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</si>
  <si>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</si>
  <si>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</si>
  <si>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</si>
  <si>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</si>
  <si>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</si>
  <si>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</si>
  <si>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</si>
  <si>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</si>
  <si>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</si>
  <si>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</si>
  <si>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</si>
  <si>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</si>
  <si>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</si>
  <si>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</si>
  <si>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</si>
  <si>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</si>
  <si>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</si>
  <si>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</si>
  <si>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</si>
  <si>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</si>
  <si>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</si>
  <si>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</si>
  <si>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</si>
  <si>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</si>
  <si>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</si>
  <si>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</si>
  <si>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</si>
  <si>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</si>
  <si>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</si>
  <si>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</si>
  <si>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</si>
  <si>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</si>
  <si>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</si>
  <si>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</si>
  <si>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</si>
  <si>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</si>
  <si>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</si>
  <si>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</si>
  <si>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</si>
  <si>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</si>
  <si>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</si>
  <si>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</si>
  <si>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</si>
  <si>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</si>
  <si>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</si>
  <si>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</si>
  <si>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</si>
  <si>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</si>
  <si>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</si>
  <si>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</si>
  <si>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</si>
  <si>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</si>
  <si>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</si>
  <si>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</si>
  <si>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</si>
  <si>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</si>
  <si>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</si>
  <si>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</si>
  <si>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</si>
  <si>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</si>
  <si>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</si>
  <si>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</si>
  <si>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</si>
  <si>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</si>
  <si>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</si>
  <si>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</si>
  <si>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</si>
  <si>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</si>
  <si>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</si>
  <si>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</si>
  <si>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</si>
  <si>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</si>
  <si>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</si>
  <si>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</si>
  <si>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</si>
  <si>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</si>
  <si>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</si>
  <si>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</si>
  <si>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</si>
  <si>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</si>
  <si>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</si>
  <si>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</si>
  <si>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</si>
  <si>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</si>
  <si>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</si>
  <si>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</si>
  <si>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</si>
  <si>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</si>
  <si>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</si>
  <si>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</si>
  <si>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</si>
  <si>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</si>
  <si>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</si>
  <si>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</si>
  <si>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</si>
  <si>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</si>
  <si>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</si>
  <si>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</si>
  <si>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</si>
  <si>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</si>
  <si>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</si>
  <si>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</si>
  <si>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</si>
  <si>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</si>
  <si>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</si>
  <si>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</si>
  <si>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</si>
  <si>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</si>
  <si>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</si>
  <si>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</si>
  <si>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</si>
  <si>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</si>
  <si>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</si>
  <si>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</si>
  <si>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</si>
  <si>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</si>
  <si>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</si>
  <si>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</si>
  <si>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</si>
  <si>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</si>
  <si>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</si>
  <si>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</si>
  <si>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</si>
  <si>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</si>
  <si>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</si>
  <si>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</si>
  <si>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</si>
  <si>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</si>
  <si>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</si>
  <si>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</si>
  <si>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</si>
  <si>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</si>
  <si>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</si>
  <si>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</si>
  <si>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</si>
  <si>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</si>
  <si>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</si>
  <si>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</si>
  <si>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</si>
  <si>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</si>
  <si>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</si>
  <si>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</si>
  <si>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</si>
  <si>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</si>
  <si>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</si>
  <si>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</si>
  <si>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</si>
  <si>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</si>
  <si>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</si>
  <si>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</si>
  <si>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</si>
  <si>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</si>
  <si>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</si>
  <si>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</si>
  <si>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</si>
  <si>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</si>
  <si>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</si>
  <si>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</si>
  <si>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</si>
  <si>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</si>
  <si>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</si>
  <si>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</si>
  <si>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</si>
  <si>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</si>
  <si>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</si>
  <si>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</si>
  <si>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</si>
  <si>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</si>
  <si>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</si>
  <si>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</si>
  <si>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</si>
  <si>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</si>
  <si>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</si>
  <si>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</si>
  <si>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</si>
  <si>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</si>
  <si>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</si>
  <si>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</si>
  <si>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</si>
  <si>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</si>
  <si>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</si>
  <si>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</si>
  <si>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</si>
  <si>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</si>
  <si>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</si>
  <si>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</si>
  <si>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</si>
  <si>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</si>
  <si>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</si>
  <si>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</si>
  <si>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</si>
  <si>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</si>
  <si>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</si>
  <si>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</si>
  <si>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</si>
  <si>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</si>
  <si>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</si>
  <si>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</si>
  <si>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</si>
  <si>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</si>
  <si>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</si>
  <si>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</si>
  <si>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</si>
  <si>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</si>
  <si>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</si>
  <si>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</si>
  <si>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</si>
  <si>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</si>
  <si>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</si>
  <si>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</si>
  <si>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</si>
  <si>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</si>
  <si>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</si>
  <si>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</si>
  <si>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</si>
  <si>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</si>
  <si>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</si>
  <si>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</si>
  <si>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</si>
  <si>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</si>
  <si>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</si>
  <si>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</si>
  <si>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</si>
  <si>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</si>
  <si>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</si>
  <si>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</si>
  <si>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</si>
  <si>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</si>
  <si>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</si>
  <si>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</si>
  <si>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</si>
  <si>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</si>
  <si>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</si>
  <si>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</si>
  <si>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</si>
  <si>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</si>
  <si>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</si>
  <si>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</si>
  <si>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</si>
  <si>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</si>
  <si>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</si>
  <si>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</si>
  <si>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</si>
  <si>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</si>
  <si>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</si>
  <si>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</si>
  <si>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</si>
  <si>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</si>
  <si>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</si>
  <si>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</si>
  <si>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</si>
  <si>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</si>
  <si>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</si>
  <si>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</si>
  <si>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</si>
  <si>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</si>
  <si>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</si>
  <si>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</si>
  <si>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</si>
  <si>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</si>
  <si>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</si>
  <si>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</si>
  <si>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</si>
  <si>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</si>
  <si>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</si>
  <si>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</si>
  <si>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</si>
  <si>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</si>
  <si>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</si>
  <si>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</si>
  <si>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</si>
  <si>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</si>
  <si>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</si>
  <si>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</si>
  <si>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</si>
  <si>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</si>
  <si>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</si>
  <si>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</si>
  <si>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</si>
  <si>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</si>
  <si>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</si>
  <si>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</si>
  <si>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</si>
  <si>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</si>
  <si>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</si>
  <si>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</si>
  <si>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</si>
  <si>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</si>
  <si>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</si>
  <si>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</si>
  <si>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</si>
  <si>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</si>
  <si>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</si>
  <si>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</si>
  <si>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</si>
  <si>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</si>
  <si>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</si>
  <si>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</si>
  <si>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</si>
  <si>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</si>
  <si>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</si>
  <si>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</si>
  <si>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</si>
  <si>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</si>
  <si>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</si>
  <si>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</si>
  <si>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</si>
  <si>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</si>
  <si>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</si>
  <si>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</si>
  <si>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</si>
  <si>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</si>
  <si>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</si>
  <si>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</si>
  <si>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</si>
  <si>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</si>
  <si>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</si>
  <si>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</si>
  <si>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</si>
  <si>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</si>
  <si>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</si>
  <si>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</si>
  <si>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</si>
  <si>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</si>
  <si>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</si>
  <si>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</si>
  <si>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</si>
  <si>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</si>
  <si>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</si>
  <si>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</si>
  <si>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</si>
  <si>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</si>
  <si>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</si>
  <si>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</si>
  <si>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</si>
  <si>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</si>
  <si>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</si>
  <si>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</si>
  <si>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</si>
  <si>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</si>
  <si>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</si>
  <si>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</si>
  <si>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</si>
  <si>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</si>
  <si>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</si>
  <si>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</si>
  <si>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</si>
  <si>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</si>
  <si>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</si>
  <si>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</si>
  <si>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</si>
  <si>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</si>
  <si>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</si>
  <si>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</si>
  <si>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</si>
  <si>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</si>
  <si>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</si>
  <si>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</si>
  <si>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</si>
  <si>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</si>
  <si>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</si>
  <si>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</si>
  <si>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</si>
  <si>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</si>
  <si>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</si>
  <si>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</si>
  <si>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</si>
  <si>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</si>
  <si>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</si>
  <si>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</si>
  <si>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</si>
  <si>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</si>
  <si>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</si>
  <si>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</si>
  <si>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</si>
  <si>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</si>
  <si>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</si>
  <si>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</si>
  <si>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</si>
  <si>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</si>
  <si>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</si>
  <si>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</si>
  <si>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</si>
  <si>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</si>
  <si>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</si>
  <si>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</si>
  <si>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</si>
  <si>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</si>
  <si>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</si>
  <si>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</si>
  <si>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</si>
  <si>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</si>
  <si>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</si>
  <si>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</si>
  <si>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</si>
  <si>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</si>
  <si>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</si>
  <si>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</si>
  <si>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</si>
  <si>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</si>
  <si>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</si>
  <si>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</si>
  <si>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</si>
  <si>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</si>
  <si>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</si>
  <si>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</si>
  <si>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</si>
  <si>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</si>
  <si>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</si>
  <si>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</si>
  <si>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</si>
  <si>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</si>
  <si>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</si>
  <si>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</si>
  <si>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</si>
  <si>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</si>
  <si>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</si>
  <si>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</si>
  <si>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</si>
  <si>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</si>
  <si>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</si>
  <si>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</si>
  <si>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</si>
  <si>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</si>
  <si>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</si>
  <si>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</si>
  <si>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</si>
  <si>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</si>
  <si>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</si>
  <si>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</si>
  <si>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</si>
  <si>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</si>
  <si>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</si>
  <si>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</si>
  <si>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</si>
  <si>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</si>
  <si>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</si>
  <si>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</si>
  <si>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</si>
  <si>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</si>
  <si>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</si>
  <si>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</si>
  <si>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</si>
  <si>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</si>
  <si>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</si>
  <si>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</si>
  <si>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</si>
  <si>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</si>
  <si>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</si>
  <si>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</si>
  <si>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</si>
  <si>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</si>
  <si>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</si>
  <si>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</si>
  <si>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</si>
  <si>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</si>
  <si>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</si>
  <si>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</si>
  <si>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</si>
  <si>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</si>
  <si>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</si>
  <si>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</si>
  <si>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</si>
  <si>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</si>
  <si>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</si>
  <si>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</si>
  <si>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</si>
  <si>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</si>
  <si>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</si>
  <si>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</si>
  <si>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</si>
  <si>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</si>
  <si>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</si>
  <si>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</si>
  <si>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</si>
  <si>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</si>
  <si>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</si>
  <si>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</si>
  <si>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</si>
  <si>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</si>
  <si>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</si>
  <si>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</si>
  <si>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</si>
  <si>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</si>
  <si>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</si>
  <si>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</si>
  <si>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</si>
  <si>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</si>
  <si>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</si>
  <si>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</si>
  <si>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</si>
  <si>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</si>
  <si>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</si>
  <si>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</si>
  <si>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</si>
  <si>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</si>
  <si>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</si>
  <si>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</si>
  <si>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</si>
  <si>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</si>
  <si>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</si>
  <si>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</si>
  <si>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</si>
  <si>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</si>
  <si>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</si>
  <si>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</si>
  <si>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</si>
  <si>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</si>
  <si>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</si>
  <si>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</si>
  <si>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</si>
  <si>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</si>
  <si>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</si>
  <si>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</si>
  <si>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</si>
  <si>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</si>
  <si>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</si>
  <si>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</si>
  <si>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</si>
  <si>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</si>
  <si>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</si>
  <si>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</si>
  <si>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</si>
  <si>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</si>
  <si>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</si>
  <si>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</si>
  <si>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</si>
  <si>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</si>
  <si>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</si>
  <si>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</si>
  <si>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</si>
  <si>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</si>
  <si>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</si>
  <si>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</si>
  <si>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</si>
  <si>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</si>
  <si>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</si>
  <si>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</si>
  <si>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</si>
  <si>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</si>
  <si>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</si>
  <si>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</si>
  <si>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</si>
  <si>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</si>
  <si>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</si>
  <si>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</si>
  <si>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</si>
  <si>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</si>
  <si>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</si>
  <si>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</si>
  <si>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</si>
  <si>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</si>
  <si>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</si>
  <si>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</si>
  <si>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</si>
  <si>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</si>
  <si>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</si>
  <si>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</si>
  <si>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</si>
  <si>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</si>
  <si>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</si>
  <si>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</si>
  <si>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</si>
  <si>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</si>
  <si>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</si>
  <si>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</si>
  <si>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</si>
  <si>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</si>
  <si>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</si>
  <si>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</si>
  <si>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</si>
  <si>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</si>
  <si>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</si>
  <si>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</si>
  <si>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</si>
  <si>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</si>
  <si>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</si>
  <si>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</si>
  <si>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</si>
  <si>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</si>
  <si>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</si>
  <si>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</si>
  <si>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</si>
  <si>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</si>
  <si>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</si>
  <si>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</si>
  <si>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</si>
  <si>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</si>
  <si>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</si>
  <si>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</si>
  <si>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</si>
  <si>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</si>
  <si>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</si>
  <si>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</si>
  <si>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</si>
  <si>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</si>
  <si>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</si>
  <si>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</si>
  <si>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</si>
  <si>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</si>
  <si>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</si>
  <si>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</si>
  <si>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</si>
  <si>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</si>
  <si>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</si>
  <si>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</si>
  <si>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</si>
  <si>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</si>
  <si>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</si>
  <si>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</si>
  <si>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</si>
  <si>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</si>
  <si>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</si>
  <si>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</si>
  <si>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</si>
  <si>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</si>
  <si>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</si>
  <si>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</si>
  <si>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</si>
  <si>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</si>
  <si>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</si>
  <si>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</si>
  <si>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</si>
  <si>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</si>
  <si>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</si>
  <si>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</si>
  <si>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</si>
  <si>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</si>
  <si>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</si>
  <si>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</si>
  <si>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</si>
  <si>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</si>
  <si>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</si>
  <si>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</si>
  <si>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</si>
  <si>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</si>
  <si>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</si>
  <si>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</si>
  <si>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</si>
  <si>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</si>
  <si>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</si>
  <si>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</si>
  <si>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</si>
  <si>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</si>
  <si>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</si>
  <si>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</si>
  <si>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</si>
  <si>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</si>
  <si>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</si>
  <si>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</si>
  <si>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</si>
  <si>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</si>
  <si>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</si>
  <si>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</si>
  <si>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</si>
  <si>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</si>
  <si>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</si>
  <si>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</si>
  <si>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</si>
  <si>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</si>
  <si>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</si>
  <si>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</si>
  <si>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</si>
  <si>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</si>
  <si>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</si>
  <si>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</si>
  <si>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</si>
  <si>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</si>
  <si>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</si>
  <si>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</si>
  <si>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</si>
  <si>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</si>
  <si>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</si>
  <si>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</si>
  <si>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</si>
  <si>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</si>
  <si>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</si>
  <si>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</si>
  <si>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</si>
  <si>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</si>
  <si>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</si>
  <si>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</si>
  <si>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</si>
  <si>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</si>
  <si>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</si>
  <si>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</si>
  <si>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</si>
  <si>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</si>
  <si>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</si>
  <si>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</si>
  <si>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</si>
  <si>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</si>
  <si>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</si>
  <si>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</si>
  <si>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</si>
  <si>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</si>
  <si>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</si>
  <si>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</si>
  <si>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</si>
  <si>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</si>
  <si>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</si>
  <si>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</si>
  <si>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</si>
  <si>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</si>
  <si>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</si>
  <si>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</si>
  <si>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</si>
  <si>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</si>
  <si>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</si>
  <si>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</si>
  <si>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</si>
  <si>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</si>
  <si>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</si>
  <si>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</si>
  <si>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</si>
  <si>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</si>
  <si>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</si>
  <si>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</si>
  <si>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</si>
  <si>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</si>
  <si>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</si>
  <si>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</si>
  <si>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</si>
  <si>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</si>
  <si>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</si>
  <si>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</si>
  <si>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</si>
  <si>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</si>
  <si>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</si>
  <si>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</si>
  <si>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</si>
  <si>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</si>
  <si>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</si>
  <si>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</si>
  <si>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</si>
  <si>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</si>
  <si>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</si>
  <si>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</si>
  <si>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</si>
  <si>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</si>
  <si>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</si>
  <si>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</si>
  <si>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</si>
  <si>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</si>
  <si>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</si>
  <si>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</si>
  <si>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</si>
  <si>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</si>
  <si>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</si>
  <si>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</si>
  <si>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</si>
  <si>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</si>
  <si>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</si>
  <si>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</si>
  <si>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</si>
  <si>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</si>
  <si>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</si>
  <si>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</si>
  <si>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</si>
  <si>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</si>
  <si>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</si>
  <si>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</si>
  <si>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</si>
  <si>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</si>
  <si>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</si>
  <si>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</si>
  <si>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</si>
  <si>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</si>
  <si>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</si>
  <si>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</si>
  <si>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</si>
  <si>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</si>
  <si>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</si>
  <si>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</si>
  <si>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</si>
  <si>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</si>
  <si>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</si>
  <si>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</si>
  <si>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</si>
  <si>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</si>
  <si>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</si>
  <si>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</si>
  <si>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</si>
  <si>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</si>
  <si>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</si>
  <si>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</si>
  <si>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</si>
  <si>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</si>
  <si>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</si>
  <si>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</si>
  <si>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</si>
  <si>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</si>
  <si>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</si>
  <si>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</si>
  <si>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</si>
  <si>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</si>
  <si>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</si>
  <si>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</si>
  <si>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</si>
  <si>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</si>
  <si>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</si>
  <si>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</si>
  <si>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</si>
  <si>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</si>
  <si>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</si>
  <si>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</si>
  <si>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</si>
  <si>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</si>
  <si>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</si>
  <si>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</si>
  <si>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</si>
  <si>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</si>
  <si>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</si>
  <si>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</si>
  <si>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</si>
  <si>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</si>
  <si>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</si>
  <si>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</si>
  <si>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</si>
  <si>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</si>
  <si>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</si>
  <si>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</si>
  <si>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</si>
  <si>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</si>
  <si>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</si>
  <si>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</si>
  <si>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</si>
  <si>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</si>
  <si>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</si>
  <si>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</si>
  <si>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</si>
  <si>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</si>
  <si>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</si>
  <si>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</si>
  <si>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</si>
  <si>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</si>
  <si>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</si>
  <si>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</si>
  <si>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</si>
  <si>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</si>
  <si>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</si>
  <si>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</si>
  <si>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</si>
  <si>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</si>
  <si>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</si>
  <si>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</si>
  <si>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</si>
  <si>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</si>
  <si>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</si>
  <si>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</si>
  <si>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</si>
  <si>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</si>
  <si>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</si>
  <si>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</si>
  <si>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</si>
  <si>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</si>
  <si>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</si>
  <si>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</si>
  <si>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</si>
  <si>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</si>
  <si>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</si>
  <si>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</si>
  <si>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</si>
  <si>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</si>
  <si>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</si>
  <si>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</si>
  <si>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</si>
  <si>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</si>
  <si>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</si>
  <si>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</si>
  <si>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</si>
  <si>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</si>
  <si>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</si>
  <si>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</si>
  <si>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</si>
  <si>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</si>
  <si>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</si>
  <si>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</si>
  <si>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</si>
  <si>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</si>
  <si>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</si>
  <si>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</si>
  <si>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</si>
  <si>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</si>
  <si>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</si>
  <si>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</si>
  <si>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</si>
  <si>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</si>
  <si>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</si>
  <si>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</si>
  <si>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</si>
  <si>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</si>
  <si>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</si>
  <si>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</si>
  <si>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</si>
  <si>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</si>
  <si>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</si>
  <si>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</si>
  <si>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</si>
  <si>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</si>
  <si>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</si>
  <si>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</si>
  <si>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</si>
  <si>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</si>
  <si>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</si>
  <si>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</si>
  <si>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</si>
  <si>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</si>
  <si>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</si>
  <si>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</si>
  <si>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</si>
  <si>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</si>
  <si>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</si>
  <si>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</si>
  <si>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</si>
  <si>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</si>
  <si>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</si>
  <si>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</si>
  <si>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</si>
  <si>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</si>
  <si>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</si>
  <si>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</si>
  <si>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</si>
  <si>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</si>
  <si>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</si>
  <si>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</si>
  <si>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</si>
  <si>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</si>
  <si>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</si>
  <si>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</si>
  <si>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</si>
  <si>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</si>
  <si>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</si>
  <si>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</si>
  <si>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</si>
  <si>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</si>
  <si>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</si>
  <si>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</si>
  <si>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</si>
  <si>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</si>
  <si>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</si>
  <si>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</si>
  <si>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</si>
  <si>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</si>
  <si>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</si>
  <si>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</si>
  <si>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</si>
  <si>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</si>
  <si>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</si>
  <si>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</si>
  <si>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</si>
  <si>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</si>
  <si>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</si>
  <si>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</si>
  <si>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</si>
  <si>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</si>
  <si>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</si>
  <si>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</si>
  <si>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</si>
  <si>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</si>
  <si>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</si>
  <si>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</si>
  <si>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</si>
  <si>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</si>
  <si>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</si>
  <si>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</si>
  <si>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</si>
  <si>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</si>
  <si>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</si>
  <si>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</si>
  <si>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</si>
  <si>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</si>
  <si>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</si>
  <si>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</si>
  <si>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</si>
  <si>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</si>
  <si>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</si>
  <si>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</si>
  <si>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</si>
  <si>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</si>
  <si>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</si>
  <si>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</si>
  <si>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</si>
  <si>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</si>
  <si>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</si>
  <si>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</si>
  <si>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</si>
  <si>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</si>
  <si>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</si>
  <si>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</si>
  <si>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</si>
  <si>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</si>
  <si>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</si>
  <si>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</si>
  <si>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</si>
  <si>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</si>
  <si>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</si>
  <si>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</si>
  <si>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</si>
  <si>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</si>
  <si>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</si>
  <si>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</si>
  <si>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</si>
  <si>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</si>
  <si>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</si>
  <si>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</si>
  <si>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</si>
  <si>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</si>
  <si>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</si>
  <si>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</si>
  <si>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</si>
  <si>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</si>
  <si>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</si>
  <si>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</si>
  <si>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</si>
  <si>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</si>
  <si>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</si>
  <si>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</si>
  <si>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</si>
  <si>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</si>
  <si>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</si>
  <si>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</si>
  <si>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</si>
  <si>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</si>
  <si>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</si>
  <si>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</si>
  <si>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</si>
  <si>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</si>
  <si>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</si>
  <si>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</si>
  <si>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</si>
  <si>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</si>
  <si>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</si>
  <si>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</si>
  <si>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</si>
  <si>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</si>
  <si>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</si>
  <si>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</si>
  <si>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</si>
  <si>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</si>
  <si>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</si>
  <si>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</si>
  <si>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</si>
  <si>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</si>
  <si>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</si>
  <si>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</si>
  <si>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</si>
  <si>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</si>
  <si>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</si>
  <si>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</si>
  <si>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</si>
  <si>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</si>
  <si>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</si>
  <si>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</si>
  <si>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</si>
  <si>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</si>
  <si>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</si>
  <si>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</si>
  <si>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</si>
  <si>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</si>
  <si>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</si>
  <si>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</si>
  <si>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</si>
  <si>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</si>
  <si>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</si>
  <si>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</si>
  <si>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</si>
  <si>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</si>
  <si>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</si>
  <si>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</si>
  <si>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</si>
  <si>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</si>
  <si>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</si>
  <si>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</si>
  <si>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</si>
  <si>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</si>
  <si>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</si>
  <si>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</si>
  <si>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</si>
  <si>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</si>
  <si>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</si>
  <si>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</si>
  <si>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</si>
  <si>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</si>
  <si>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</si>
  <si>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</si>
  <si>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</si>
  <si>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</si>
  <si>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</si>
  <si>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</si>
  <si>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</si>
  <si>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</si>
  <si>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</si>
  <si>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</si>
  <si>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</si>
  <si>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</si>
  <si>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</si>
  <si>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</si>
  <si>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</si>
  <si>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</si>
  <si>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</si>
  <si>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</si>
  <si>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</si>
  <si>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</si>
  <si>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</si>
  <si>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</si>
  <si>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</si>
  <si>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</si>
  <si>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</si>
  <si>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</si>
  <si>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</si>
  <si>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</si>
  <si>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</si>
  <si>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</si>
  <si>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</si>
  <si>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</si>
  <si>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</si>
  <si>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</si>
  <si>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</si>
  <si>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</si>
  <si>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</si>
  <si>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</si>
  <si>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</si>
  <si>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</si>
  <si>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</si>
  <si>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</si>
  <si>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</si>
  <si>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</si>
  <si>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</si>
  <si>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</si>
  <si>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</si>
  <si>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</si>
  <si>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</si>
  <si>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</si>
  <si>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</si>
  <si>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</si>
  <si>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</si>
  <si>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</si>
  <si>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</si>
  <si>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</si>
  <si>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</si>
  <si>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</si>
  <si>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</si>
  <si>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</si>
  <si>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</si>
  <si>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</si>
  <si>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</si>
  <si>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</si>
  <si>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</si>
  <si>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</si>
  <si>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</si>
  <si>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</si>
  <si>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</si>
  <si>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</si>
  <si>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</si>
  <si>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</si>
  <si>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</si>
  <si>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</si>
  <si>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</si>
  <si>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</si>
  <si>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</si>
  <si>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</si>
  <si>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</si>
  <si>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</si>
  <si>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</si>
  <si>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</si>
  <si>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</si>
  <si>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</si>
  <si>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</si>
  <si>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</si>
  <si>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</si>
  <si>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</si>
  <si>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</si>
  <si>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</si>
  <si>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</si>
  <si>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</si>
  <si>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</si>
  <si>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</si>
  <si>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</si>
  <si>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</si>
  <si>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</si>
  <si>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</si>
  <si>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</si>
  <si>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</si>
  <si>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</si>
  <si>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</si>
  <si>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</si>
  <si>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</si>
  <si>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</si>
  <si>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</si>
  <si>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</si>
  <si>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</si>
  <si>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</si>
  <si>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</si>
  <si>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</si>
  <si>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</si>
  <si>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</si>
  <si>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</si>
  <si>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</si>
  <si>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</si>
  <si>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</si>
  <si>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</si>
  <si>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</si>
  <si>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</si>
  <si>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</si>
  <si>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</si>
  <si>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</si>
  <si>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</si>
  <si>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</si>
  <si>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</si>
  <si>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</si>
  <si>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</si>
  <si>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</si>
  <si>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</si>
  <si>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</si>
  <si>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</si>
  <si>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</si>
  <si>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</si>
  <si>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</si>
  <si>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</si>
  <si>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</si>
  <si>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</si>
  <si>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</si>
  <si>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</si>
  <si>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</si>
  <si>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</si>
  <si>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</si>
  <si>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</si>
  <si>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</si>
  <si>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</si>
  <si>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</si>
  <si>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</si>
  <si>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</si>
  <si>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</si>
  <si>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</si>
  <si>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</si>
  <si>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</si>
  <si>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</si>
  <si>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</si>
  <si>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</si>
  <si>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</si>
  <si>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</si>
  <si>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</si>
  <si>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</si>
  <si>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</si>
  <si>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</si>
  <si>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</si>
  <si>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</si>
  <si>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</si>
  <si>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</si>
  <si>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</si>
  <si>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</si>
  <si>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</si>
  <si>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</si>
  <si>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</si>
  <si>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</si>
  <si>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</si>
  <si>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</si>
  <si>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</si>
  <si>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</si>
  <si>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</si>
  <si>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</si>
  <si>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</si>
  <si>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</si>
  <si>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</si>
  <si>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</si>
  <si>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</si>
  <si>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</si>
  <si>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</si>
  <si>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</si>
  <si>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</si>
  <si>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</si>
  <si>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</si>
  <si>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</si>
  <si>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</si>
  <si>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</si>
  <si>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</si>
  <si>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</si>
  <si>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</si>
  <si>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</si>
  <si>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</si>
  <si>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</si>
  <si>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</si>
  <si>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</si>
  <si>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</si>
  <si>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</si>
  <si>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</si>
  <si>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</si>
  <si>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</si>
  <si>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</si>
  <si>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</si>
  <si>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</si>
  <si>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</si>
  <si>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</si>
  <si>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</si>
  <si>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</si>
  <si>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</si>
  <si>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</si>
  <si>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</si>
  <si>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</si>
  <si>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</si>
  <si>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</si>
  <si>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</si>
  <si>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</si>
  <si>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</si>
  <si>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</si>
  <si>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</si>
  <si>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</si>
  <si>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</si>
  <si>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</si>
  <si>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</si>
  <si>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</si>
  <si>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</si>
  <si>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</si>
  <si>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</si>
  <si>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</si>
  <si>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</si>
  <si>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</si>
  <si>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</si>
  <si>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</si>
  <si>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</si>
  <si>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</si>
  <si>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</si>
  <si>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</si>
  <si>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</si>
  <si>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</si>
  <si>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</si>
  <si>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</si>
  <si>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</si>
  <si>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</si>
  <si>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</si>
  <si>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</si>
  <si>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</si>
  <si>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</si>
  <si>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</si>
  <si>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</si>
  <si>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</si>
  <si>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</si>
  <si>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</si>
  <si>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</si>
  <si>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</si>
  <si>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</si>
  <si>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</si>
  <si>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</si>
  <si>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</si>
  <si>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</si>
  <si>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</si>
  <si>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</si>
  <si>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</si>
  <si>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</si>
  <si>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</si>
  <si>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</si>
  <si>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</si>
  <si>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</si>
  <si>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</si>
  <si>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</si>
  <si>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</si>
  <si>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</si>
  <si>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</si>
  <si>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</si>
  <si>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</si>
  <si>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</si>
  <si>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</si>
  <si>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</si>
  <si>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</si>
  <si>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</si>
  <si>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</si>
  <si>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</si>
  <si>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</si>
  <si>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</si>
  <si>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</si>
  <si>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</si>
  <si>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</si>
  <si>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</si>
  <si>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</si>
  <si>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</si>
  <si>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</si>
  <si>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</si>
  <si>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</si>
  <si>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</si>
  <si>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</si>
  <si>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</si>
  <si>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</si>
  <si>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</si>
  <si>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</si>
  <si>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</si>
  <si>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</si>
  <si>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</si>
  <si>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</si>
  <si>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</si>
  <si>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</si>
  <si>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</si>
  <si>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</si>
  <si>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</si>
  <si>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</si>
  <si>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</si>
  <si>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</si>
  <si>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</si>
  <si>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</si>
  <si>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</si>
  <si>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</si>
  <si>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</si>
  <si>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</si>
  <si>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</si>
  <si>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</si>
  <si>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</si>
  <si>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</si>
  <si>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</si>
  <si>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</si>
  <si>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</si>
  <si>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</si>
  <si>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</si>
  <si>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</si>
  <si>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</si>
  <si>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</si>
  <si>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</si>
  <si>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</si>
  <si>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</si>
  <si>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</si>
  <si>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</si>
  <si>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</si>
  <si>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</si>
  <si>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</si>
  <si>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</si>
  <si>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</si>
  <si>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</si>
  <si>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</si>
  <si>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</si>
  <si>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</si>
  <si>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</si>
  <si>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</si>
  <si>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</si>
  <si>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</si>
  <si>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</si>
  <si>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</si>
  <si>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</si>
  <si>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</si>
  <si>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</si>
  <si>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</si>
  <si>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</si>
  <si>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</si>
  <si>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</si>
  <si>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</si>
  <si>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</si>
  <si>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</si>
  <si>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</si>
  <si>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</si>
  <si>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</si>
  <si>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</si>
  <si>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</si>
  <si>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</si>
  <si>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</si>
  <si>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</si>
  <si>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</si>
  <si>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</si>
  <si>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</si>
  <si>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</si>
  <si>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</si>
  <si>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</si>
  <si>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</si>
  <si>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</si>
  <si>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</si>
  <si>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</si>
  <si>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</si>
  <si>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</si>
  <si>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</si>
  <si>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</si>
  <si>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</si>
  <si>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</si>
  <si>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</si>
  <si>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</si>
  <si>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</si>
  <si>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</si>
  <si>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</si>
  <si>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</si>
  <si>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</si>
  <si>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</si>
  <si>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</si>
  <si>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</si>
  <si>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</si>
  <si>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</si>
  <si>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</si>
  <si>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</si>
  <si>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</si>
  <si>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</si>
  <si>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</si>
  <si>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</si>
  <si>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</si>
  <si>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</si>
  <si>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</si>
  <si>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</si>
  <si>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</si>
  <si>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</si>
  <si>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</si>
  <si>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</si>
  <si>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</si>
  <si>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</si>
  <si>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</si>
  <si>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</si>
  <si>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</si>
  <si>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</si>
  <si>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</si>
  <si>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</si>
  <si>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</si>
  <si>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</si>
  <si>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</si>
  <si>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</si>
  <si>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</si>
  <si>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</si>
  <si>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</si>
  <si>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</si>
  <si>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</si>
  <si>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</si>
  <si>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</si>
  <si>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</si>
  <si>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</si>
  <si>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</si>
  <si>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</si>
  <si>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</si>
  <si>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</si>
  <si>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</si>
  <si>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</si>
  <si>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</si>
  <si>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</si>
  <si>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</si>
  <si>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</si>
  <si>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</si>
  <si>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</si>
  <si>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</si>
  <si>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</si>
  <si>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</si>
  <si>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</si>
  <si>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</si>
  <si>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</si>
  <si>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</si>
  <si>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</si>
  <si>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</si>
  <si>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</si>
  <si>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</si>
  <si>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</si>
  <si>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</si>
  <si>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</si>
  <si>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</si>
  <si>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</si>
  <si>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</si>
  <si>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</si>
  <si>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</si>
  <si>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</si>
  <si>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</si>
  <si>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</si>
  <si>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</si>
  <si>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</si>
  <si>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</si>
  <si>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</si>
  <si>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</si>
  <si>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</si>
  <si>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</si>
  <si>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</si>
  <si>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</si>
  <si>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</si>
  <si>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</si>
  <si>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</si>
  <si>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</si>
  <si>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</si>
  <si>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</si>
  <si>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</si>
  <si>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</si>
  <si>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</si>
  <si>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</si>
  <si>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</si>
  <si>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</si>
  <si>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</si>
  <si>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</si>
  <si>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</si>
  <si>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</si>
  <si>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</si>
  <si>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</si>
  <si>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</si>
  <si>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</si>
  <si>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</si>
  <si>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</si>
  <si>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</si>
  <si>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</si>
  <si>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</si>
  <si>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</si>
  <si>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</si>
  <si>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</si>
  <si>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</si>
  <si>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</si>
  <si>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</si>
  <si>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</si>
  <si>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</si>
  <si>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</si>
  <si>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</si>
  <si>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</si>
  <si>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</si>
  <si>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</si>
  <si>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</si>
  <si>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</si>
  <si>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</si>
  <si>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</si>
  <si>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</si>
  <si>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</si>
  <si>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</si>
  <si>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</si>
  <si>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</si>
  <si>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</si>
  <si>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</si>
  <si>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</si>
  <si>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</si>
  <si>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</si>
  <si>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</si>
  <si>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</si>
  <si>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</si>
  <si>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</si>
  <si>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</si>
  <si>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</si>
  <si>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</si>
  <si>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</si>
  <si>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</si>
  <si>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</si>
  <si>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</si>
  <si>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</si>
  <si>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</si>
  <si>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</si>
  <si>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</si>
  <si>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</si>
  <si>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</si>
  <si>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</si>
  <si>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</si>
  <si>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</si>
  <si>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</si>
  <si>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</si>
  <si>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</si>
  <si>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</si>
  <si>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</si>
  <si>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</si>
  <si>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</si>
  <si>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</si>
  <si>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</si>
  <si>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</si>
  <si>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</si>
  <si>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</si>
  <si>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</si>
  <si>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</si>
  <si>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</si>
  <si>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</si>
  <si>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</si>
  <si>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</si>
  <si>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</si>
  <si>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</si>
  <si>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</si>
  <si>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</si>
  <si>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</si>
  <si>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</si>
  <si>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</si>
  <si>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</si>
  <si>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</si>
  <si>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</si>
  <si>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</si>
  <si>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</si>
  <si>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</si>
  <si>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</si>
  <si>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</si>
  <si>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</si>
  <si>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</si>
  <si>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</si>
  <si>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</si>
  <si>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</si>
  <si>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</si>
  <si>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</si>
  <si>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</si>
  <si>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</si>
  <si>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</si>
  <si>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</si>
  <si>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</si>
  <si>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</si>
  <si>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</si>
  <si>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</si>
  <si>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</si>
  <si>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</si>
  <si>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</si>
  <si>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</si>
  <si>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</si>
  <si>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</si>
  <si>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</si>
  <si>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</si>
  <si>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</si>
  <si>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</si>
  <si>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</si>
  <si>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</si>
  <si>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</si>
  <si>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</si>
  <si>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</si>
  <si>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</si>
  <si>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</si>
  <si>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</si>
  <si>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</si>
  <si>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</si>
  <si>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</si>
  <si>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</si>
  <si>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</si>
  <si>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</si>
  <si>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</si>
  <si>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</si>
  <si>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</si>
  <si>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</si>
  <si>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</si>
  <si>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</si>
  <si>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</si>
  <si>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</si>
  <si>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</si>
  <si>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</si>
  <si>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</si>
  <si>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</si>
  <si>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</si>
  <si>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</si>
  <si>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</si>
  <si>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</si>
  <si>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</si>
  <si>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</si>
  <si>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</si>
  <si>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</si>
  <si>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</si>
  <si>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</si>
  <si>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</si>
  <si>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</si>
  <si>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</si>
  <si>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</si>
  <si>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</si>
  <si>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</si>
  <si>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</si>
  <si>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</si>
  <si>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</si>
  <si>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</si>
  <si>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</si>
  <si>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</si>
  <si>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</si>
  <si>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</si>
  <si>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</si>
  <si>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</si>
  <si>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</si>
  <si>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</si>
  <si>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</si>
  <si>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</si>
  <si>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</si>
  <si>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</si>
  <si>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</si>
  <si>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</si>
  <si>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</si>
  <si>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</si>
  <si>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</si>
  <si>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</si>
  <si>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</si>
  <si>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</si>
  <si>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</si>
  <si>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</si>
  <si>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</si>
  <si>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</si>
  <si>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</si>
  <si>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</si>
  <si>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</si>
  <si>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</si>
  <si>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</si>
  <si>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</si>
  <si>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</si>
  <si>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</si>
  <si>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</si>
  <si>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</si>
  <si>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</si>
  <si>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</si>
  <si>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</si>
  <si>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</si>
  <si>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</si>
  <si>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</si>
  <si>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</si>
  <si>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</si>
  <si>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</si>
  <si>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</si>
  <si>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</si>
  <si>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</si>
  <si>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</si>
  <si>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</si>
  <si>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</si>
  <si>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</si>
  <si>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</si>
  <si>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</si>
  <si>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</si>
  <si>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</si>
  <si>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</si>
  <si>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</si>
  <si>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</si>
  <si>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</si>
  <si>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</si>
  <si>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</si>
  <si>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</si>
  <si>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</si>
  <si>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</si>
  <si>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</si>
  <si>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</si>
  <si>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</si>
  <si>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</si>
  <si>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</si>
  <si>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</si>
  <si>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</si>
  <si>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</si>
  <si>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</si>
  <si>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</si>
  <si>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</si>
  <si>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</si>
  <si>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</si>
  <si>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</si>
  <si>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</si>
  <si>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</si>
  <si>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</si>
  <si>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</si>
  <si>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</si>
  <si>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</si>
  <si>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</si>
  <si>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</si>
  <si>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</si>
  <si>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</si>
  <si>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</si>
  <si>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</si>
  <si>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</si>
  <si>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</si>
  <si>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</si>
  <si>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</si>
  <si>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</si>
  <si>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</si>
  <si>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</si>
  <si>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</si>
  <si>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</si>
  <si>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</si>
  <si>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</si>
  <si>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</si>
  <si>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</si>
  <si>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</si>
  <si>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</si>
  <si>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</si>
  <si>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</si>
  <si>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</si>
  <si>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</si>
  <si>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</si>
  <si>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</si>
  <si>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</si>
  <si>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</si>
  <si>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</si>
  <si>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</si>
  <si>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</si>
  <si>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</si>
  <si>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</si>
  <si>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</si>
  <si>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</si>
  <si>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</si>
  <si>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</si>
  <si>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</si>
  <si>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</si>
  <si>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</si>
  <si>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</si>
  <si>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</si>
  <si>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</si>
  <si>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</si>
  <si>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</si>
  <si>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</si>
  <si>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</si>
  <si>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</si>
  <si>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</si>
  <si>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</si>
  <si>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</si>
  <si>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</si>
  <si>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</si>
  <si>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</si>
  <si>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</si>
  <si>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</si>
  <si>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</si>
  <si>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</si>
  <si>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</si>
  <si>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</si>
  <si>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</si>
  <si>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</si>
  <si>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</si>
  <si>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</si>
  <si>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</si>
  <si>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</si>
  <si>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</si>
  <si>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</si>
  <si>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</si>
  <si>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</si>
  <si>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</si>
  <si>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</si>
  <si>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</si>
  <si>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</si>
  <si>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</si>
  <si>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</si>
  <si>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</si>
  <si>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</si>
  <si>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</si>
  <si>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</si>
  <si>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</si>
  <si>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</si>
  <si>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</si>
  <si>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</si>
  <si>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</si>
  <si>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</si>
  <si>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</si>
  <si>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</si>
  <si>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</si>
  <si>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</si>
  <si>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</si>
  <si>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</si>
  <si>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</si>
  <si>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</si>
  <si>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</si>
  <si>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</si>
  <si>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</si>
  <si>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</si>
  <si>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</si>
  <si>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</si>
  <si>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</si>
  <si>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</si>
  <si>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</si>
  <si>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</si>
  <si>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</si>
  <si>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</si>
  <si>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</si>
  <si>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</si>
  <si>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</si>
  <si>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</si>
  <si>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</si>
  <si>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</si>
  <si>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</si>
  <si>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</si>
  <si>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</si>
  <si>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</si>
  <si>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</si>
  <si>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</si>
  <si>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</si>
  <si>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</si>
  <si>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</si>
  <si>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</si>
  <si>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</si>
  <si>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</si>
  <si>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</si>
  <si>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</si>
  <si>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</si>
  <si>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</si>
  <si>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</si>
  <si>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</si>
  <si>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</si>
  <si>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</si>
  <si>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</si>
  <si>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</si>
  <si>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</si>
  <si>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</si>
  <si>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</si>
  <si>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</si>
  <si>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</si>
  <si>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</si>
  <si>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</si>
  <si>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</si>
  <si>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</si>
  <si>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</si>
  <si>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</si>
  <si>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</si>
  <si>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</si>
  <si>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</si>
  <si>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</si>
  <si>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</si>
  <si>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</si>
  <si>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</si>
  <si>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</si>
  <si>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</si>
  <si>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</si>
  <si>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</si>
  <si>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</si>
  <si>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</si>
  <si>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</si>
  <si>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</si>
  <si>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</si>
  <si>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</si>
  <si>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</si>
  <si>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</si>
  <si>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</si>
  <si>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</si>
  <si>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</si>
  <si>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</si>
  <si>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</si>
  <si>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</si>
  <si>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</si>
  <si>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</si>
  <si>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</si>
  <si>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</si>
  <si>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</si>
  <si>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</si>
  <si>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</si>
  <si>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</si>
  <si>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</si>
  <si>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</si>
  <si>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</si>
  <si>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</si>
  <si>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</si>
  <si>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</si>
  <si>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</si>
  <si>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</si>
  <si>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</si>
  <si>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</si>
  <si>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</si>
  <si>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</si>
  <si>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</si>
  <si>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</si>
  <si>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</si>
  <si>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</si>
  <si>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</si>
  <si>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</si>
  <si>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</si>
  <si>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</si>
  <si>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</si>
  <si>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</si>
  <si>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</si>
  <si>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</si>
  <si>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</si>
  <si>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</si>
  <si>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</si>
  <si>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</si>
  <si>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</si>
  <si>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</si>
  <si>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</si>
  <si>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</si>
  <si>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</si>
  <si>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</si>
  <si>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</si>
  <si>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</si>
  <si>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</si>
  <si>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</si>
  <si>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</si>
  <si>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</si>
  <si>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</si>
  <si>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</si>
  <si>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</si>
  <si>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</si>
  <si>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</si>
  <si>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</si>
  <si>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</si>
  <si>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</si>
  <si>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</si>
  <si>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</si>
  <si>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</si>
  <si>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</si>
  <si>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</si>
  <si>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</si>
  <si>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</si>
  <si>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</si>
  <si>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</si>
  <si>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</si>
  <si>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</si>
  <si>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</si>
  <si>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</si>
  <si>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</si>
  <si>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</si>
  <si>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</si>
  <si>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</si>
  <si>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</si>
  <si>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</si>
  <si>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</si>
  <si>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</si>
  <si>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</si>
  <si>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</si>
  <si>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</si>
  <si>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</si>
  <si>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</si>
  <si>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</si>
  <si>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</si>
  <si>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</si>
  <si>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</si>
  <si>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</si>
  <si>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</si>
  <si>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</si>
  <si>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</si>
  <si>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</si>
  <si>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</si>
  <si>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</si>
  <si>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</si>
  <si>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</si>
  <si>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</si>
  <si>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</si>
  <si>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</si>
  <si>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</si>
  <si>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</si>
  <si>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</si>
  <si>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</si>
  <si>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</si>
  <si>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</si>
  <si>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</si>
  <si>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</si>
  <si>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</si>
  <si>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</si>
  <si>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</si>
  <si>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</si>
  <si>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</si>
  <si>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</si>
  <si>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</si>
  <si>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</si>
  <si>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</si>
  <si>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</si>
  <si>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</si>
  <si>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</si>
  <si>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</si>
  <si>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</si>
  <si>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</si>
  <si>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</si>
  <si>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</si>
  <si>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</si>
  <si>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</si>
  <si>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</si>
  <si>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</si>
  <si>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</si>
  <si>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</si>
  <si>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</si>
  <si>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</si>
  <si>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</si>
  <si>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</si>
  <si>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</si>
  <si>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</si>
  <si>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</si>
  <si>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</si>
  <si>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</si>
  <si>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</si>
  <si>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</si>
  <si>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</si>
  <si>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</si>
  <si>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</si>
  <si>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</si>
  <si>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</si>
  <si>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</si>
  <si>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</si>
  <si>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</si>
  <si>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</si>
  <si>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</si>
  <si>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</si>
  <si>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</si>
  <si>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</si>
  <si>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</si>
  <si>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</si>
  <si>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</si>
  <si>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</si>
  <si>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</si>
  <si>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</si>
  <si>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</si>
  <si>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</si>
  <si>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</si>
  <si>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</si>
  <si>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</si>
  <si>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</si>
  <si>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</si>
  <si>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</si>
  <si>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</si>
  <si>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</si>
  <si>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</si>
  <si>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</si>
  <si>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</si>
  <si>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</si>
  <si>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</si>
  <si>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</si>
  <si>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</si>
  <si>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</si>
  <si>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</si>
  <si>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</si>
  <si>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</si>
  <si>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</si>
  <si>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</si>
  <si>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</si>
  <si>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</si>
  <si>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</si>
  <si>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</si>
  <si>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</si>
  <si>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</si>
  <si>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</si>
  <si>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</si>
  <si>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</si>
  <si>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</si>
  <si>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</si>
  <si>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</si>
  <si>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</si>
  <si>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</si>
  <si>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</si>
  <si>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</si>
  <si>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</si>
  <si>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</si>
  <si>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</si>
  <si>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</si>
  <si>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</si>
  <si>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</si>
  <si>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</si>
  <si>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</si>
  <si>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</si>
  <si>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</si>
  <si>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</si>
  <si>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</si>
  <si>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</si>
  <si>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</si>
  <si>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</si>
  <si>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</si>
  <si>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</si>
  <si>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</si>
  <si>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</si>
  <si>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</si>
  <si>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</si>
  <si>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</si>
  <si>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</si>
  <si>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</si>
  <si>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</si>
  <si>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</si>
  <si>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</si>
  <si>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</si>
  <si>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</si>
  <si>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</si>
  <si>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</si>
  <si>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</si>
  <si>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</si>
  <si>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</si>
  <si>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</si>
  <si>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</si>
  <si>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</si>
  <si>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</si>
  <si>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</si>
  <si>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</si>
  <si>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</si>
  <si>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</si>
  <si>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</si>
  <si>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</si>
  <si>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</si>
  <si>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</si>
  <si>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</si>
  <si>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</si>
  <si>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</si>
  <si>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</si>
  <si>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</si>
  <si>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</si>
  <si>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</si>
  <si>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</si>
  <si>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</si>
  <si>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</si>
  <si>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</si>
  <si>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</si>
  <si>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</si>
  <si>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</si>
  <si>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</si>
  <si>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</si>
  <si>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</si>
  <si>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</si>
  <si>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</si>
  <si>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</si>
  <si>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</si>
  <si>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</si>
  <si>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</si>
  <si>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</si>
  <si>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</si>
  <si>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</si>
  <si>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</si>
  <si>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</si>
  <si>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</si>
  <si>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</si>
  <si>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</si>
  <si>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</si>
  <si>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</si>
  <si>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</si>
  <si>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</si>
  <si>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</si>
  <si>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</si>
  <si>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</si>
  <si>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</si>
  <si>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</si>
  <si>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</si>
  <si>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</si>
  <si>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</si>
  <si>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</si>
  <si>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</si>
  <si>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</si>
  <si>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</si>
  <si>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</si>
  <si>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</si>
  <si>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</si>
  <si>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</si>
  <si>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</si>
  <si>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</si>
  <si>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</si>
  <si>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</si>
  <si>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</si>
  <si>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</si>
  <si>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</si>
  <si>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</si>
  <si>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</si>
  <si>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</si>
  <si>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</si>
  <si>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</si>
  <si>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</si>
  <si>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</si>
  <si>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</si>
  <si>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</si>
  <si>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</si>
  <si>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</si>
  <si>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</si>
  <si>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</si>
  <si>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</si>
  <si>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</si>
  <si>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</si>
  <si>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</si>
  <si>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</si>
  <si>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</si>
  <si>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</si>
  <si>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</si>
  <si>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</si>
  <si>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</si>
  <si>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</si>
  <si>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</si>
  <si>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</si>
  <si>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</si>
  <si>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</si>
  <si>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</si>
  <si>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</si>
  <si>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</si>
  <si>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</si>
  <si>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</si>
  <si>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</si>
  <si>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</si>
  <si>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</si>
  <si>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</si>
  <si>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</si>
  <si>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</si>
  <si>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</si>
  <si>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</si>
  <si>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</si>
  <si>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</si>
  <si>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</si>
  <si>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</si>
  <si>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</si>
  <si>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</si>
  <si>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</si>
  <si>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</si>
  <si>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</si>
  <si>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</si>
  <si>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</si>
  <si>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</si>
  <si>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</si>
  <si>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</si>
  <si>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</si>
  <si>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</si>
  <si>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</si>
  <si>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</si>
  <si>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</si>
  <si>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</si>
  <si>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</si>
  <si>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</si>
  <si>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</si>
  <si>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</si>
  <si>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</si>
  <si>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</si>
  <si>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</si>
  <si>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</si>
  <si>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</si>
  <si>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</si>
  <si>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</si>
  <si>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</si>
  <si>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</si>
  <si>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</si>
  <si>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</si>
  <si>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</si>
  <si>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</si>
  <si>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</si>
  <si>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</si>
  <si>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</si>
  <si>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</si>
  <si>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</si>
  <si>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</si>
  <si>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</si>
  <si>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</si>
  <si>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</si>
  <si>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</si>
  <si>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</si>
  <si>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</si>
  <si>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</si>
  <si>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</si>
  <si>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</si>
  <si>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</si>
  <si>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</si>
  <si>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</si>
  <si>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</si>
  <si>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</si>
  <si>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</si>
  <si>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</si>
  <si>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</si>
  <si>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</si>
  <si>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</si>
  <si>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</si>
  <si>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</si>
  <si>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</si>
  <si>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</si>
  <si>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</si>
  <si>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</si>
  <si>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</si>
  <si>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</si>
  <si>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</si>
  <si>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</si>
  <si>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</si>
  <si>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</si>
  <si>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</si>
  <si>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</si>
  <si>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</si>
  <si>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</si>
  <si>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</si>
  <si>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</si>
  <si>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</si>
  <si>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</si>
  <si>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</si>
  <si>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</si>
  <si>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</si>
  <si>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</si>
  <si>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</si>
  <si>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</si>
  <si>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</si>
  <si>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</si>
  <si>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</si>
  <si>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</si>
  <si>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</si>
  <si>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</si>
  <si>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</si>
  <si>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</si>
  <si>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</si>
  <si>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</si>
  <si>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</si>
  <si>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</si>
  <si>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</si>
  <si>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</si>
  <si>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</si>
  <si>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</si>
  <si>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</si>
  <si>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</si>
  <si>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</si>
  <si>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</si>
  <si>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</si>
  <si>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</si>
  <si>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</si>
  <si>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</si>
  <si>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</si>
  <si>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</si>
  <si>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</si>
  <si>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</si>
  <si>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</si>
  <si>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</si>
  <si>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</si>
  <si>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</si>
  <si>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</si>
  <si>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</si>
  <si>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</si>
  <si>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</si>
  <si>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</si>
  <si>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</si>
  <si>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</si>
  <si>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</si>
  <si>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</si>
  <si>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</si>
  <si>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</si>
  <si>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</si>
  <si>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</si>
  <si>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</si>
  <si>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</si>
  <si>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</si>
  <si>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</si>
  <si>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</si>
  <si>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</si>
  <si>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</si>
  <si>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</si>
  <si>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</si>
  <si>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</si>
  <si>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</si>
  <si>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</si>
  <si>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</si>
  <si>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</si>
  <si>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</si>
  <si>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</si>
  <si>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</si>
  <si>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</si>
  <si>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</si>
  <si>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</si>
  <si>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</si>
  <si>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</si>
  <si>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</si>
  <si>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</si>
  <si>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</si>
  <si>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</si>
  <si>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</si>
  <si>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</si>
  <si>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</si>
  <si>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</si>
  <si>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</si>
  <si>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</si>
  <si>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</si>
  <si>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</si>
  <si>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</si>
  <si>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</si>
  <si>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</si>
  <si>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</si>
  <si>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</si>
  <si>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</si>
  <si>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</si>
  <si>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</si>
  <si>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</si>
  <si>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</si>
  <si>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</si>
  <si>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</si>
  <si>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</si>
  <si>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</si>
  <si>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</si>
  <si>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</si>
  <si>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</si>
  <si>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</si>
  <si>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</si>
  <si>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</si>
  <si>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</si>
  <si>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</si>
  <si>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</si>
  <si>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</si>
  <si>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</si>
  <si>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</si>
  <si>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</si>
  <si>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</si>
  <si>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</si>
  <si>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</si>
  <si>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</si>
  <si>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</si>
  <si>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</si>
  <si>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</si>
  <si>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</si>
  <si>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</si>
  <si>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</si>
  <si>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</si>
  <si>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</si>
  <si>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</si>
  <si>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</si>
  <si>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</si>
  <si>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</si>
  <si>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</si>
  <si>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</si>
  <si>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</si>
  <si>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</si>
  <si>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</si>
  <si>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</si>
  <si>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</si>
  <si>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</si>
  <si>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</si>
  <si>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</si>
  <si>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</si>
  <si>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</si>
  <si>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</si>
  <si>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</si>
  <si>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</si>
  <si>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</si>
  <si>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</si>
  <si>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</si>
  <si>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</si>
  <si>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</si>
  <si>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</si>
  <si>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</si>
  <si>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</si>
  <si>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</si>
  <si>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</si>
  <si>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</si>
  <si>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</si>
  <si>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</si>
  <si>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</si>
  <si>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</si>
  <si>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</si>
  <si>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</si>
  <si>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</si>
  <si>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</si>
  <si>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</si>
  <si>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</si>
  <si>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</si>
  <si>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</si>
  <si>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</si>
  <si>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</si>
  <si>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</si>
  <si>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</si>
  <si>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</si>
  <si>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</si>
  <si>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</si>
  <si>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</si>
  <si>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</si>
  <si>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</si>
  <si>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</si>
  <si>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</si>
  <si>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</si>
  <si>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</si>
  <si>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</si>
  <si>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</si>
  <si>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</si>
  <si>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</si>
  <si>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</si>
  <si>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</si>
  <si>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</si>
  <si>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</si>
  <si>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</si>
  <si>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</si>
  <si>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</si>
  <si>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</si>
  <si>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</si>
  <si>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</si>
  <si>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</si>
  <si>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</si>
  <si>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</si>
  <si>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</si>
  <si>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</si>
  <si>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</si>
  <si>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</si>
  <si>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</si>
  <si>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</si>
  <si>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</si>
  <si>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</si>
  <si>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</si>
  <si>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</si>
  <si>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</si>
  <si>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</si>
  <si>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</si>
  <si>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</si>
  <si>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</si>
  <si>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</si>
  <si>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</si>
  <si>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</si>
  <si>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</si>
  <si>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</si>
  <si>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</si>
  <si>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</si>
  <si>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</si>
  <si>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</si>
  <si>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</si>
  <si>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</si>
  <si>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</si>
  <si>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</si>
  <si>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</si>
  <si>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</si>
  <si>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</si>
  <si>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</si>
  <si>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</si>
  <si>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</si>
  <si>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</si>
  <si>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</si>
  <si>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</si>
  <si>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</si>
  <si>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</si>
  <si>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</si>
  <si>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</si>
  <si>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</si>
  <si>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</si>
  <si>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</si>
  <si>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</si>
  <si>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</si>
  <si>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</si>
  <si>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</si>
  <si>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</si>
  <si>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</si>
  <si>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</si>
  <si>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</si>
  <si>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</si>
  <si>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</si>
  <si>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</si>
  <si>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</si>
  <si>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</si>
  <si>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</si>
  <si>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</si>
  <si>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</si>
  <si>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</si>
  <si>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</si>
  <si>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</si>
  <si>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</si>
  <si>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</si>
  <si>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</si>
  <si>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</si>
  <si>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</si>
  <si>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</si>
  <si>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</si>
  <si>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</si>
  <si>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</si>
  <si>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</si>
  <si>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</si>
  <si>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</si>
  <si>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</si>
  <si>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</si>
  <si>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</si>
  <si>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</si>
  <si>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</si>
  <si>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</si>
  <si>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</si>
  <si>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</si>
  <si>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</si>
  <si>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</si>
  <si>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</si>
  <si>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</si>
  <si>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</si>
  <si>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</si>
  <si>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</si>
  <si>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</si>
  <si>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</si>
  <si>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</si>
  <si>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</si>
  <si>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</si>
  <si>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</si>
  <si>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</si>
  <si>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</si>
  <si>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</si>
  <si>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</si>
  <si>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</si>
  <si>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</si>
  <si>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</si>
  <si>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</si>
  <si>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</si>
  <si>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</si>
  <si>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</si>
  <si>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</si>
  <si>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</si>
  <si>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</si>
  <si>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</si>
  <si>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</si>
  <si>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</si>
  <si>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</si>
  <si>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</si>
  <si>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</si>
  <si>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</si>
  <si>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</si>
  <si>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</si>
  <si>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</si>
  <si>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</si>
  <si>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</si>
  <si>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</si>
  <si>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</si>
  <si>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</si>
  <si>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</si>
  <si>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</si>
  <si>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</si>
  <si>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</si>
  <si>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</si>
  <si>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</si>
  <si>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</si>
  <si>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</si>
  <si>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</si>
  <si>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</si>
  <si>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</si>
  <si>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</si>
  <si>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</si>
  <si>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</si>
  <si>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</si>
  <si>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</si>
  <si>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</si>
  <si>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</si>
  <si>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</si>
  <si>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</si>
  <si>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</si>
  <si>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</si>
  <si>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</si>
  <si>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</si>
  <si>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</si>
  <si>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</si>
  <si>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</si>
  <si>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</si>
  <si>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</si>
  <si>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</si>
  <si>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</si>
  <si>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</si>
  <si>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</si>
  <si>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</si>
  <si>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</si>
  <si>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</si>
  <si>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</si>
  <si>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</si>
  <si>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</si>
  <si>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</si>
  <si>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</si>
  <si>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</si>
  <si>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</si>
  <si>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</si>
  <si>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</si>
  <si>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</si>
  <si>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</si>
  <si>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</si>
  <si>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</si>
  <si>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</si>
  <si>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</si>
  <si>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</si>
  <si>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</si>
  <si>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</si>
  <si>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</si>
  <si>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</si>
  <si>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</si>
  <si>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</si>
  <si>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</si>
  <si>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</si>
  <si>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</si>
  <si>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</si>
  <si>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</si>
  <si>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</si>
  <si>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</si>
  <si>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</si>
  <si>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</si>
  <si>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</si>
  <si>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</si>
  <si>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</si>
  <si>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</si>
  <si>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</si>
  <si>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</si>
  <si>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</si>
  <si>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</si>
  <si>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</si>
  <si>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</si>
  <si>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</si>
  <si>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</si>
  <si>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</si>
  <si>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</si>
  <si>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</si>
  <si>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</si>
  <si>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</si>
  <si>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</si>
  <si>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</si>
  <si>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</si>
  <si>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</si>
  <si>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</si>
  <si>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</si>
  <si>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</si>
  <si>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</si>
  <si>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</si>
  <si>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</si>
  <si>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</si>
  <si>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</si>
  <si>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</si>
  <si>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</si>
  <si>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</si>
  <si>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</si>
  <si>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</si>
  <si>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</si>
  <si>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</si>
  <si>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</si>
  <si>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</si>
  <si>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</si>
  <si>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</si>
  <si>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</si>
  <si>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</si>
  <si>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</si>
  <si>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</si>
  <si>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</si>
  <si>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</si>
  <si>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</si>
  <si>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</si>
  <si>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</si>
  <si>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</si>
  <si>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</si>
  <si>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</si>
  <si>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</si>
  <si>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</si>
  <si>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</si>
  <si>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</si>
  <si>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</si>
  <si>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</si>
  <si>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</si>
  <si>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</si>
  <si>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</si>
  <si>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</si>
  <si>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</si>
  <si>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</si>
  <si>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</si>
  <si>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</si>
  <si>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</si>
  <si>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</si>
  <si>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</si>
  <si>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</si>
  <si>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</si>
  <si>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</si>
  <si>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</si>
  <si>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</si>
  <si>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</si>
  <si>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</si>
  <si>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</si>
  <si>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</si>
  <si>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</si>
  <si>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</si>
  <si>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</si>
  <si>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</si>
  <si>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</si>
  <si>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</si>
  <si>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</si>
  <si>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</si>
  <si>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</si>
  <si>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</si>
  <si>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</si>
  <si>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</si>
  <si>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</si>
  <si>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</si>
  <si>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</si>
  <si>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</si>
  <si>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</si>
  <si>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</si>
  <si>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</si>
  <si>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</si>
  <si>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</si>
  <si>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</si>
  <si>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</si>
  <si>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</si>
  <si>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</si>
  <si>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</si>
  <si>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</si>
  <si>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</si>
  <si>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</si>
  <si>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</si>
  <si>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</si>
  <si>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</si>
  <si>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</si>
  <si>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</si>
  <si>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</si>
  <si>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</si>
  <si>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</si>
  <si>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</si>
  <si>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</si>
  <si>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</si>
  <si>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</si>
  <si>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</si>
  <si>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</si>
  <si>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</si>
  <si>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</si>
  <si>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</si>
  <si>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</si>
  <si>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</si>
  <si>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</si>
  <si>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</si>
  <si>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</si>
  <si>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</si>
  <si>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</si>
  <si>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</si>
  <si>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</si>
  <si>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</si>
  <si>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</si>
  <si>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</si>
  <si>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</si>
  <si>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</si>
  <si>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</si>
  <si>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</si>
  <si>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</si>
  <si>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</si>
  <si>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</si>
  <si>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</si>
  <si>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</si>
  <si>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</si>
  <si>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</si>
  <si>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</si>
  <si>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</si>
  <si>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</si>
  <si>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</si>
  <si>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</si>
  <si>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</si>
  <si>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</si>
  <si>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</si>
  <si>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</si>
  <si>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</si>
  <si>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</si>
  <si>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</si>
  <si>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</si>
  <si>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</si>
  <si>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</si>
  <si>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</si>
  <si>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</si>
  <si>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</si>
  <si>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</si>
  <si>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</si>
  <si>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</si>
  <si>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</si>
  <si>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</si>
  <si>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</si>
  <si>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</si>
  <si>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</si>
  <si>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</si>
  <si>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</si>
  <si>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</si>
  <si>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</si>
  <si>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</si>
  <si>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</si>
  <si>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</si>
  <si>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</si>
  <si>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</si>
  <si>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</si>
  <si>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</si>
  <si>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</si>
  <si>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</si>
  <si>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</si>
  <si>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</si>
  <si>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</si>
  <si>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</si>
  <si>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</si>
  <si>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</si>
  <si>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</si>
  <si>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</si>
  <si>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</si>
  <si>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</si>
  <si>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</si>
  <si>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</si>
  <si>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</si>
  <si>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</si>
  <si>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</si>
  <si>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</si>
  <si>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</si>
  <si>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</si>
  <si>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</si>
  <si>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</si>
  <si>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</si>
  <si>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</si>
  <si>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</si>
  <si>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</si>
  <si>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</si>
  <si>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</si>
  <si>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</si>
  <si>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</si>
  <si>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</si>
  <si>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</si>
  <si>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</si>
  <si>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</si>
  <si>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</si>
  <si>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</si>
  <si>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</si>
  <si>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</si>
  <si>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</si>
  <si>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</si>
  <si>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</si>
  <si>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</si>
  <si>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</si>
  <si>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</si>
  <si>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</si>
  <si>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</si>
  <si>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</si>
  <si>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</si>
  <si>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</si>
  <si>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</si>
  <si>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</si>
  <si>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</si>
  <si>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</si>
  <si>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</si>
  <si>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</si>
  <si>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</si>
  <si>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</si>
  <si>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</si>
  <si>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</si>
  <si>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</si>
  <si>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</si>
  <si>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</si>
  <si>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</si>
  <si>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</si>
  <si>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</si>
  <si>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</si>
  <si>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</si>
  <si>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</si>
  <si>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</si>
  <si>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</si>
  <si>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</si>
  <si>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</si>
  <si>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</si>
  <si>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</si>
  <si>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</si>
  <si>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</si>
  <si>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</si>
  <si>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</si>
  <si>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</si>
  <si>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</si>
  <si>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</si>
  <si>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</si>
  <si>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</si>
  <si>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</si>
  <si>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</si>
  <si>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</si>
  <si>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</si>
  <si>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</si>
  <si>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</si>
  <si>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</si>
  <si>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</si>
  <si>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</si>
  <si>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</si>
  <si>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</si>
  <si>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</si>
  <si>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</si>
  <si>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</si>
  <si>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</si>
  <si>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</si>
  <si>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</si>
  <si>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</si>
  <si>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</si>
  <si>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</si>
  <si>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</si>
  <si>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</si>
  <si>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</si>
  <si>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</si>
  <si>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</si>
  <si>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</si>
  <si>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</si>
  <si>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</si>
  <si>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</si>
  <si>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</si>
  <si>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</si>
  <si>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</si>
  <si>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</si>
  <si>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</si>
  <si>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</si>
  <si>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</si>
  <si>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</si>
  <si>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</si>
  <si>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</si>
  <si>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</si>
  <si>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</si>
  <si>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</si>
  <si>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</si>
  <si>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</si>
  <si>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</si>
  <si>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</si>
  <si>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</si>
  <si>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</si>
  <si>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</si>
  <si>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</si>
  <si>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</si>
  <si>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</si>
  <si>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</si>
  <si>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</si>
  <si>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</si>
  <si>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</si>
  <si>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</si>
  <si>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</si>
  <si>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</si>
  <si>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</si>
  <si>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</si>
  <si>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</si>
  <si>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</si>
  <si>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</si>
  <si>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</si>
  <si>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</si>
  <si>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</si>
  <si>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</si>
  <si>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</si>
  <si>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</si>
  <si>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</si>
  <si>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</si>
  <si>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</si>
  <si>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</si>
  <si>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</si>
  <si>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</si>
  <si>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</si>
  <si>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</si>
  <si>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</si>
  <si>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</si>
  <si>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</si>
  <si>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</si>
  <si>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</si>
  <si>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</si>
  <si>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</si>
  <si>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</si>
  <si>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</si>
  <si>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</si>
  <si>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</si>
  <si>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</si>
  <si>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</si>
  <si>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</si>
  <si>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</si>
  <si>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</si>
  <si>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</si>
  <si>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</si>
  <si>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</si>
  <si>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</si>
  <si>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</si>
  <si>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</si>
  <si>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</si>
  <si>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</si>
  <si>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</si>
  <si>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</si>
  <si>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</si>
  <si>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</si>
  <si>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</si>
  <si>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</si>
  <si>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</si>
  <si>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</si>
  <si>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</si>
  <si>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</si>
  <si>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</si>
  <si>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</si>
  <si>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</si>
  <si>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</si>
  <si>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</si>
  <si>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</si>
  <si>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</si>
  <si>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</si>
  <si>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</si>
  <si>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</si>
  <si>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</si>
  <si>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</si>
  <si>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</si>
  <si>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</si>
  <si>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</si>
  <si>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</si>
  <si>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</si>
  <si>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</si>
  <si>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</si>
  <si>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</si>
  <si>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</si>
  <si>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</si>
  <si>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</si>
  <si>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</si>
  <si>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</si>
  <si>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</si>
  <si>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</si>
  <si>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</si>
  <si>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</si>
  <si>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</si>
  <si>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</si>
  <si>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</si>
  <si>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</si>
  <si>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</si>
  <si>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</si>
  <si>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</si>
  <si>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</si>
  <si>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</si>
  <si>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</si>
  <si>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</si>
  <si>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</si>
  <si>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</si>
  <si>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</si>
  <si>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</si>
  <si>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</si>
  <si>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</si>
  <si>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</si>
  <si>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</si>
  <si>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</si>
  <si>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</si>
  <si>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</si>
  <si>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</si>
  <si>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</si>
  <si>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</si>
  <si>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</si>
  <si>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</si>
  <si>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</si>
  <si>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</si>
  <si>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</si>
  <si>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</si>
  <si>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</si>
  <si>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</si>
  <si>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</si>
  <si>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</si>
  <si>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</si>
  <si>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</si>
  <si>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</si>
  <si>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</si>
  <si>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</si>
  <si>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</si>
  <si>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</si>
  <si>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</si>
  <si>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</si>
  <si>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</si>
  <si>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</si>
  <si>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</si>
  <si>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</si>
  <si>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</si>
  <si>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</si>
  <si>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</si>
  <si>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</si>
  <si>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</si>
  <si>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</si>
  <si>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</si>
  <si>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</si>
  <si>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</si>
  <si>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</si>
  <si>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</si>
  <si>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</si>
  <si>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</si>
  <si>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</si>
  <si>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</si>
  <si>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</si>
  <si>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</si>
  <si>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</si>
  <si>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</si>
  <si>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</si>
  <si>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</si>
  <si>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</si>
  <si>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</si>
  <si>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</si>
  <si>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</si>
  <si>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</si>
  <si>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</si>
  <si>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</si>
  <si>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</si>
  <si>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</si>
  <si>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</si>
  <si>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</si>
  <si>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</si>
  <si>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</si>
  <si>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</si>
  <si>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</si>
  <si>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</si>
  <si>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</si>
  <si>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</si>
  <si>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</si>
  <si>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</si>
  <si>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</si>
  <si>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</si>
  <si>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</si>
  <si>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</si>
  <si>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</si>
  <si>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</si>
  <si>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</si>
  <si>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</si>
  <si>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</si>
  <si>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</si>
  <si>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</si>
  <si>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</si>
  <si>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</si>
  <si>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</si>
  <si>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</si>
  <si>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</si>
  <si>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</si>
  <si>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</si>
  <si>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</si>
  <si>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</si>
  <si>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</si>
  <si>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</si>
  <si>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</si>
  <si>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</si>
  <si>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</si>
  <si>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</si>
  <si>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</si>
  <si>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</si>
  <si>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</si>
  <si>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</si>
  <si>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</si>
  <si>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</si>
  <si>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</si>
  <si>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</si>
  <si>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</si>
  <si>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</si>
  <si>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</si>
  <si>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</si>
  <si>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</si>
  <si>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</si>
  <si>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</si>
  <si>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</si>
  <si>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</si>
  <si>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</si>
  <si>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</si>
  <si>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</si>
  <si>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</si>
  <si>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</si>
  <si>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</si>
  <si>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</si>
  <si>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</si>
  <si>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</si>
  <si>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</si>
  <si>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</si>
  <si>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</si>
  <si>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</si>
  <si>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</si>
  <si>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</si>
  <si>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</si>
  <si>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</si>
  <si>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</si>
  <si>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</si>
  <si>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</si>
  <si>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</si>
  <si>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</si>
  <si>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</si>
  <si>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</si>
  <si>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</si>
  <si>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</si>
  <si>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</si>
  <si>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</si>
  <si>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</si>
  <si>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</si>
  <si>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</si>
  <si>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</si>
  <si>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</si>
  <si>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</si>
  <si>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</si>
  <si>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</si>
  <si>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</si>
  <si>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</si>
  <si>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</si>
  <si>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</si>
  <si>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</si>
  <si>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</si>
  <si>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</si>
  <si>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</si>
  <si>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</si>
  <si>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</si>
  <si>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</si>
  <si>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</si>
  <si>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</si>
  <si>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</si>
  <si>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</si>
  <si>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</si>
  <si>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</si>
  <si>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</si>
  <si>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</si>
  <si>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</si>
  <si>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</si>
  <si>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</si>
  <si>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</si>
  <si>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</si>
  <si>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</si>
  <si>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</si>
  <si>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</si>
  <si>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</si>
  <si>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</si>
  <si>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</si>
  <si>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</si>
  <si>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</si>
  <si>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</si>
  <si>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</si>
  <si>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</si>
  <si>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</si>
  <si>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</si>
  <si>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</si>
  <si>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</si>
  <si>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</si>
  <si>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</si>
  <si>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</si>
  <si>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</si>
  <si>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</si>
  <si>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</si>
  <si>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</si>
  <si>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</si>
  <si>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</si>
  <si>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</si>
  <si>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</si>
  <si>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</si>
  <si>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</si>
  <si>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</si>
  <si>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</si>
  <si>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</si>
  <si>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</si>
  <si>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</si>
  <si>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</si>
  <si>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</si>
  <si>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</si>
  <si>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</si>
  <si>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</si>
  <si>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</si>
  <si>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</si>
  <si>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</si>
  <si>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</si>
  <si>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</si>
  <si>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</si>
  <si>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</si>
  <si>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</si>
  <si>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</si>
  <si>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</si>
  <si>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</si>
  <si>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</si>
  <si>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</si>
  <si>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</si>
  <si>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</si>
  <si>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</si>
  <si>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</si>
  <si>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</si>
  <si>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</si>
  <si>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</si>
  <si>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</si>
  <si>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</si>
  <si>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</si>
  <si>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</si>
  <si>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</si>
  <si>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</si>
  <si>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</si>
  <si>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</si>
  <si>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</si>
  <si>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</si>
  <si>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</si>
  <si>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</si>
  <si>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</si>
  <si>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</si>
  <si>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</si>
  <si>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</si>
  <si>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</si>
  <si>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</si>
  <si>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</si>
  <si>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</si>
  <si>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</si>
  <si>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</si>
  <si>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</si>
  <si>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</si>
  <si>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</si>
  <si>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</si>
  <si>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</si>
  <si>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</si>
  <si>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</si>
  <si>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</si>
  <si>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</si>
  <si>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</si>
  <si>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</si>
  <si>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</si>
  <si>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</si>
  <si>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</si>
  <si>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</si>
  <si>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</si>
  <si>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</si>
  <si>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</si>
  <si>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</si>
  <si>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</si>
  <si>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</si>
  <si>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</si>
  <si>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</si>
  <si>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</si>
  <si>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</si>
  <si>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</si>
  <si>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</si>
  <si>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</si>
  <si>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</si>
  <si>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</si>
  <si>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</si>
  <si>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</si>
  <si>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</si>
  <si>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</si>
  <si>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</si>
  <si>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</si>
  <si>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</si>
  <si>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</si>
  <si>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</si>
  <si>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</si>
  <si>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</si>
  <si>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</si>
  <si>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</si>
  <si>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</si>
  <si>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</si>
  <si>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</si>
  <si>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</si>
  <si>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</si>
  <si>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</si>
  <si>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</si>
  <si>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</si>
  <si>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</si>
  <si>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</si>
  <si>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</si>
  <si>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</si>
  <si>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</si>
  <si>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</si>
  <si>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</si>
  <si>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</si>
  <si>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</si>
  <si>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</si>
  <si>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</si>
  <si>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</si>
  <si>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</si>
  <si>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</si>
  <si>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</si>
  <si>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</si>
  <si>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</si>
  <si>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</si>
  <si>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</si>
  <si>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</si>
  <si>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</si>
  <si>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</si>
  <si>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</si>
  <si>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</si>
  <si>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</si>
  <si>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</si>
  <si>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</si>
  <si>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</si>
  <si>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</si>
  <si>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</si>
  <si>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</si>
  <si>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</si>
  <si>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</si>
  <si>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</si>
  <si>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</si>
  <si>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</si>
  <si>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</si>
  <si>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</si>
  <si>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</si>
  <si>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</si>
  <si>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</si>
  <si>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</si>
  <si>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</si>
  <si>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</si>
  <si>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</si>
  <si>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</si>
  <si>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</si>
  <si>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</si>
  <si>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</si>
  <si>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</si>
  <si>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</si>
  <si>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</si>
  <si>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</si>
  <si>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</si>
  <si>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</si>
  <si>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</si>
  <si>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</si>
  <si>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</si>
  <si>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</si>
  <si>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</si>
  <si>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</si>
  <si>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</si>
  <si>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</si>
  <si>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</si>
  <si>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</si>
  <si>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</si>
  <si>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</si>
  <si>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</si>
  <si>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</si>
  <si>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</si>
  <si>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</si>
  <si>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</si>
  <si>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</si>
  <si>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</si>
  <si>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</si>
  <si>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</si>
  <si>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</si>
  <si>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</si>
  <si>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</si>
  <si>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</si>
  <si>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</si>
  <si>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</si>
  <si>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</si>
  <si>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</si>
  <si>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</si>
  <si>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</si>
  <si>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</si>
  <si>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</si>
  <si>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</si>
  <si>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</si>
  <si>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</si>
  <si>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</si>
  <si>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</si>
  <si>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</si>
  <si>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</si>
  <si>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</si>
  <si>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</si>
  <si>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</si>
  <si>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</si>
  <si>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</si>
  <si>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</si>
  <si>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</si>
  <si>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</si>
  <si>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</si>
  <si>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</si>
  <si>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</si>
  <si>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</si>
  <si>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</si>
  <si>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</si>
  <si>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</si>
  <si>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</si>
  <si>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</si>
  <si>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</si>
  <si>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</si>
  <si>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</si>
  <si>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</si>
  <si>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</si>
  <si>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</si>
  <si>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</si>
  <si>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</si>
  <si>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</si>
  <si>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</si>
  <si>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</si>
  <si>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</si>
  <si>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</si>
  <si>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</si>
  <si>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</si>
  <si>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</si>
  <si>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</si>
  <si>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</si>
  <si>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</si>
  <si>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</si>
  <si>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</si>
  <si>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</si>
  <si>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</si>
  <si>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</si>
  <si>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</si>
  <si>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</si>
  <si>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</si>
  <si>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</si>
  <si>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</si>
  <si>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</si>
  <si>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</si>
  <si>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</si>
  <si>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</si>
  <si>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</si>
  <si>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</si>
  <si>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</si>
  <si>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</si>
  <si>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</si>
  <si>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</si>
  <si>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</si>
  <si>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</si>
  <si>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</si>
  <si>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</si>
  <si>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</si>
  <si>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</si>
  <si>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</si>
  <si>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</si>
  <si>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</si>
  <si>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</si>
  <si>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</si>
  <si>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</si>
  <si>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</si>
  <si>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</si>
  <si>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</si>
  <si>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</si>
  <si>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</si>
  <si>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</si>
  <si>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</si>
  <si>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</si>
  <si>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</si>
  <si>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</si>
  <si>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</si>
  <si>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</si>
  <si>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</si>
  <si>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</si>
  <si>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</si>
  <si>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</si>
  <si>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</si>
  <si>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</si>
  <si>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</si>
  <si>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</si>
  <si>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</si>
  <si>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</si>
  <si>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</si>
  <si>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</si>
  <si>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</si>
  <si>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</si>
  <si>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</si>
  <si>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</si>
  <si>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</si>
  <si>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</si>
  <si>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</si>
  <si>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</si>
  <si>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</si>
  <si>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</si>
  <si>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</si>
  <si>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</si>
  <si>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</si>
  <si>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</si>
  <si>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</si>
  <si>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</si>
  <si>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</si>
  <si>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</si>
  <si>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</si>
  <si>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</si>
  <si>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</si>
  <si>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</si>
  <si>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</si>
  <si>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</si>
  <si>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</si>
  <si>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</si>
  <si>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</si>
  <si>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</si>
  <si>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</si>
  <si>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</si>
  <si>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</si>
  <si>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</si>
  <si>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</si>
  <si>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</si>
  <si>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</si>
  <si>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</si>
  <si>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</si>
  <si>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</si>
  <si>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</si>
  <si>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</si>
  <si>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</si>
  <si>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</si>
  <si>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</si>
  <si>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</si>
  <si>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</si>
  <si>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</si>
  <si>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</si>
  <si>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</si>
  <si>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</si>
  <si>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</si>
  <si>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</si>
  <si>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</si>
  <si>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</si>
  <si>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</si>
  <si>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</si>
  <si>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</si>
  <si>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</si>
  <si>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</si>
  <si>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</si>
  <si>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</si>
  <si>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</si>
  <si>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</si>
  <si>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</si>
  <si>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</si>
  <si>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</si>
  <si>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</si>
  <si>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</si>
  <si>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</si>
  <si>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</si>
  <si>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</si>
  <si>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</si>
  <si>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</si>
  <si>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</si>
  <si>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</si>
  <si>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</si>
  <si>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</si>
  <si>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</si>
  <si>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</si>
  <si>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</si>
  <si>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</si>
  <si>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</si>
  <si>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</si>
  <si>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</si>
  <si>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</si>
  <si>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</si>
  <si>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</si>
  <si>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</si>
  <si>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</si>
  <si>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</si>
  <si>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</si>
  <si>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</si>
  <si>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</si>
  <si>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</si>
  <si>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</si>
  <si>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</si>
  <si>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</si>
  <si>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</si>
  <si>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</si>
  <si>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</si>
  <si>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</si>
  <si>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</si>
  <si>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</si>
  <si>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</si>
  <si>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</si>
  <si>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</si>
  <si>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</si>
  <si>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</si>
  <si>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</si>
  <si>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</si>
  <si>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</si>
  <si>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</si>
  <si>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</si>
  <si>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</si>
  <si>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</si>
  <si>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</si>
  <si>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</si>
  <si>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</si>
  <si>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</si>
  <si>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</si>
  <si>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</si>
  <si>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</si>
  <si>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</si>
  <si>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</si>
  <si>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</si>
  <si>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</si>
  <si>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</si>
  <si>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</si>
  <si>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</si>
  <si>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</si>
  <si>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</si>
  <si>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</si>
  <si>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</si>
  <si>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</si>
  <si>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</si>
  <si>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</si>
  <si>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</si>
  <si>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</si>
  <si>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</si>
  <si>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</si>
  <si>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</si>
  <si>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</si>
  <si>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</si>
  <si>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</si>
  <si>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</si>
  <si>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</si>
  <si>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</si>
  <si>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</si>
  <si>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</si>
  <si>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</si>
  <si>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</si>
  <si>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</si>
  <si>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</si>
  <si>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</si>
  <si>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</si>
  <si>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</si>
  <si>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</si>
  <si>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</si>
  <si>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</si>
  <si>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</si>
  <si>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</si>
  <si>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</si>
  <si>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</si>
  <si>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</si>
  <si>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</si>
  <si>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</si>
  <si>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</si>
  <si>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</si>
  <si>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</si>
  <si>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</si>
  <si>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</si>
  <si>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</si>
  <si>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</si>
  <si>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</si>
  <si>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</si>
  <si>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</si>
  <si>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</si>
  <si>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</si>
  <si>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</si>
  <si>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</si>
  <si>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</si>
  <si>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</si>
  <si>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</si>
  <si>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</si>
  <si>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</si>
  <si>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</si>
  <si>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</si>
  <si>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</si>
  <si>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</si>
  <si>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</si>
  <si>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</si>
  <si>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</si>
  <si>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</si>
  <si>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</si>
  <si>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</si>
  <si>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</si>
  <si>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</si>
  <si>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</si>
  <si>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</si>
  <si>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</si>
  <si>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</si>
  <si>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</si>
  <si>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</si>
  <si>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</si>
  <si>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</si>
  <si>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</si>
  <si>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</si>
  <si>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</si>
  <si>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</si>
  <si>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</si>
  <si>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</si>
  <si>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</si>
  <si>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</si>
  <si>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</si>
  <si>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</si>
  <si>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</si>
  <si>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</si>
  <si>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</si>
  <si>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</si>
  <si>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</si>
  <si>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</si>
  <si>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</si>
  <si>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</si>
  <si>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</si>
  <si>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</si>
  <si>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</si>
  <si>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</si>
  <si>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</si>
  <si>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</si>
  <si>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</si>
  <si>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</si>
  <si>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</si>
  <si>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</si>
  <si>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</si>
  <si>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</si>
  <si>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</si>
  <si>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</si>
  <si>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</si>
  <si>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</si>
  <si>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</si>
  <si>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</si>
  <si>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</si>
  <si>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</si>
  <si>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</si>
  <si>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</si>
  <si>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</si>
  <si>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</si>
  <si>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</si>
  <si>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</si>
  <si>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</si>
  <si>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</si>
  <si>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</si>
  <si>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</si>
  <si>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</si>
  <si>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</si>
  <si>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</si>
  <si>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</si>
  <si>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</si>
  <si>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</si>
  <si>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</si>
  <si>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</si>
  <si>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</si>
  <si>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</si>
  <si>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</si>
  <si>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</si>
  <si>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</si>
  <si>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</si>
  <si>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</si>
  <si>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</si>
  <si>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</si>
  <si>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</si>
  <si>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</si>
  <si>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</si>
  <si>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</si>
  <si>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</si>
  <si>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</si>
  <si>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</si>
  <si>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</si>
  <si>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</si>
  <si>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</si>
  <si>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</si>
  <si>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</si>
  <si>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</si>
  <si>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</si>
  <si>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</si>
  <si>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</si>
  <si>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</si>
  <si>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</si>
  <si>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</si>
  <si>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</si>
  <si>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</si>
  <si>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</si>
  <si>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</si>
  <si>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</si>
  <si>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</si>
  <si>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</si>
  <si>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</si>
  <si>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</si>
  <si>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</si>
  <si>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</si>
  <si>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</si>
  <si>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</si>
  <si>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</si>
  <si>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</si>
  <si>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</si>
  <si>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</si>
  <si>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</si>
  <si>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</si>
  <si>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</si>
  <si>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</si>
  <si>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</si>
  <si>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</si>
  <si>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</si>
  <si>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</si>
  <si>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</si>
  <si>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</si>
  <si>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</si>
  <si>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</si>
  <si>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</si>
  <si>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</si>
  <si>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</si>
  <si>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</si>
  <si>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</si>
  <si>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</si>
  <si>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</si>
  <si>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</si>
  <si>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</si>
  <si>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</si>
  <si>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</si>
  <si>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</si>
  <si>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</si>
  <si>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</si>
  <si>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</si>
  <si>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</si>
  <si>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</si>
  <si>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</si>
  <si>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</si>
  <si>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</si>
  <si>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</si>
  <si>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</si>
  <si>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</si>
  <si>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</si>
  <si>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</si>
  <si>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</si>
  <si>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</si>
  <si>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</si>
  <si>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</si>
  <si>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</si>
  <si>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</si>
  <si>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</si>
  <si>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</si>
  <si>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</si>
  <si>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</si>
  <si>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</si>
  <si>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</si>
  <si>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</si>
  <si>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</si>
  <si>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</si>
  <si>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</si>
  <si>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</si>
  <si>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</si>
  <si>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</si>
  <si>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</si>
  <si>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</si>
  <si>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</si>
  <si>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</si>
  <si>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</si>
  <si>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</si>
  <si>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</si>
  <si>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</si>
  <si>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</si>
  <si>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</si>
  <si>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</si>
  <si>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</si>
  <si>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</si>
  <si>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</si>
  <si>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</si>
  <si>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</si>
  <si>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</si>
  <si>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</si>
  <si>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</si>
  <si>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</si>
  <si>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</si>
  <si>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</si>
  <si>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</si>
  <si>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</si>
  <si>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</si>
  <si>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</si>
  <si>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</si>
  <si>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</si>
  <si>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</si>
  <si>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</si>
  <si>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</si>
  <si>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</si>
  <si>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</si>
  <si>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</si>
  <si>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</si>
  <si>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</si>
  <si>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</si>
  <si>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</si>
  <si>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</si>
  <si>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</si>
  <si>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</si>
  <si>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</si>
  <si>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</si>
  <si>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</si>
  <si>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</si>
  <si>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</si>
  <si>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</si>
  <si>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</si>
  <si>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</si>
  <si>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</si>
  <si>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</si>
  <si>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</si>
  <si>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</si>
  <si>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</si>
  <si>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</si>
  <si>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</si>
  <si>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</si>
  <si>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</si>
  <si>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</si>
  <si>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</si>
  <si>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</si>
  <si>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</si>
  <si>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</si>
  <si>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</si>
  <si>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</si>
  <si>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</si>
  <si>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</si>
  <si>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</si>
  <si>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</si>
  <si>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</si>
  <si>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</si>
  <si>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</si>
  <si>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</si>
  <si>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</si>
  <si>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</si>
  <si>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</si>
  <si>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</si>
  <si>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</si>
  <si>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</si>
  <si>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</si>
  <si>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</si>
  <si>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</si>
  <si>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</si>
  <si>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</si>
  <si>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</si>
  <si>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</si>
  <si>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</si>
  <si>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</si>
  <si>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</si>
  <si>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</si>
  <si>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</si>
  <si>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</si>
  <si>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</si>
  <si>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</si>
  <si>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</si>
  <si>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</si>
  <si>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</si>
  <si>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</si>
  <si>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</si>
  <si>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</si>
  <si>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</si>
  <si>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</si>
  <si>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</si>
  <si>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</si>
  <si>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</si>
  <si>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</si>
  <si>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</si>
  <si>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</si>
  <si>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</si>
  <si>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</si>
  <si>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</si>
  <si>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</si>
  <si>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</si>
  <si>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</si>
  <si>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</si>
  <si>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</si>
  <si>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</si>
  <si>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</si>
  <si>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</si>
  <si>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</si>
  <si>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</si>
  <si>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</si>
  <si>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</si>
  <si>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</si>
  <si>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</si>
  <si>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</si>
  <si>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</si>
  <si>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</si>
  <si>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</si>
  <si>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</si>
  <si>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</si>
  <si>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</si>
  <si>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</si>
  <si>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</si>
  <si>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</si>
  <si>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</si>
  <si>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</si>
  <si>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</si>
  <si>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</si>
  <si>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</si>
  <si>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</si>
  <si>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</si>
  <si>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</si>
  <si>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</si>
  <si>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</si>
  <si>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</si>
  <si>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</si>
  <si>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</si>
  <si>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</si>
  <si>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</si>
  <si>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</si>
  <si>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</si>
  <si>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</si>
  <si>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</si>
  <si>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</si>
  <si>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</si>
  <si>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</si>
  <si>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</si>
  <si>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</si>
  <si>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</si>
  <si>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</si>
  <si>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</si>
  <si>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</si>
  <si>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</si>
  <si>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</si>
  <si>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</si>
  <si>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</si>
  <si>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</si>
  <si>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</si>
  <si>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</si>
  <si>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</si>
  <si>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</si>
  <si>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</si>
  <si>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</si>
  <si>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</si>
  <si>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</si>
  <si>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</si>
  <si>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</si>
  <si>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</si>
  <si>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</si>
  <si>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</si>
  <si>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</si>
  <si>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</si>
  <si>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</si>
  <si>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</si>
  <si>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</si>
  <si>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</si>
  <si>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</si>
  <si>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</si>
  <si>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</si>
  <si>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</si>
  <si>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</si>
  <si>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</si>
  <si>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</si>
  <si>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</si>
  <si>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</si>
  <si>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</si>
  <si>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</si>
  <si>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</si>
  <si>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2023PA-050</t>
  </si>
  <si>
    <t>Hallmark Development Partners. LLC</t>
  </si>
  <si>
    <t>Martin H. Petersen</t>
  </si>
  <si>
    <t>Manager</t>
  </si>
  <si>
    <t>Hallmark Development Partners, LLC</t>
  </si>
  <si>
    <t>Thompson Kurrie III</t>
  </si>
  <si>
    <t>President</t>
  </si>
  <si>
    <t>tkurrie@hallmarkco.com</t>
  </si>
  <si>
    <t>Hillmont Apartments</t>
  </si>
  <si>
    <t>Unincorporated County</t>
  </si>
  <si>
    <t xml:space="preserve">No additional comments.  </t>
  </si>
  <si>
    <t>Residential</t>
  </si>
  <si>
    <t>NOVOGRADAC (National Non Metro)</t>
  </si>
  <si>
    <t>Acquisition/Rehab</t>
  </si>
  <si>
    <t>40% of Units at 60% of AMI</t>
  </si>
  <si>
    <t>N/a</t>
  </si>
  <si>
    <t>Housing Assistance Council</t>
  </si>
  <si>
    <t>Amortizing</t>
  </si>
  <si>
    <t>Preservation Not Applicable</t>
  </si>
  <si>
    <t>TBD (only if Option A)</t>
  </si>
  <si>
    <t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t>
  </si>
  <si>
    <t xml:space="preserve">Applicant commits to accept resident services coordination from an entity certified as a "3rd Party Resident Services Coordination Contractor" by CORES or other DCA approved program.  </t>
  </si>
  <si>
    <t>Not Applicable</t>
  </si>
  <si>
    <t xml:space="preserve">Hillmont Apartments has Rental Assistance Agreement and USDA RD for 41 units.  </t>
  </si>
  <si>
    <t xml:space="preserve">Occupancy has been greater than 95% for 24 months therefore the property qualfies for 6 points.  Please see the rent rolls as well as occupancy table included with the application for verification.  </t>
  </si>
  <si>
    <t xml:space="preserve">The property was built in 1989.  Please see documentation confirming year built within tha application.  </t>
  </si>
  <si>
    <t>The utility allowance rates listed above became effective January 1, 2023 per QAP guidelines.  USDA provided a utility alloance chnge letter which reflect an appoved Utility Allowance of $129 for 1 Bedroom units and $149 for 2 Bedroom units.  Please see the included signed letter by Theresa Taylor, Loan Specialists, USDA Rural Development included in Tab 2 of the application.  
USDA–Assisted Buildings. If a building receives assistance from the USDA (formerly called the Farmers Home Administration, or FmHA), the USDA-prescribed utility allowance applies to all rent-restricted units in the building. The USDA-approved allowance applies even if the building is assisted by any other program or agency. Examples of USDA assistance include assistance provided under the USDA Section 515 rural rental loan program and USDA rental assistance.</t>
  </si>
  <si>
    <t xml:space="preserve">The tenancy selected withiin the Emphasys is Elderly. </t>
  </si>
  <si>
    <t>John Wall &amp; Associates</t>
  </si>
  <si>
    <t>Gill Group</t>
  </si>
  <si>
    <t>Terracon</t>
  </si>
  <si>
    <t>Purchase Contract</t>
  </si>
  <si>
    <t>Hallmark Hillmont, LP</t>
  </si>
  <si>
    <t xml:space="preserve">Per QAP, site zoning verification not required for rehabilitation projects where no new units are being constructed.  </t>
  </si>
  <si>
    <t>Georgia Power</t>
  </si>
  <si>
    <t xml:space="preserve">Per QAP, operating utilities verification not required for rehabilitation projects where no new units are being constructed.  </t>
  </si>
  <si>
    <t>Lowndes County</t>
  </si>
  <si>
    <t xml:space="preserve">Per QAP, public water/sewer verification not required for rehabilitation projects where no new units are being constructed.  </t>
  </si>
  <si>
    <t>Gazebo</t>
  </si>
  <si>
    <t>On-site laundry</t>
  </si>
  <si>
    <t>Substantial Rehab Non-Gutted</t>
  </si>
  <si>
    <t>Agree</t>
  </si>
  <si>
    <t>Yes - see Comment</t>
  </si>
  <si>
    <t>Disagree</t>
  </si>
  <si>
    <t>The applicant received a waiver which is in the application.  Also, the applicant agrees to provide high speed internet access to the community room for the entirety of the compliance and extended use period.</t>
  </si>
  <si>
    <t>The applicant will include 4 services from the three categories as required for elderly projects per the 2023 DCA QAP.</t>
  </si>
  <si>
    <t xml:space="preserve">Martin H. Petersen is the Manager of the current owner of the property as well as the Manager of the purchaser of the property.  The appraised value of the security value of the property is $1,167,000 (total between the "as is" Market Value of $705,000 and the Value of the Interest Credit Subsidy from the Existing USDA RD Section 515 loan $462,000).  The real estate purchase contract matches the appraised value.  </t>
  </si>
  <si>
    <t xml:space="preserve">The applicant has site control for the purchase price of $1,167,000, which matches the appraisal.  Site control is in place until 12-31-25.  A current deed of the owner along with the legal description is included within the application.  </t>
  </si>
  <si>
    <t xml:space="preserve">The existing Hillmont Apartments has direct access to Lakes Boulevard, a public road.  Please see the Site Access tab which reflects photographs from the entrance to Lakes Boulevard, orginal plans, and the Conceptual Site Development Plan verifying public road access.  </t>
  </si>
  <si>
    <t xml:space="preserve">The proposed amenities are appropriately geared towards the elderly tenancy.  </t>
  </si>
  <si>
    <t xml:space="preserve">The applicant is proposing the renovation of all 43 units and all accessory structures as detailed in the rehab scope of work form.  A waiver was obtained at pre-application for the closets, bathrooms, and minimum unit sizes.  The accessibility work sheet is provided by the PNA provider.  All items required to be completed with the form are included in the costs of the Work Scope Form.  Please see the PNA, Work Scope Form, and other required documentation in the Rehabilitation Standards Tab 14 of the application.  </t>
  </si>
  <si>
    <t xml:space="preserve">The applicant agrees to the Sustainability Standards required by DCA.  The applicant will be certified EarthCraft Multifamily Renovation upon completion of the project.  Please see the draft scoring sheet for Hillmont Apartments in Tab 16.  </t>
  </si>
  <si>
    <t xml:space="preserve">The applicant agrees to comply with all accessibility standards and engage a third party (non-related) DCA qualified consultant, Zeffert &amp; Associates, to monitor accessibility requirements and compliance.  </t>
  </si>
  <si>
    <t xml:space="preserve">Martin H. Petersen and Hallmark Development Services, LLC is determined "Qualified" as the Certifying Principal and Developer.  The DCA Determination is included within the application in Tab 19. </t>
  </si>
  <si>
    <t xml:space="preserve">1)	Hillmont Apartments is assisted with a USDA RD 515 Loan.  
2)	Hillmont Apartments has project based rental assistance in at least one unit per building, and 50% of the overall revenue units.
3)	Meets the definition of Preservation within the QAP as the proposed Hillmont renovation is a substantial rehabilitation of existing housing units.  
4)	The applicant also certifies that the seller will not receive any operating, maintenance, or the reserve funds as a result of or concurrent with the sale of the asset.  
All required Documentation is within tab 20 of the application.  </t>
  </si>
  <si>
    <t xml:space="preserve">Hillmont Apartments is eligible for Acquistion Credits.  Please see the Tax Credit Opinion from Coleman Talley as verification in Tab 22.  </t>
  </si>
  <si>
    <t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23 of the application. </t>
  </si>
  <si>
    <t>The applicant and proposed management agent (Hallmark Management, Inc.) agree to submit an (AFFH) Plan as outlined in the selections above.  This plan will ensure the required Affrimatively Furthering Fair Housing procedures are enacted and carried out on the project.</t>
  </si>
  <si>
    <t xml:space="preserve">Please see memo in Tab 51 for further documentation. </t>
  </si>
  <si>
    <t xml:space="preserve">There are no debt service payment amounts that deviate from the amount shown in Permanent Sources on Tab II of the Core Application.  The debt service coverage is greater than 1.25 at year 15 as required by the QAP.  Also, the proforma reflects a Effective Gross Income to Total Annual Expenses of 1.15 at year 15 as required per the QAP.  </t>
  </si>
  <si>
    <t>The proposed rehabilitation has an effective capture rate of 0% as the subject is fully occupied by income qualified tenants.  The Strengths according to the market study are :
Preservation of Elderly Affordable Housing
Waiting list of 16
41 units of PBRA
Excellent Location
No Weaknesses</t>
  </si>
  <si>
    <t>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 Based on the findings presented in this report, Terracon found no obvious environmental concerns or risks associated with the property.</t>
  </si>
  <si>
    <t xml:space="preserve">The site plan produced by Studio 8 Design outlines all required information in accordance to the 2023 GA DCA QAP.  Please also see maps, site pictures, and aerial photos, which are contained in Tab 15 of the application. </t>
  </si>
  <si>
    <t xml:space="preserve">The applicant strongly believes utilizing the LIHTC program to acquire, rehabilitate and preserve affordable housing at this over 30 year old property is the best use of DCA resources.  The applicant agrees to all the applicable guidelines for optimal utilization of resources.  </t>
  </si>
  <si>
    <t xml:space="preserve">1) The applicant has included the real estate tax bill from 2022 with real estate tax costs.  The applicant used the 2022 real estate taxes as the purchase price is less than the tax assessed value.  Please see the real estate tax information in Tab 1 for further detail.
2) The insurance has been estimated by the insurance agent for the proposed property.  Please see the estimate provided by the property insurance company in Tab 1 for further detail.
3) Net rents and gross allowable rents meet DCA requirements.  Minimum expenses meet DCA guiidelines.  
5) The applicant has budgeted $4,000 for an onsite Actiivty Manager and  $4,000 for a 3rd Party Resident Services Coordination Contractor or other DCA approved program if such an entity serves the locaility.     </t>
  </si>
  <si>
    <t>Housing Assisstance Council</t>
  </si>
  <si>
    <t>Building</t>
  </si>
  <si>
    <t xml:space="preserve">Hillmont Apartments qualifies for 1 point under favorable financing. The Housing Assistance Council has committed $430,000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t>
  </si>
  <si>
    <t xml:space="preserve">Hillmont Apartments is an existing multifamily development located in Lake Park, GA.  Originally constructed in 1989, the 43-unit apartment development has supplied housing opportunities to many low- and very low-income families in the community.  The elderly development has provided USDA RD rental assistance to 100% of the revenue (42) units throughout its life. The mostly-brick garden apartment buildings, and leasing office are spread over a site that also includes a gazebo, ample parking, and large green spaces.  
The development is very well situated between the predominantly residential west side of Lake Park and Interstate 75 just a half-mile to the east. Also located within a mile of the development and most of the retail shopping and service businesses in Lake Park. Hillmont Apartments is not only well situated for the elderly, particularly those who might commute to a job, needing quick access to I-75, but also one of very few housing options for those that are considered low-income. As such, this development represents a crucial housing opportunity for working families in Lake Park who need it most.
Preventing the loss of government housing.
Hillmont is both historically and presently at minimum 97% occupied. The recent market analysis of the development included in this application shows an effective capture rate of 0%, the development being able to maintain 100% of its renters. Also, an impressive market occupancy rate of 99.7% a very strong need for housing of low-income residents in the community. The demand is also evidenced by a very low vacancy rate among comparable properties in the market. Despite the current demand for lack of available housing in the Lake Park, Lowndes County, market, the availability of USDA rental assistance on this property ensures a continued desire among low-income families. However, in order to ensure the longevity of that asset, the property must be maintained to certain standards of living and accessibility. Renovation of Hillmont Apartments is necessary and overdue as the property is nearly 35 years old and has never had a major renovation.    
Extent of Physical Distress.
The Physical Needs Assessment included in this application indicates the property needs a minimum rehabilitation totaling about $3.35MM in short-term needs, which is merely to make repairs and replacements as systems surpass their useful life. That figure includes the costs of the major capital improvements that would address accessibility, energy-efficiency, safety and other needed improvements for the property to be able to continue to provide decent, safe and affordable housing. The total hard cost of the renovation proposed in this application is estimated to be over $3.45MM and will extend the life of Hillmont for another 30+ years.   The Physical Needs Assessment meets the following QAP requirement for rehabilitation projects and shows a minimum of $68k per interior dwelling unit in hard construction costs.
The proposed rehabilitation will allow the continued housing of low- and very low-income residents at Hillmont Apartments for many years to come. The rehab will meet the design standards set by DCA, other accessibility requirements, all needs identified in the PNA as being short-term (within one year) and as being necessary within the next 10 years, and the applicable local, state and federal requirements including, but not limited to, new windows and doors, siding and associated components, roofs, added attic insulation, new Energy Star HVAC systems and water-heaters, new gutters and downspouts, replacement with Energy Star windows and appliances, new flooring, new cabinets, replacement of plumbing and water heating systems, and new electrical breakers, devices and fixtures.  Proposed site improvements like a computer center and activities center, landscaping, gazebo, and accessible dumpster pad will offer not only a safer living environment, but also more enjoyment, accessibility, and independence for the development’s residents. More detailed information on the scope of the rehab can be found in the Physical Needs Assessment and Georgia DCA Rehab Work Scope to this LIHTC application.  
Supporting Economic Empowerment.
The value of the housing that Hillmont Apartments is offering to the community is as equally important as the housing assistance rent payments that it provides.  The loss of the housing and the project-based rental subsidies would be extremely detrimental to the Lake Park community, especially the residents of Hillmont. With the lack of other affordable elderly housing opportunities in the market, the development provides a critical economic opportunity for those low-income residents who qualify to live there to not be so overburdened by their housing costs, that they cannot afford food, healthcare, transportation and other resources necessary to upward mobility. Again, the ability of the development to assist with the housing payments of very low-income tenants increases even more the ability of those residents to succeed economically. 
We are very excited about this proposed redevelopment and are pleased to have received resident support for the preservation of Hillmont Apartments. An allocation of LIHTC’s will allow the continued provision of much-needed affordable housing for seniors in Lake Park. As such, we look forward to working with DCA, the U.S. Department of Agriculture’s Rural Development staff, and the Town of Lake Park to continue to ensure that the residents of Hillmont Apartments have safe, affordable, and quality housing appropriate to their needs.
</t>
  </si>
  <si>
    <t xml:space="preserve">The applicant has submitted a proposed project which conforms to the guidelines in the 2023 GA DCA QAP.  All costs for the proposed redevelopment and construction have been carefully underwritten and reviewed by the experienced parties of the team.  Both the federal ($0.83) and state ($0.52) equity pricing terms and rates are competitive and have been provided by experienced syndicators/investment partners.  The projected approximate operating costs of approximately $3925 per unit have been reviewed and approved by the proposed management agent (Hallmark Management, Inc.).  Total Developer Fee and Deferred Developer Fee are within the 2023 GA DCA QAP limits.   </t>
  </si>
  <si>
    <t>Total From USDA UA Letter</t>
  </si>
  <si>
    <t>Boston Financial Investment Management, LP</t>
  </si>
  <si>
    <t>ppetersen@hallmarkco.com</t>
  </si>
  <si>
    <t>USDA Rural Development</t>
  </si>
  <si>
    <t xml:space="preserve">The assumption and re-amortization of an existing USDA Rural Development Section 515 loan and a new loan from the Housing Assistance Council provide the permanent favorable financing sources of funding for the proposed project.   Boston Financial Investment Management, LP is making a capital contribution of $4,108,085, equal to $0.83 for 98.99% of the allocated Federal Credits from the Partnership.  Boston Financial Investment Management is making a capital contribution of $2,641,080, equivalent to $0.83 for 1% of the allocated Federal Credits and $0.52 for 100% of the State Credits from the Partnership.  Boston Financial is 99.99% of the Partnership with a capital contribution of $6,749,165.   Fifty percent of the tax credit equity will be funded during the project's construction phase.  Hallmark Development Partners, LLC is deferring a portion of the earned developer fee during the construction phase and anticipates deferring less than 10% of the developer fee during the permanent phase.  The developer fee will be paid within three years of the projected cash flow.  Please see all documentation in Tab 2 of the application for further details regarding financing and equity sources.  </t>
  </si>
  <si>
    <t xml:space="preserve">Construction hard costs are based on a cost estimate received from Tishco Construction based on two projects that Tishco is rehabilitating for Hallmark.  Also, please note the project team representatives from Hallmark Development Partners, LLC (proposed developer), Studio 8 Design (proposed architect), and Tishco, LLC (proposed contractor) have substantial experience with the construction hard costs associated with the rehabilitation of multi-family properties.  The project team has worked together on more than 30 tax credit rehabilitations.  
Permit Fees: Permit Fees are estimated to be $5883.  The Permits fee schedule and methodology are included in Tab 2 as verification.
Water/Sewer Tap Impact Fees: No impact, water, or sewer tap fees are charged for the proposed redevelopment due to it being a rehabilitation. 
Relocation Expense: Custom Relocation Specialists created the relocation budget for the project.  All required documentation is included in Tab 23 of the application.  </t>
  </si>
  <si>
    <t xml:space="preserve">On April 10, 2023, Hallmark Hillcrest, LLC (Hillcrest Apartments, 1503 John Collins Road NE, Pelham, Georgia) received an 8823 Report of Noncompliance of Building Disposition.  Martin H. Petersen is the manager of Hallmark Hillcrest, LLC, and the Manager of the applicant Hallmark Charlton Court, LP.  The Project Team and certifying entities (Martin H. Petersen and Hallmark Development Services, LLC) for the Charlton Court application were determined to be Qualified on April 25, 2023.  The applicant did not request a waiver at pre-application for the 8823 Noncompliance, as the notice was received after pre-applications were submitted for the 2023 round.  
The applicant was determined qualified at application and requested any point deductions due to this short-term 8823 to be added back as Martin H. Petersen and Hallmark Development Services, LLC, the Qualified Certifying entities, have a combined 48 total Successful Georgia Affordable Development owned by the project team as reflected in the pre-application submission.  
The applicant has included the following within the Compliance Performance Tab:
•	Listing of only the Georgia Properties for the entire development team, as included in the Compliance History Summary Section of the Performance Workbook
•	A listing of Successful Georgia Affordable Developments owned by the Project Team
Background on the Hillcrest Apartments 8823
In July 2022, a resident at Hillcrest Apartments fell asleep while cooking, causing fire damage to an entire unit.  There was a delay in the repairs due to receiving the engineering and architectural plans.  The permit for the reconstruction of the unit was obtained on March 20, 2023.  All repairs are estimated to be complete by June 30, 2023, and the 8823 will be closed out in July 2023 before application awards.  Please see the attached Weekly Reports for the reconstruction of the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</si>
</sst>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Hillmont Apartments</v>
      </c>
    </row>
    <row r="3" spans="1:6" ht="15" customHeight="1">
      <c r="A3" s="666" t="str">
        <f>CONCATENATE('Part I-Project Identification'!F26,", ", 'Part I-Project Identification'!J26," County")</f>
        <v>Lake Park, Lowndes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5" zoomScaleNormal="100" workbookViewId="0">
      <selection activeCell="J234" sqref="J23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Hillmont Apartments, Lake Park, Lowndes County</v>
      </c>
      <c r="B2" s="3661"/>
      <c r="C2" s="3661"/>
      <c r="D2" s="3661"/>
      <c r="E2" s="3661"/>
      <c r="F2" s="3661"/>
      <c r="G2" s="3661"/>
      <c r="H2" s="3661"/>
      <c r="I2" s="3661"/>
      <c r="J2" s="3661"/>
      <c r="K2" s="3661"/>
      <c r="L2" s="3661"/>
      <c r="M2" s="3661"/>
      <c r="N2" s="3661"/>
      <c r="O2" s="3661"/>
      <c r="P2" s="3661"/>
      <c r="Q2" s="3662"/>
      <c r="T2" s="1427" t="str">
        <f>A2</f>
        <v>PART FOUR - PROJECTED REVENUES &amp; EXPENSES  -  2023-0 Hillmont Apartments, Lake Park, Lowndes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5" t="str">
        <f>'Part I-Project Identification'!$O$28</f>
        <v>Valdosta</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6094</v>
      </c>
      <c r="D6" s="1515"/>
      <c r="E6" s="1515"/>
      <c r="F6" s="1515"/>
      <c r="G6" s="1211" t="s">
        <v>194</v>
      </c>
      <c r="H6" s="3663" t="s">
        <v>6096</v>
      </c>
      <c r="I6" s="3664"/>
      <c r="J6" s="3664"/>
      <c r="K6" s="686" t="s">
        <v>3135</v>
      </c>
      <c r="L6" s="3556" t="str">
        <f>'Part I-Project Identification'!$A$6</f>
        <v>April 2023</v>
      </c>
      <c r="M6" s="3556"/>
      <c r="N6" s="3556"/>
      <c r="O6" s="1717" t="s">
        <v>6076</v>
      </c>
      <c r="P6" s="1505">
        <v>71300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6095</v>
      </c>
      <c r="E7" s="4"/>
      <c r="G7" s="1246" t="s">
        <v>194</v>
      </c>
      <c r="I7" s="3587" t="s">
        <v>4070</v>
      </c>
      <c r="J7" s="686" t="s">
        <v>742</v>
      </c>
      <c r="K7" s="686" t="s">
        <v>3182</v>
      </c>
      <c r="L7" s="3556"/>
      <c r="M7" s="3556"/>
      <c r="N7" s="3556"/>
      <c r="O7" s="1718" t="s">
        <v>6075</v>
      </c>
      <c r="P7" s="1543">
        <v>44927</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3763</v>
      </c>
      <c r="C8" s="1"/>
      <c r="E8" s="1"/>
      <c r="F8" s="1"/>
      <c r="I8" s="3587"/>
      <c r="J8" s="686" t="s">
        <v>743</v>
      </c>
      <c r="K8" s="686" t="s">
        <v>3183</v>
      </c>
      <c r="L8" s="667"/>
      <c r="M8" s="667"/>
      <c r="N8" s="1716" t="s">
        <v>6479</v>
      </c>
      <c r="O8" s="3589" t="s">
        <v>7049</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9</v>
      </c>
      <c r="F18" s="1084">
        <v>634</v>
      </c>
      <c r="G18" s="1084">
        <v>668</v>
      </c>
      <c r="H18" s="1084">
        <v>655</v>
      </c>
      <c r="I18" s="1084">
        <v>0</v>
      </c>
      <c r="J18" s="1100">
        <f>IF(C18="",0,HLOOKUP(C18,'Part IV-Utility Allowances'!$I$11:$M$22,12))</f>
        <v>129</v>
      </c>
      <c r="K18" s="1101" t="s">
        <v>6947</v>
      </c>
      <c r="L18" s="1102">
        <f t="shared" si="1"/>
        <v>526</v>
      </c>
      <c r="M18" s="1102">
        <f t="shared" si="2"/>
        <v>4734</v>
      </c>
      <c r="N18" s="1103" t="s">
        <v>2652</v>
      </c>
      <c r="O18" s="1685" t="s">
        <v>6291</v>
      </c>
      <c r="P18" s="1103" t="s">
        <v>7050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9</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f t="shared" si="59"/>
        <v>9</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5706</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5706</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9</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9</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9</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9</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1</v>
      </c>
      <c r="E19" s="133">
        <v>1</v>
      </c>
      <c r="F19" s="133">
        <v>738</v>
      </c>
      <c r="G19" s="133">
        <v>802</v>
      </c>
      <c r="H19" s="133">
        <v>750</v>
      </c>
      <c r="I19" s="133">
        <v>0</v>
      </c>
      <c r="J19" s="756">
        <f>IF(C19="",0,HLOOKUP(C19,'Part IV-Utility Allowances'!$I$11:$M$22,12))</f>
        <v>149</v>
      </c>
      <c r="K19" s="644" t="s">
        <v>6947</v>
      </c>
      <c r="L19" s="461">
        <f t="shared" si="1"/>
        <v>601</v>
      </c>
      <c r="M19" s="461">
        <f t="shared" si="2"/>
        <v>601</v>
      </c>
      <c r="N19" s="695" t="s">
        <v>2652</v>
      </c>
      <c r="O19" s="1683" t="s">
        <v>6291</v>
      </c>
      <c r="P19" s="695" t="s">
        <v>7050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f t="shared" si="60"/>
        <v>1</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738</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738</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60</v>
      </c>
      <c r="C20" s="132">
        <v>1</v>
      </c>
      <c r="D20" s="1751">
        <v>1</v>
      </c>
      <c r="E20" s="133">
        <v>28</v>
      </c>
      <c r="F20" s="133">
        <v>634</v>
      </c>
      <c r="G20" s="133">
        <v>801</v>
      </c>
      <c r="H20" s="133">
        <v>655</v>
      </c>
      <c r="I20" s="133">
        <v>0</v>
      </c>
      <c r="J20" s="756">
        <f>IF(C20="",0,HLOOKUP(C20,'Part IV-Utility Allowances'!$I$11:$M$22,12))</f>
        <v>129</v>
      </c>
      <c r="K20" s="644" t="s">
        <v>6947</v>
      </c>
      <c r="L20" s="461">
        <f t="shared" si="1"/>
        <v>526</v>
      </c>
      <c r="M20" s="461">
        <f t="shared" si="2"/>
        <v>14728</v>
      </c>
      <c r="N20" s="695" t="s">
        <v>2652</v>
      </c>
      <c r="O20" s="1683" t="s">
        <v>6291</v>
      </c>
      <c r="P20" s="695" t="s">
        <v>7050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28</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f t="shared" si="64"/>
        <v>28</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17752</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17752</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28</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28</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28</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28</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1</v>
      </c>
      <c r="D21" s="1751">
        <v>1</v>
      </c>
      <c r="E21" s="133">
        <v>1</v>
      </c>
      <c r="F21" s="133">
        <v>738</v>
      </c>
      <c r="G21" s="133">
        <v>963</v>
      </c>
      <c r="H21" s="133">
        <v>655</v>
      </c>
      <c r="I21" s="133">
        <v>0</v>
      </c>
      <c r="J21" s="756">
        <f>IF(C21="",0,HLOOKUP(C21,'Part IV-Utility Allowances'!$I$11:$M$22,12))</f>
        <v>129</v>
      </c>
      <c r="K21" s="644"/>
      <c r="L21" s="461">
        <f t="shared" si="1"/>
        <v>526</v>
      </c>
      <c r="M21" s="461">
        <f t="shared" si="2"/>
        <v>526</v>
      </c>
      <c r="N21" s="695" t="s">
        <v>2652</v>
      </c>
      <c r="O21" s="1683" t="s">
        <v>6291</v>
      </c>
      <c r="P21" s="695" t="s">
        <v>7050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738</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1</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1</v>
      </c>
      <c r="E22" s="133">
        <v>3</v>
      </c>
      <c r="F22" s="133">
        <v>867</v>
      </c>
      <c r="G22" s="133">
        <v>963</v>
      </c>
      <c r="H22" s="133">
        <v>750</v>
      </c>
      <c r="I22" s="133">
        <v>0</v>
      </c>
      <c r="J22" s="756">
        <f>IF(C22="",0,HLOOKUP(C22,'Part IV-Utility Allowances'!$I$11:$M$22,12))</f>
        <v>149</v>
      </c>
      <c r="K22" s="644" t="s">
        <v>6947</v>
      </c>
      <c r="L22" s="461">
        <f t="shared" si="1"/>
        <v>601</v>
      </c>
      <c r="M22" s="461">
        <f t="shared" si="2"/>
        <v>1803</v>
      </c>
      <c r="N22" s="695" t="s">
        <v>2652</v>
      </c>
      <c r="O22" s="1683" t="s">
        <v>6291</v>
      </c>
      <c r="P22" s="695" t="s">
        <v>7050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3</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f t="shared" si="65"/>
        <v>3</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2601</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f t="shared" si="160"/>
        <v>2601</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3</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3</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3</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3</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2</v>
      </c>
      <c r="D23" s="1751">
        <v>1</v>
      </c>
      <c r="E23" s="133">
        <v>1</v>
      </c>
      <c r="F23" s="133">
        <v>867</v>
      </c>
      <c r="G23" s="133">
        <v>963</v>
      </c>
      <c r="H23" s="133">
        <v>0</v>
      </c>
      <c r="I23" s="133">
        <v>0</v>
      </c>
      <c r="J23" s="756">
        <f>IF(C23="",0,HLOOKUP(C23,'Part IV-Utility Allowances'!$I$11:$M$22,12))</f>
        <v>149</v>
      </c>
      <c r="K23" s="644"/>
      <c r="L23" s="461">
        <f t="shared" si="1"/>
        <v>0</v>
      </c>
      <c r="M23" s="461">
        <f t="shared" si="2"/>
        <v>0</v>
      </c>
      <c r="N23" s="695" t="s">
        <v>7048</v>
      </c>
      <c r="O23" s="1683" t="s">
        <v>6291</v>
      </c>
      <c r="P23" s="695" t="s">
        <v>7050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1</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867</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1</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1</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1</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6" t="s">
        <v>3768</v>
      </c>
      <c r="C49" s="3607"/>
      <c r="D49" s="107" t="s">
        <v>954</v>
      </c>
      <c r="E49" s="1113">
        <f>SUM(E11:E48)</f>
        <v>43</v>
      </c>
      <c r="F49" s="1111">
        <f>(E11*F11+E12*F12+E13*F13+E14*F14+E15*F15+E16*F16+E17*F17+E18*F18+E19*F19+E20*F20+E21*F21+E22*F22+E23*F23+E24*F24+E25*F25+E26*F26+E27*F27+E28*F28+E29*F29+E30*F30+E31*F31+E32*F32+E33*F33+E34*F34+E35*F35+E36*F36+E37*F37+E38*F38+E39*F39+E40*F40+E41*F41+E42*F42+E43*F43+E44*F44+E45*F45+E46*F46+E47*F47+E48*F48)</f>
        <v>28402</v>
      </c>
      <c r="H49" s="3580" t="s">
        <v>3765</v>
      </c>
      <c r="I49" s="1114" t="s">
        <v>3766</v>
      </c>
      <c r="J49" s="1115" t="str">
        <f>IF(P67=0,"",IF(SUM(P58:P62)/P67&gt;=0.4,"Pass","Fail"))</f>
        <v>Pass</v>
      </c>
      <c r="K49" s="448"/>
      <c r="L49" s="699" t="s">
        <v>1225</v>
      </c>
      <c r="M49" s="94">
        <f>SUM(M11:M48)</f>
        <v>22392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29</v>
      </c>
      <c r="AJ49" s="1749">
        <f t="shared" si="339"/>
        <v>4</v>
      </c>
      <c r="AK49" s="1749">
        <f t="shared" si="339"/>
        <v>0</v>
      </c>
      <c r="AL49" s="1749">
        <f t="shared" si="339"/>
        <v>0</v>
      </c>
      <c r="AM49" s="1749">
        <f>SUM(AM11:AM48)</f>
        <v>0</v>
      </c>
      <c r="AN49" s="1749">
        <f>SUM(AN11:AN48)</f>
        <v>9</v>
      </c>
      <c r="AO49" s="1749">
        <f>SUM(AO11:AO48)</f>
        <v>1</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9</v>
      </c>
      <c r="CC49" s="1749">
        <f t="shared" si="338"/>
        <v>1</v>
      </c>
      <c r="CD49" s="1749">
        <f t="shared" si="338"/>
        <v>0</v>
      </c>
      <c r="CE49" s="1749">
        <f t="shared" si="338"/>
        <v>0</v>
      </c>
      <c r="CF49" s="1749">
        <f t="shared" si="338"/>
        <v>0</v>
      </c>
      <c r="CG49" s="1749">
        <f t="shared" si="338"/>
        <v>28</v>
      </c>
      <c r="CH49" s="1749">
        <f t="shared" si="338"/>
        <v>3</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18490</v>
      </c>
      <c r="EU49" s="1749">
        <f t="shared" si="342"/>
        <v>3468</v>
      </c>
      <c r="EV49" s="1749">
        <f t="shared" si="342"/>
        <v>0</v>
      </c>
      <c r="EW49" s="1749">
        <f t="shared" si="342"/>
        <v>0</v>
      </c>
      <c r="EX49" s="1749">
        <f t="shared" si="338"/>
        <v>0</v>
      </c>
      <c r="EY49" s="1749">
        <f t="shared" si="338"/>
        <v>5706</v>
      </c>
      <c r="EZ49" s="1749">
        <f t="shared" si="338"/>
        <v>738</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23458</v>
      </c>
      <c r="FY49" s="1749">
        <f t="shared" si="343"/>
        <v>3339</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38</v>
      </c>
      <c r="GX49" s="1749">
        <f t="shared" si="343"/>
        <v>5</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38</v>
      </c>
      <c r="IB49" s="1749">
        <f t="shared" si="344"/>
        <v>5</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38</v>
      </c>
      <c r="JU49" s="1749">
        <f t="shared" si="344"/>
        <v>5</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38</v>
      </c>
      <c r="MH49" s="1749">
        <f t="shared" si="346"/>
        <v>5</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57.674418604651166</v>
      </c>
      <c r="C50" s="3579"/>
      <c r="D50" s="119" t="s">
        <v>3675</v>
      </c>
      <c r="E50" s="1110">
        <f>SUM(E18:E48)</f>
        <v>43</v>
      </c>
      <c r="F50" s="1112">
        <f>(E18*F18+E19*F19+E20*F20+E21*F21+E22*F22+E23*F23+E24*F24+E25*F25+E26*F26+E27*F27+E28*F28+E29*F29+E30*F30+E31*F31+E32*F32+E33*F33+E34*F34+E35*F35+E36*F36+E37*F37+E38*F38+E39*F39+E40*F40+E41*F41+E42*F42+E43*F43+E44*F44+E45*F45+E46*F46+E47*F47+E48*F48)</f>
        <v>28402</v>
      </c>
      <c r="H50" s="3581"/>
      <c r="I50" s="1116" t="s">
        <v>3767</v>
      </c>
      <c r="J50" s="1117" t="str">
        <f>IF(P67=0,"",IF(SUM(P59:P62)/P67&gt;=0.2,"Pass","Fail"))</f>
        <v>Pass</v>
      </c>
      <c r="K50" s="448"/>
      <c r="L50" s="107" t="s">
        <v>757</v>
      </c>
      <c r="M50" s="94">
        <f>M49*12</f>
        <v>268704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7" t="s">
        <v>7051</v>
      </c>
      <c r="P53" s="3568"/>
      <c r="S53" s="3595" t="str">
        <f>B53</f>
        <v>UNIT SUMMARY</v>
      </c>
      <c r="T53" s="3595"/>
      <c r="U53" s="3595"/>
      <c r="V53" s="3595"/>
      <c r="AY53" s="359"/>
      <c r="BD53" s="359"/>
      <c r="LO53" s="361"/>
      <c r="MD53" s="357"/>
    </row>
    <row r="54" spans="1:381" ht="14.25" customHeight="1">
      <c r="A54" s="10"/>
      <c r="B54" s="10"/>
      <c r="K54" s="144" t="s">
        <v>6643</v>
      </c>
      <c r="O54" s="3565" t="s">
        <v>7052</v>
      </c>
      <c r="P54" s="356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4075</v>
      </c>
      <c r="B56" s="3659"/>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29</v>
      </c>
      <c r="M58" s="1128">
        <f>AJ49</f>
        <v>4</v>
      </c>
      <c r="N58" s="1128">
        <f>AK49</f>
        <v>0</v>
      </c>
      <c r="O58" s="1129">
        <f>AL49</f>
        <v>0</v>
      </c>
      <c r="P58" s="745">
        <f t="shared" si="347"/>
        <v>33</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9</v>
      </c>
      <c r="M59" s="1149">
        <f>AO49</f>
        <v>1</v>
      </c>
      <c r="N59" s="1149">
        <f>AP49</f>
        <v>0</v>
      </c>
      <c r="O59" s="1150">
        <f>AQ49</f>
        <v>0</v>
      </c>
      <c r="P59" s="466">
        <f t="shared" si="347"/>
        <v>10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2">
        <f>SUM(K56:K62)</f>
        <v>0</v>
      </c>
      <c r="L63" s="1092">
        <f>SUM(L56:L62)</f>
        <v>38</v>
      </c>
      <c r="M63" s="1092">
        <f>SUM(M56:M62)</f>
        <v>5</v>
      </c>
      <c r="N63" s="1092">
        <f>SUM(N56:N62)</f>
        <v>0</v>
      </c>
      <c r="O63" s="1092">
        <f>SUM(O56:O62)</f>
        <v>0</v>
      </c>
      <c r="P63" s="1092">
        <f t="shared" si="347"/>
        <v>43</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38</v>
      </c>
      <c r="M65" s="1099">
        <f>SUM(M63:M64)</f>
        <v>5</v>
      </c>
      <c r="N65" s="1099">
        <f>SUM(N63:N64)</f>
        <v>0</v>
      </c>
      <c r="O65" s="1099">
        <f>SUM(O63:O64)</f>
        <v>0</v>
      </c>
      <c r="P65" s="1099">
        <f t="shared" si="347"/>
        <v>43</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38</v>
      </c>
      <c r="M67" s="1091">
        <f>SUM(M65:M66)</f>
        <v>5</v>
      </c>
      <c r="N67" s="1091">
        <f>SUM(N65:N66)</f>
        <v>0</v>
      </c>
      <c r="O67" s="1091">
        <f>SUM(O65:O66)</f>
        <v>0</v>
      </c>
      <c r="P67" s="1091">
        <f t="shared" si="347"/>
        <v>43</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6" t="str">
        <f t="shared" ref="K76:P76" si="352">IF(OR(K58=0,K67=0),"",K58/K67)</f>
        <v/>
      </c>
      <c r="L76" s="1437">
        <f t="shared" si="352"/>
        <v>0.76315789473684215</v>
      </c>
      <c r="M76" s="1437">
        <f t="shared" si="352"/>
        <v>0.8</v>
      </c>
      <c r="N76" s="1437" t="str">
        <f t="shared" si="352"/>
        <v/>
      </c>
      <c r="O76" s="1437" t="str">
        <f t="shared" si="352"/>
        <v/>
      </c>
      <c r="P76" s="1438">
        <f t="shared" si="352"/>
        <v>0.76744186046511631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9" t="str">
        <f>IF(OR(K58=0,P76="",K67=0),"",P76*K67)</f>
        <v/>
      </c>
      <c r="L77" s="1509">
        <f>IF(OR(L58=0,P76="",L67=0),"",P76*L67)</f>
        <v>29.162790697674421</v>
      </c>
      <c r="M77" s="1509">
        <f>IF(OR(M58=0,P76="",M67=0),"",P76*M67)</f>
        <v>3.8372093023255816</v>
      </c>
      <c r="N77" s="1509" t="str">
        <f>IF(OR(N58=0,P76="",N67=0),"",P76*N67)</f>
        <v/>
      </c>
      <c r="O77" s="1509" t="str">
        <f>IF(OR(O58=0,P76="",O67=0),"",P76*O67)</f>
        <v/>
      </c>
      <c r="P77" s="1510">
        <f>IF(OR(P76="",P67=0),"",P76*P67)</f>
        <v>33</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6487</v>
      </c>
      <c r="I78" s="1409"/>
      <c r="J78" s="1"/>
      <c r="K78" s="1511" t="str">
        <f t="shared" ref="K78:P78" si="353">IF(OR(K77="",K58=0),"", K58-K77)</f>
        <v/>
      </c>
      <c r="L78" s="1511">
        <f t="shared" si="353"/>
        <v>-0.16279069767442067</v>
      </c>
      <c r="M78" s="1511">
        <f t="shared" si="353"/>
        <v>0.16279069767441845</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0.23684210526315788</v>
      </c>
      <c r="M79" s="1437">
        <f t="shared" si="354"/>
        <v>0.2</v>
      </c>
      <c r="N79" s="1437" t="str">
        <f t="shared" si="354"/>
        <v/>
      </c>
      <c r="O79" s="1437" t="str">
        <f t="shared" si="354"/>
        <v/>
      </c>
      <c r="P79" s="1438">
        <f t="shared" si="354"/>
        <v>0.23255813953488372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8.8372093023255811</v>
      </c>
      <c r="M80" s="1509">
        <f>IF(OR(M59=0,P79="",M67=0),"",P79*M67)</f>
        <v>1.1627906976744187</v>
      </c>
      <c r="N80" s="1509" t="str">
        <f>IF(OR(N59=0,P79="",N67=0),"",P79*N67)</f>
        <v/>
      </c>
      <c r="O80" s="1509" t="str">
        <f>IF(OR(O59=0,P79="",O67=0),"",P79*O67)</f>
        <v/>
      </c>
      <c r="P80" s="1510">
        <f>IF(OR(P79="",P67=0),"",P79*P67)</f>
        <v>10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0.16279069767441889</v>
      </c>
      <c r="M81" s="1511">
        <f t="shared" si="355"/>
        <v>-0.16279069767441867</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28</v>
      </c>
      <c r="M95" s="1137">
        <f>CH49</f>
        <v>3</v>
      </c>
      <c r="N95" s="1137">
        <f>CI49</f>
        <v>0</v>
      </c>
      <c r="O95" s="1138">
        <f>CJ49</f>
        <v>0</v>
      </c>
      <c r="P95" s="1090">
        <f t="shared" si="362"/>
        <v>31</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9</v>
      </c>
      <c r="M96" s="1158">
        <f>CC49</f>
        <v>1</v>
      </c>
      <c r="N96" s="1158">
        <f>CD49</f>
        <v>0</v>
      </c>
      <c r="O96" s="1159">
        <f>CE49</f>
        <v>0</v>
      </c>
      <c r="P96" s="471">
        <f t="shared" si="362"/>
        <v>10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37</v>
      </c>
      <c r="M100" s="1091">
        <f>SUM(M93:M99)</f>
        <v>4</v>
      </c>
      <c r="N100" s="1091">
        <f>SUM(N93:N99)</f>
        <v>0</v>
      </c>
      <c r="O100" s="1091">
        <f>SUM(O93:O99)</f>
        <v>0</v>
      </c>
      <c r="P100" s="1091">
        <f t="shared" si="362"/>
        <v>41</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38</v>
      </c>
      <c r="M116" s="1125">
        <f>GX49</f>
        <v>5</v>
      </c>
      <c r="N116" s="1125">
        <f>GY49</f>
        <v>0</v>
      </c>
      <c r="O116" s="1126">
        <f>GZ49</f>
        <v>0</v>
      </c>
      <c r="P116" s="749">
        <f t="shared" si="364"/>
        <v>43</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38</v>
      </c>
      <c r="M118" s="1093">
        <f>SUM(M116:M117)+HH49</f>
        <v>5</v>
      </c>
      <c r="N118" s="1093">
        <f>SUM(N116:N117)+HI49</f>
        <v>0</v>
      </c>
      <c r="O118" s="1093">
        <f>SUM(O116:O117)+HJ49</f>
        <v>0</v>
      </c>
      <c r="P118" s="1093">
        <f t="shared" si="364"/>
        <v>43</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2"/>
      <c r="I127" s="910"/>
      <c r="J127" s="911"/>
      <c r="K127" s="1145">
        <f t="shared" ref="K127:P127" si="365">SUM(K128:K135)</f>
        <v>0</v>
      </c>
      <c r="L127" s="1146">
        <f t="shared" si="365"/>
        <v>38</v>
      </c>
      <c r="M127" s="1146">
        <f t="shared" si="365"/>
        <v>5</v>
      </c>
      <c r="N127" s="1146">
        <f t="shared" si="365"/>
        <v>0</v>
      </c>
      <c r="O127" s="1147">
        <f t="shared" si="365"/>
        <v>0</v>
      </c>
      <c r="P127" s="1096">
        <f t="shared" si="365"/>
        <v>43</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6291</v>
      </c>
      <c r="I128" s="33"/>
      <c r="J128" s="912"/>
      <c r="K128" s="1127">
        <f>JS49</f>
        <v>0</v>
      </c>
      <c r="L128" s="1128">
        <f>JT49</f>
        <v>38</v>
      </c>
      <c r="M128" s="1128">
        <f>JU49</f>
        <v>5</v>
      </c>
      <c r="N128" s="1128">
        <f>JV49</f>
        <v>0</v>
      </c>
      <c r="O128" s="1129">
        <f>JW49</f>
        <v>0</v>
      </c>
      <c r="P128" s="745">
        <f t="shared" ref="P128:P143" si="366">SUM(K128:O128)</f>
        <v>43</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38</v>
      </c>
      <c r="M151" s="1161">
        <f t="shared" si="371"/>
        <v>5</v>
      </c>
      <c r="N151" s="1161">
        <f t="shared" si="371"/>
        <v>0</v>
      </c>
      <c r="O151" s="1162">
        <f t="shared" si="371"/>
        <v>0</v>
      </c>
      <c r="P151" s="1688">
        <f t="shared" si="369"/>
        <v>43</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18490</v>
      </c>
      <c r="M159" s="1164">
        <f>EU49</f>
        <v>3468</v>
      </c>
      <c r="N159" s="1164">
        <f>EV49</f>
        <v>0</v>
      </c>
      <c r="O159" s="1165">
        <f>EW49</f>
        <v>0</v>
      </c>
      <c r="P159" s="1088">
        <f t="shared" si="372"/>
        <v>21958</v>
      </c>
      <c r="Q159" s="1291">
        <f t="shared" si="373"/>
        <v>665.39393939393938</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5706</v>
      </c>
      <c r="M160" s="1224">
        <f>EZ49</f>
        <v>738</v>
      </c>
      <c r="N160" s="1224">
        <f>FA49</f>
        <v>0</v>
      </c>
      <c r="O160" s="1225">
        <f>FB49</f>
        <v>0</v>
      </c>
      <c r="P160" s="1226">
        <f t="shared" si="372"/>
        <v>6444</v>
      </c>
      <c r="Q160" s="1291">
        <f t="shared" si="373"/>
        <v>644.4</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24196</v>
      </c>
      <c r="M164" s="1690">
        <f>SUM(M157:M163)</f>
        <v>4206</v>
      </c>
      <c r="N164" s="1690">
        <f>SUM(N157:N163)</f>
        <v>0</v>
      </c>
      <c r="O164" s="1690">
        <f>SUM(O157:O163)</f>
        <v>0</v>
      </c>
      <c r="P164" s="1690">
        <f>SUM(K164:O164)</f>
        <v>28402</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24196</v>
      </c>
      <c r="M166" s="1689">
        <f>SUM(M164:M165)</f>
        <v>4206</v>
      </c>
      <c r="N166" s="1689">
        <f>SUM(N164:N165)</f>
        <v>0</v>
      </c>
      <c r="O166" s="1689">
        <f>SUM(O164:O165)</f>
        <v>0</v>
      </c>
      <c r="P166" s="1689">
        <f>SUM(K166:O166)</f>
        <v>28402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24196</v>
      </c>
      <c r="M168" s="1094">
        <f>SUM(M166:M167)</f>
        <v>4206</v>
      </c>
      <c r="N168" s="1094">
        <f>SUM(N166:N167)</f>
        <v>0</v>
      </c>
      <c r="O168" s="1094">
        <f>SUM(O166:O167)</f>
        <v>0</v>
      </c>
      <c r="P168" s="1094">
        <f>SUM(K168:O168)</f>
        <v>28402</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636.73684210526312</v>
      </c>
      <c r="M171" s="1290">
        <f>IF(OR(M67="",M67=0),"",M168/M67)</f>
        <v>841.2</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2500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30902</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5374.08</v>
      </c>
      <c r="I179" s="3553"/>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15294</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25000</v>
      </c>
      <c r="G221" s="3625"/>
      <c r="H221" s="1"/>
      <c r="I221" s="1" t="s">
        <v>1300</v>
      </c>
      <c r="K221" s="1"/>
      <c r="L221" s="3624">
        <v>0</v>
      </c>
      <c r="M221" s="3625"/>
      <c r="N221" s="1"/>
      <c r="O221" s="319">
        <f>+Q220/(P67*0.93)</f>
        <v>382.44561140285072</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20000</v>
      </c>
      <c r="G222" s="3600"/>
      <c r="H222" s="1"/>
      <c r="I222" s="1" t="s">
        <v>1301</v>
      </c>
      <c r="K222" s="1"/>
      <c r="L222" s="3627">
        <v>500</v>
      </c>
      <c r="M222" s="3628"/>
      <c r="N222" s="1"/>
      <c r="O222" s="319">
        <f>+Q220/(P67*0.93)/12</f>
        <v>31.870467616904225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500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9">
        <v>4000</v>
      </c>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9">
        <v>4000</v>
      </c>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53000</v>
      </c>
      <c r="G227" s="3632"/>
      <c r="H227" s="1"/>
      <c r="I227" s="1" t="s">
        <v>1497</v>
      </c>
      <c r="K227" s="1"/>
      <c r="L227" s="3611">
        <v>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6000</v>
      </c>
      <c r="M228" s="3614"/>
      <c r="N228" s="3626" t="str">
        <f>IF(Q230="","",IF(Q228&lt;Q230, "WARNING! OE below required minimum.",""))</f>
        <v/>
      </c>
      <c r="O228" s="4" t="s">
        <v>2029</v>
      </c>
      <c r="P228" s="1"/>
      <c r="Q228" s="326">
        <f>F227+F236+F247+L223+L231+L241+L247+Q220</f>
        <v>168863</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350</v>
      </c>
      <c r="M229" s="3614"/>
      <c r="N229" s="3626"/>
      <c r="O229" s="42" t="s">
        <v>2486</v>
      </c>
      <c r="P229" s="319">
        <f>+Q228/P67</f>
        <v>3927.046511627907</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2500</v>
      </c>
      <c r="G230" s="3625"/>
      <c r="H230" s="1"/>
      <c r="I230" s="3617" t="s">
        <v>46</v>
      </c>
      <c r="J230" s="3618"/>
      <c r="K230" s="3619"/>
      <c r="L230" s="3629"/>
      <c r="M230" s="3630"/>
      <c r="N230" s="3626"/>
      <c r="P230" s="758" t="s">
        <v>3223</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2000</v>
      </c>
      <c r="G231" s="3600"/>
      <c r="H231" s="1"/>
      <c r="I231" s="4"/>
      <c r="K231" s="8" t="s">
        <v>184</v>
      </c>
      <c r="L231" s="3633">
        <f>SUM(L227:L230)</f>
        <v>6850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1000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v>1000</v>
      </c>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3000</v>
      </c>
      <c r="G234" s="3600"/>
      <c r="H234" s="1"/>
      <c r="I234" s="4" t="s">
        <v>1297</v>
      </c>
      <c r="K234" s="248" t="s">
        <v>3883</v>
      </c>
      <c r="O234" s="1312" t="s">
        <v>3085</v>
      </c>
      <c r="P234" s="4"/>
      <c r="Q234" s="917">
        <f>Q243</f>
        <v>15050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11.627906976744185</v>
      </c>
      <c r="L235" s="3611">
        <v>6000</v>
      </c>
      <c r="M235" s="3612"/>
      <c r="N235" s="3626" t="str">
        <f>IF(Q234&lt;Q243, "WARNING! RR proposed is below the DCA required minimum.","")</f>
        <v/>
      </c>
      <c r="O235" s="772" t="s">
        <v>3882</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9500</v>
      </c>
      <c r="G236" s="3632"/>
      <c r="H236" s="1"/>
      <c r="I236" s="1" t="s">
        <v>1291</v>
      </c>
      <c r="K236" s="365">
        <f>L236/12/P67</f>
        <v>0</v>
      </c>
      <c r="L236" s="3613">
        <v>0</v>
      </c>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2.4224806201550391</v>
      </c>
      <c r="L237" s="3613">
        <v>1250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15.697674418604651</v>
      </c>
      <c r="L238" s="3613">
        <v>8100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5000</v>
      </c>
      <c r="G239" s="3648"/>
      <c r="H239" s="1"/>
      <c r="I239" s="72" t="s">
        <v>6681</v>
      </c>
      <c r="K239" s="365">
        <f>L239/12/P67</f>
        <v>1.9379844961240309</v>
      </c>
      <c r="L239" s="3613">
        <v>1000</v>
      </c>
      <c r="M239" s="3614"/>
      <c r="N239" s="3643"/>
      <c r="O239" s="387" t="s">
        <v>3052</v>
      </c>
      <c r="P239" s="673" t="str">
        <f>CONCATENATE(SUM(MF49:MJ49)," units x $",'DCA Underwriting Assumptions'!$Q$28," =")</f>
        <v>43 units x $350 =</v>
      </c>
      <c r="Q239" s="501">
        <f>SUM(MF49:MJ49)*'DCA Underwriting Assumptions'!$Q$28</f>
        <v>15050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4000</v>
      </c>
      <c r="G240" s="3636"/>
      <c r="H240" s="1"/>
      <c r="I240" s="3620" t="s">
        <v>46</v>
      </c>
      <c r="J240" s="3621"/>
      <c r="K240" s="365">
        <f>L240/12/P67</f>
        <v>0</v>
      </c>
      <c r="L240" s="3629">
        <v>0</v>
      </c>
      <c r="M240" s="3630"/>
      <c r="N240" s="3643"/>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5000</v>
      </c>
      <c r="G241" s="3636"/>
      <c r="H241" s="1"/>
      <c r="K241" s="8" t="s">
        <v>184</v>
      </c>
      <c r="L241" s="3633">
        <f>SUM(L235:L240)</f>
        <v>16350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4000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5000</v>
      </c>
      <c r="G243" s="3600"/>
      <c r="H243" s="1"/>
      <c r="I243" s="4" t="s">
        <v>1298</v>
      </c>
      <c r="O243" s="769" t="s">
        <v>2467</v>
      </c>
      <c r="P243" s="770">
        <f>SUM(MF49:MJ49)+SUM(MK49:MO49)+SUM(MP49:MT49)+P125</f>
        <v>43</v>
      </c>
      <c r="Q243" s="771">
        <f>SUM(Q239:Q242)</f>
        <v>15050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0</v>
      </c>
      <c r="G244" s="3600"/>
      <c r="H244" s="1"/>
      <c r="I244" s="72" t="s">
        <v>3929</v>
      </c>
      <c r="K244" s="1"/>
      <c r="L244" s="3611">
        <v>16869</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2500</v>
      </c>
      <c r="G245" s="3600"/>
      <c r="H245" s="1"/>
      <c r="I245" s="1" t="s">
        <v>140</v>
      </c>
      <c r="K245" s="1"/>
      <c r="L245" s="3613">
        <v>25000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25500</v>
      </c>
      <c r="G247" s="3642"/>
      <c r="H247" s="1"/>
      <c r="K247" s="8" t="s">
        <v>184</v>
      </c>
      <c r="L247" s="3633">
        <f>SUM(L243:L246)</f>
        <v>41869</v>
      </c>
      <c r="M247" s="3640"/>
      <c r="N247" s="1"/>
      <c r="O247" s="4" t="s">
        <v>2030</v>
      </c>
      <c r="P247" s="1"/>
      <c r="Q247" s="326">
        <f>Q228+Q234</f>
        <v>183913</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9"/>
      <c r="L251" s="3570"/>
      <c r="M251" s="1284" t="s">
        <v>3900</v>
      </c>
      <c r="N251" s="1222"/>
      <c r="O251" s="4" t="s">
        <v>3875</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8" t="s">
        <v>7101</v>
      </c>
      <c r="B256" s="3638"/>
      <c r="C256" s="3638"/>
      <c r="D256" s="3638"/>
      <c r="E256" s="3638"/>
      <c r="F256" s="3638"/>
      <c r="G256" s="3638"/>
      <c r="H256" s="3638"/>
      <c r="I256" s="3638"/>
      <c r="J256" s="3638"/>
      <c r="K256" s="3638"/>
      <c r="L256" s="3638"/>
      <c r="M256" s="3638"/>
      <c r="N256" s="3637"/>
      <c r="O256" s="3637"/>
      <c r="P256" s="3637"/>
      <c r="Q256" s="3637"/>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0" zoomScaleNormal="100" workbookViewId="0">
      <selection activeCell="D32" sqref="B32:D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Hillmont Apartments, Lake Park, Lowndes County</v>
      </c>
      <c r="B2" s="3672"/>
      <c r="C2" s="3672"/>
      <c r="D2" s="3672"/>
      <c r="E2" s="3672"/>
      <c r="F2" s="3672"/>
      <c r="G2" s="3672"/>
      <c r="H2" s="3672"/>
      <c r="I2" s="3672"/>
      <c r="J2" s="3672"/>
      <c r="K2" s="3673"/>
      <c r="L2" s="4"/>
      <c r="M2" s="4"/>
      <c r="N2" s="3674" t="str">
        <f>A2</f>
        <v>PART SIX - OPERATING PRO FORMA  -  2023-0 Hillmont Apartments, Lake Park, Lowndes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3402</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3403</v>
      </c>
      <c r="E6" s="3558"/>
      <c r="F6" s="3558"/>
      <c r="G6" s="59">
        <v>3000</v>
      </c>
      <c r="H6" s="75" t="s">
        <v>1768</v>
      </c>
      <c r="K6" s="80">
        <f>IF(($B$15+$B$16+$B$17+$B$18)=0,"",B31/($B$15+$B$16+$B$17+$B$18))</f>
        <v>-1.1769662322550212E-2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6.0001738520360982E-2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2649</v>
      </c>
      <c r="H10" s="140" t="s">
        <v>2174</v>
      </c>
      <c r="K10" s="1231">
        <v>0.06</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268704</v>
      </c>
      <c r="C15" s="15">
        <f t="shared" ref="C15:K15" si="1">$B$15*(1+$B$6)^(C14-1)</f>
        <v>274078.08000000002</v>
      </c>
      <c r="D15" s="15">
        <f t="shared" si="1"/>
        <v>279559.64159999997</v>
      </c>
      <c r="E15" s="15">
        <f t="shared" si="1"/>
        <v>285150.834432</v>
      </c>
      <c r="F15" s="15">
        <f t="shared" si="1"/>
        <v>290853.85112064</v>
      </c>
      <c r="G15" s="15">
        <f t="shared" si="1"/>
        <v>296670.92814305279</v>
      </c>
      <c r="H15" s="15">
        <f t="shared" si="1"/>
        <v>302604.34670591389</v>
      </c>
      <c r="I15" s="15">
        <f t="shared" si="1"/>
        <v>308656.43364003208</v>
      </c>
      <c r="J15" s="15">
        <f t="shared" si="1"/>
        <v>314829.56231283274</v>
      </c>
      <c r="K15" s="16">
        <f t="shared" si="1"/>
        <v>321126.15355908941</v>
      </c>
      <c r="N15" s="3562"/>
      <c r="O15" s="3564"/>
      <c r="S15" s="3667" t="s">
        <v>3408</v>
      </c>
      <c r="Z15" s="1719" t="s">
        <v>6460</v>
      </c>
      <c r="AA15" s="1721">
        <v>15</v>
      </c>
    </row>
    <row r="16" spans="1:27" ht="13.35" customHeight="1">
      <c r="A16" s="17" t="s">
        <v>952</v>
      </c>
      <c r="B16" s="18">
        <f>MIN(B15*B10,'Part V-Revenues &amp; Expenses'!$H$179)</f>
        <v>5374.08</v>
      </c>
      <c r="C16" s="18">
        <f t="shared" ref="C16:K16" si="2">$B$16*(1+$B$6)^(C14-1)</f>
        <v>5481.5616</v>
      </c>
      <c r="D16" s="18">
        <f t="shared" si="2"/>
        <v>5591.1928319999997</v>
      </c>
      <c r="E16" s="18">
        <f t="shared" si="2"/>
        <v>5703.0166886399993</v>
      </c>
      <c r="F16" s="18">
        <f t="shared" si="2"/>
        <v>5817.0770224128</v>
      </c>
      <c r="G16" s="18">
        <f t="shared" si="2"/>
        <v>5933.4185628610558</v>
      </c>
      <c r="H16" s="18">
        <f t="shared" si="2"/>
        <v>6052.086934118277</v>
      </c>
      <c r="I16" s="18">
        <f t="shared" si="2"/>
        <v>6173.1286728006417</v>
      </c>
      <c r="J16" s="18">
        <f t="shared" si="2"/>
        <v>6296.5912462566548</v>
      </c>
      <c r="K16" s="19">
        <f t="shared" si="2"/>
        <v>6422.5230711817885</v>
      </c>
      <c r="N16" s="3559"/>
      <c r="O16" s="3561"/>
      <c r="S16" s="3668"/>
      <c r="Z16" s="1719" t="s">
        <v>6460</v>
      </c>
      <c r="AA16" s="1721">
        <v>16</v>
      </c>
    </row>
    <row r="17" spans="1:27" ht="13.35" customHeight="1">
      <c r="A17" s="17" t="s">
        <v>2216</v>
      </c>
      <c r="B17" s="18">
        <f t="shared" ref="B17:K17" si="3">-(B15+B16)*$B$9</f>
        <v>-19185.465600000003</v>
      </c>
      <c r="C17" s="18">
        <f t="shared" si="3"/>
        <v>-19569.174912000006</v>
      </c>
      <c r="D17" s="18">
        <f t="shared" si="3"/>
        <v>-19960.558410239999</v>
      </c>
      <c r="E17" s="18">
        <f t="shared" si="3"/>
        <v>-20359.769578444801</v>
      </c>
      <c r="F17" s="18">
        <f t="shared" si="3"/>
        <v>-20766.964970013698</v>
      </c>
      <c r="G17" s="18">
        <f t="shared" si="3"/>
        <v>-21182.304269413969</v>
      </c>
      <c r="H17" s="18">
        <f t="shared" si="3"/>
        <v>-21605.950354802255</v>
      </c>
      <c r="I17" s="18">
        <f t="shared" si="3"/>
        <v>-22038.069361898295</v>
      </c>
      <c r="J17" s="18">
        <f t="shared" si="3"/>
        <v>-22478.830749136261</v>
      </c>
      <c r="K17" s="19">
        <f t="shared" si="3"/>
        <v>-22928.407364118986</v>
      </c>
      <c r="N17" s="3559"/>
      <c r="O17" s="3561"/>
      <c r="Q17" s="3670" t="s">
        <v>3298</v>
      </c>
      <c r="R17" s="3670" t="s">
        <v>3407</v>
      </c>
      <c r="S17" s="366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254892.61440000002</v>
      </c>
      <c r="C20" s="18">
        <f t="shared" ref="C20:K20" si="4">SUM(C15:C19)</f>
        <v>259990.46668800001</v>
      </c>
      <c r="D20" s="18">
        <f t="shared" si="4"/>
        <v>265190.27602175996</v>
      </c>
      <c r="E20" s="18">
        <f t="shared" si="4"/>
        <v>270494.08154219517</v>
      </c>
      <c r="F20" s="18">
        <f t="shared" si="4"/>
        <v>275903.96317303908</v>
      </c>
      <c r="G20" s="18">
        <f t="shared" si="4"/>
        <v>281422.04243649985</v>
      </c>
      <c r="H20" s="18">
        <f t="shared" si="4"/>
        <v>287050.48328522994</v>
      </c>
      <c r="I20" s="18">
        <f t="shared" si="4"/>
        <v>292791.49295093445</v>
      </c>
      <c r="J20" s="18">
        <f t="shared" si="4"/>
        <v>298647.32280995313</v>
      </c>
      <c r="K20" s="19">
        <f t="shared" si="4"/>
        <v>304620.26926615223</v>
      </c>
      <c r="N20" s="3559"/>
      <c r="O20" s="3561"/>
      <c r="Z20" s="1719" t="s">
        <v>6460</v>
      </c>
      <c r="AA20" s="1721">
        <v>20</v>
      </c>
    </row>
    <row r="21" spans="1:27" ht="13.35" customHeight="1">
      <c r="A21" s="17" t="s">
        <v>572</v>
      </c>
      <c r="B21" s="18">
        <f>-('Part V-Revenues &amp; Expenses'!$Q$228-'Part V-Revenues &amp; Expenses'!$Q$220)</f>
        <v>-153569</v>
      </c>
      <c r="C21" s="18">
        <f t="shared" ref="C21:K21" si="5">$B$21*(1+$B$7)^(C14-1)</f>
        <v>-158176.07</v>
      </c>
      <c r="D21" s="18">
        <f t="shared" si="5"/>
        <v>-162921.35209999999</v>
      </c>
      <c r="E21" s="18">
        <f t="shared" si="5"/>
        <v>-167808.99266300001</v>
      </c>
      <c r="F21" s="18">
        <f t="shared" si="5"/>
        <v>-172843.26244288997</v>
      </c>
      <c r="G21" s="18">
        <f t="shared" si="5"/>
        <v>-178028.56031617668</v>
      </c>
      <c r="H21" s="18">
        <f t="shared" si="5"/>
        <v>-183369.41712566197</v>
      </c>
      <c r="I21" s="18">
        <f t="shared" si="5"/>
        <v>-188870.49963943186</v>
      </c>
      <c r="J21" s="18">
        <f t="shared" si="5"/>
        <v>-194536.6146286148</v>
      </c>
      <c r="K21" s="19">
        <f t="shared" si="5"/>
        <v>-200372.71306747323</v>
      </c>
      <c r="N21" s="3559"/>
      <c r="O21" s="3561"/>
      <c r="Q21" s="47">
        <v>1</v>
      </c>
      <c r="R21" s="869">
        <f>-B32</f>
        <v>22516</v>
      </c>
      <c r="S21" s="869">
        <f>B33+R21</f>
        <v>22516.131359060095</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-15294</v>
      </c>
      <c r="C22" s="18">
        <f>IF(AND('Part VI-Pro Forma'!$G$9="Yes",'Part VI-Pro Forma'!$G$10="Yes"),"Choose One!",IF('Part VI-Pro Forma'!$G$9="Yes",ROUND((-$K$9*(1+'Part VI-Pro Forma'!$B$7)^('Part VI-Pro Forma'!C14-1)),),IF('Part VI-Pro Forma'!$G$10="Yes",ROUND((-(SUM(C15:C18)*'Part VI-Pro Forma'!$K$10)),),"Choose mgt fee")))</f>
        <v>-15599</v>
      </c>
      <c r="D22" s="18">
        <f>IF(AND('Part VI-Pro Forma'!$G$9="Yes",'Part VI-Pro Forma'!$G$10="Yes"),"Choose One!",IF('Part VI-Pro Forma'!$G$9="Yes",ROUND((-$K$9*(1+'Part VI-Pro Forma'!$B$7)^('Part VI-Pro Forma'!D14-1)),),IF('Part VI-Pro Forma'!$G$10="Yes",ROUND((-(SUM(D15:D18)*'Part VI-Pro Forma'!$K$10)),),"Choose mgt fee")))</f>
        <v>-15911</v>
      </c>
      <c r="E22" s="18">
        <f>IF(AND('Part VI-Pro Forma'!$G$9="Yes",'Part VI-Pro Forma'!$G$10="Yes"),"Choose One!",IF('Part VI-Pro Forma'!$G$9="Yes",ROUND((-$K$9*(1+'Part VI-Pro Forma'!$B$7)^('Part VI-Pro Forma'!E14-1)),),IF('Part VI-Pro Forma'!$G$10="Yes",ROUND((-(SUM(E15:E18)*'Part VI-Pro Forma'!$K$10)),),"Choose mgt fee")))</f>
        <v>-16230</v>
      </c>
      <c r="F22" s="18">
        <f>IF(AND('Part VI-Pro Forma'!$G$9="Yes",'Part VI-Pro Forma'!$G$10="Yes"),"Choose One!",IF('Part VI-Pro Forma'!$G$9="Yes",ROUND((-$K$9*(1+'Part VI-Pro Forma'!$B$7)^('Part VI-Pro Forma'!F14-1)),),IF('Part VI-Pro Forma'!$G$10="Yes",ROUND((-(SUM(F15:F18)*'Part VI-Pro Forma'!$K$10)),),"Choose mgt fee")))</f>
        <v>-16554</v>
      </c>
      <c r="G22" s="18">
        <f>IF(AND('Part VI-Pro Forma'!$G$9="Yes",'Part VI-Pro Forma'!$G$10="Yes"),"Choose One!",IF('Part VI-Pro Forma'!$G$9="Yes",ROUND((-$K$9*(1+'Part VI-Pro Forma'!$B$7)^('Part VI-Pro Forma'!G14-1)),),IF('Part VI-Pro Forma'!$G$10="Yes",ROUND((-(SUM(G15:G18)*'Part VI-Pro Forma'!$K$10)),),"Choose mgt fee")))</f>
        <v>-16885</v>
      </c>
      <c r="H22" s="18">
        <f>IF(AND('Part VI-Pro Forma'!$G$9="Yes",'Part VI-Pro Forma'!$G$10="Yes"),"Choose One!",IF('Part VI-Pro Forma'!$G$9="Yes",ROUND((-$K$9*(1+'Part VI-Pro Forma'!$B$7)^('Part VI-Pro Forma'!H14-1)),),IF('Part VI-Pro Forma'!$G$10="Yes",ROUND((-(SUM(H15:H18)*'Part VI-Pro Forma'!$K$10)),),"Choose mgt fee")))</f>
        <v>-17223</v>
      </c>
      <c r="I22" s="18">
        <f>IF(AND('Part VI-Pro Forma'!$G$9="Yes",'Part VI-Pro Forma'!$G$10="Yes"),"Choose One!",IF('Part VI-Pro Forma'!$G$9="Yes",ROUND((-$K$9*(1+'Part VI-Pro Forma'!$B$7)^('Part VI-Pro Forma'!I14-1)),),IF('Part VI-Pro Forma'!$G$10="Yes",ROUND((-(SUM(I15:I18)*'Part VI-Pro Forma'!$K$10)),),"Choose mgt fee")))</f>
        <v>-17567</v>
      </c>
      <c r="J22" s="18">
        <f>IF(AND('Part VI-Pro Forma'!$G$9="Yes",'Part VI-Pro Forma'!$G$10="Yes"),"Choose One!",IF('Part VI-Pro Forma'!$G$9="Yes",ROUND((-$K$9*(1+'Part VI-Pro Forma'!$B$7)^('Part VI-Pro Forma'!J14-1)),),IF('Part VI-Pro Forma'!$G$10="Yes",ROUND((-(SUM(J15:J18)*'Part VI-Pro Forma'!$K$10)),),"Choose mgt fee")))</f>
        <v>-17919</v>
      </c>
      <c r="K22" s="19">
        <f>IF(AND('Part VI-Pro Forma'!$G$9="Yes",'Part VI-Pro Forma'!$G$10="Yes"),"Choose One!",IF('Part VI-Pro Forma'!$G$9="Yes",ROUND((-$K$9*(1+'Part VI-Pro Forma'!$B$7)^('Part VI-Pro Forma'!K14-1)),),IF('Part VI-Pro Forma'!$G$10="Yes",ROUND((-(SUM(K15:K18)*'Part VI-Pro Forma'!$K$10)),),"Choose mgt fee")))</f>
        <v>-18277</v>
      </c>
      <c r="N22" s="3559"/>
      <c r="O22" s="3561"/>
      <c r="Q22" s="47">
        <v>2</v>
      </c>
      <c r="R22" s="869">
        <f>-SUM(B32:C32)</f>
        <v>44766</v>
      </c>
      <c r="S22" s="869">
        <f>SUM(B33:C33)+R22</f>
        <v>44766.545006120177</v>
      </c>
      <c r="Z22" s="1719" t="s">
        <v>6460</v>
      </c>
      <c r="AA22" s="1721">
        <v>22</v>
      </c>
    </row>
    <row r="23" spans="1:27" ht="13.35" customHeight="1">
      <c r="A23" s="17" t="s">
        <v>1128</v>
      </c>
      <c r="B23" s="18">
        <f>-('Part V-Revenues &amp; Expenses'!$Q$234)</f>
        <v>-15050</v>
      </c>
      <c r="C23" s="18">
        <f t="shared" ref="C23:K23" si="6">$B$23*(1+$B$8)^(C14-1)</f>
        <v>-15501.5</v>
      </c>
      <c r="D23" s="18">
        <f t="shared" si="6"/>
        <v>-15966.545</v>
      </c>
      <c r="E23" s="18">
        <f t="shared" si="6"/>
        <v>-16445.54135</v>
      </c>
      <c r="F23" s="18">
        <f t="shared" si="6"/>
        <v>-16938.907590499999</v>
      </c>
      <c r="G23" s="18">
        <f t="shared" si="6"/>
        <v>-17447.074818214998</v>
      </c>
      <c r="H23" s="18">
        <f t="shared" si="6"/>
        <v>-17970.487062761447</v>
      </c>
      <c r="I23" s="18">
        <f t="shared" si="6"/>
        <v>-18509.601674644295</v>
      </c>
      <c r="J23" s="18">
        <f t="shared" si="6"/>
        <v>-19064.889724883618</v>
      </c>
      <c r="K23" s="19">
        <f t="shared" si="6"/>
        <v>-19636.836416630129</v>
      </c>
      <c r="N23" s="3559"/>
      <c r="O23" s="3561"/>
      <c r="Q23" s="47">
        <v>3</v>
      </c>
      <c r="R23" s="869">
        <f>-SUM(B32:D32)</f>
        <v>64442</v>
      </c>
      <c r="S23" s="869">
        <f>SUM(B33:D33)+R23</f>
        <v>66694.440886940225</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64442</v>
      </c>
      <c r="S24" s="869">
        <f>SUM(B33:E33)+R24</f>
        <v>88240.505375195455</v>
      </c>
      <c r="Z24" s="1719" t="s">
        <v>6460</v>
      </c>
      <c r="AA24" s="1721">
        <v>24</v>
      </c>
    </row>
    <row r="25" spans="1:27" ht="13.35" customHeight="1">
      <c r="A25" s="17" t="s">
        <v>1129</v>
      </c>
      <c r="B25" s="18">
        <f>SUM(B20:B24)</f>
        <v>70979.61440000002</v>
      </c>
      <c r="C25" s="18">
        <f t="shared" ref="C25:J25" si="7">SUM(C20:C24)</f>
        <v>70713.896688000008</v>
      </c>
      <c r="D25" s="18">
        <f t="shared" si="7"/>
        <v>70391.37892175997</v>
      </c>
      <c r="E25" s="18">
        <f t="shared" si="7"/>
        <v>70009.547529195159</v>
      </c>
      <c r="F25" s="18">
        <f t="shared" si="7"/>
        <v>69567.793139649119</v>
      </c>
      <c r="G25" s="18">
        <f t="shared" si="7"/>
        <v>69061.407302108171</v>
      </c>
      <c r="H25" s="18">
        <f t="shared" si="7"/>
        <v>68487.579096806527</v>
      </c>
      <c r="I25" s="18">
        <f t="shared" si="7"/>
        <v>67844.391636858301</v>
      </c>
      <c r="J25" s="18">
        <f t="shared" si="7"/>
        <v>67126.818456454712</v>
      </c>
      <c r="K25" s="1215">
        <f>SUM(K20:K24)</f>
        <v>66333.719782048865</v>
      </c>
      <c r="N25" s="3559"/>
      <c r="O25" s="3561"/>
      <c r="Q25" s="92">
        <v>5</v>
      </c>
      <c r="R25" s="869">
        <f>-SUM(B32:F32)</f>
        <v>64442</v>
      </c>
      <c r="S25" s="869">
        <f>SUM(B33:F33)+R25</f>
        <v>109344.81547390464</v>
      </c>
      <c r="Z25" s="1719" t="s">
        <v>6460</v>
      </c>
      <c r="AA25" s="1721">
        <v>25</v>
      </c>
    </row>
    <row r="26" spans="1:27" ht="13.35" customHeight="1">
      <c r="A26" s="341" t="s">
        <v>1486</v>
      </c>
      <c r="B26" s="342">
        <f>IF('Part II-Sources of Funds'!$P$40="", 0,-'Part II-Sources of Funds'!$P$40)</f>
        <v>-21829.469948534566</v>
      </c>
      <c r="C26" s="342">
        <f>IF('Part II-Sources of Funds'!$P$40="", 0,-'Part II-Sources of Funds'!$P$40)</f>
        <v>-21829.469948534566</v>
      </c>
      <c r="D26" s="342">
        <f>IF('Part II-Sources of Funds'!$P$40="", 0,-'Part II-Sources of Funds'!$P$40)</f>
        <v>-21829.469948534566</v>
      </c>
      <c r="E26" s="342">
        <f>IF('Part II-Sources of Funds'!$P$40="", 0,-'Part II-Sources of Funds'!$P$40)</f>
        <v>-21829.469948534566</v>
      </c>
      <c r="F26" s="342">
        <f>IF('Part II-Sources of Funds'!$P$40="", 0,-'Part II-Sources of Funds'!$P$40)</f>
        <v>-21829.469948534566</v>
      </c>
      <c r="G26" s="342">
        <f>IF('Part II-Sources of Funds'!$P$40="", 0,-'Part II-Sources of Funds'!$P$40)</f>
        <v>-21829.469948534566</v>
      </c>
      <c r="H26" s="342">
        <f>IF('Part II-Sources of Funds'!$P$40="", 0,-'Part II-Sources of Funds'!$P$40)</f>
        <v>-21829.469948534566</v>
      </c>
      <c r="I26" s="342">
        <f>IF('Part II-Sources of Funds'!$P$40="", 0,-'Part II-Sources of Funds'!$P$40)</f>
        <v>-21829.469948534566</v>
      </c>
      <c r="J26" s="342">
        <f>IF('Part II-Sources of Funds'!$P$40="", 0,-'Part II-Sources of Funds'!$P$40)</f>
        <v>-21829.469948534566</v>
      </c>
      <c r="K26" s="342">
        <f>IF('Part II-Sources of Funds'!$P$40="", 0,-'Part II-Sources of Funds'!$P$40)</f>
        <v>-21829.469948534566</v>
      </c>
      <c r="N26" s="3559"/>
      <c r="O26" s="3561"/>
      <c r="Q26" s="92">
        <v>6</v>
      </c>
      <c r="R26" s="869">
        <f>-SUM(B32:G32)</f>
        <v>64442</v>
      </c>
      <c r="S26" s="869">
        <f>SUM(B33:G33)+R26</f>
        <v>129942.73973507289</v>
      </c>
      <c r="Z26" s="1719" t="s">
        <v>6460</v>
      </c>
      <c r="AA26" s="1721">
        <v>26</v>
      </c>
    </row>
    <row r="27" spans="1:27" ht="13.35" customHeight="1">
      <c r="A27" s="341" t="s">
        <v>1487</v>
      </c>
      <c r="B27" s="178">
        <f>IF('Part II-Sources of Funds'!$P$41="", 0,-'Part II-Sources of Funds'!$P$41)</f>
        <v>-23634.013092405363</v>
      </c>
      <c r="C27" s="178">
        <f>IF('Part II-Sources of Funds'!$P$41="", 0,-'Part II-Sources of Funds'!$P$41)</f>
        <v>-23634.013092405363</v>
      </c>
      <c r="D27" s="178">
        <f>IF('Part II-Sources of Funds'!$P$41="", 0,-'Part II-Sources of Funds'!$P$41)</f>
        <v>-23634.013092405363</v>
      </c>
      <c r="E27" s="178">
        <f>IF('Part II-Sources of Funds'!$P$41="", 0,-'Part II-Sources of Funds'!$P$41)</f>
        <v>-23634.013092405363</v>
      </c>
      <c r="F27" s="178">
        <f>IF('Part II-Sources of Funds'!$P$41="", 0,-'Part II-Sources of Funds'!$P$41)</f>
        <v>-23634.013092405363</v>
      </c>
      <c r="G27" s="178">
        <f>IF('Part II-Sources of Funds'!$P$41="", 0,-'Part II-Sources of Funds'!$P$41)</f>
        <v>-23634.013092405363</v>
      </c>
      <c r="H27" s="178">
        <f>IF('Part II-Sources of Funds'!$P$41="", 0,-'Part II-Sources of Funds'!$P$41)</f>
        <v>-23634.013092405363</v>
      </c>
      <c r="I27" s="178">
        <f>IF('Part II-Sources of Funds'!$P$41="", 0,-'Part II-Sources of Funds'!$P$41)</f>
        <v>-23634.013092405363</v>
      </c>
      <c r="J27" s="178">
        <f>IF('Part II-Sources of Funds'!$P$41="", 0,-'Part II-Sources of Funds'!$P$41)</f>
        <v>-23634.013092405363</v>
      </c>
      <c r="K27" s="178">
        <f>IF('Part II-Sources of Funds'!$P$41="", 0,-'Part II-Sources of Funds'!$P$41)</f>
        <v>-23634.013092405363</v>
      </c>
      <c r="N27" s="3559"/>
      <c r="O27" s="3561"/>
      <c r="Q27" s="92">
        <v>7</v>
      </c>
      <c r="R27" s="869">
        <f>-SUM(B32:H32)</f>
        <v>64442</v>
      </c>
      <c r="S27" s="869">
        <f>SUM(B33:H33)+R27</f>
        <v>149966.83579093948</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64442</v>
      </c>
      <c r="S28" s="869">
        <f>SUM(B33:I33)+R28</f>
        <v>169347.74438685784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64442</v>
      </c>
      <c r="S29" s="869">
        <f>SUM(B33:J33)+R29</f>
        <v>188011.07980237264</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64442</v>
      </c>
      <c r="S30" s="869">
        <f>SUM(B33:K33)+R30</f>
        <v>205881.31654348157</v>
      </c>
      <c r="Z30" s="1719" t="s">
        <v>6460</v>
      </c>
      <c r="AA30" s="1721">
        <v>30</v>
      </c>
    </row>
    <row r="31" spans="1:27" ht="13.35" customHeight="1">
      <c r="A31" s="341" t="s">
        <v>1095</v>
      </c>
      <c r="B31" s="907">
        <f>-$G$6</f>
        <v>-3000</v>
      </c>
      <c r="C31" s="907">
        <f t="shared" ref="C31:K31" si="8">+B31</f>
        <v>-3000</v>
      </c>
      <c r="D31" s="907">
        <f t="shared" si="8"/>
        <v>-3000</v>
      </c>
      <c r="E31" s="907">
        <f>+D31</f>
        <v>-3000</v>
      </c>
      <c r="F31" s="907">
        <f t="shared" si="8"/>
        <v>-3000</v>
      </c>
      <c r="G31" s="907">
        <f t="shared" si="8"/>
        <v>-3000</v>
      </c>
      <c r="H31" s="907">
        <f t="shared" si="8"/>
        <v>-3000</v>
      </c>
      <c r="I31" s="907">
        <f t="shared" si="8"/>
        <v>-3000</v>
      </c>
      <c r="J31" s="907">
        <f t="shared" si="8"/>
        <v>-3000</v>
      </c>
      <c r="K31" s="907">
        <f t="shared" si="8"/>
        <v>-3000</v>
      </c>
      <c r="N31" s="3559"/>
      <c r="O31" s="3561"/>
      <c r="Q31" s="92">
        <v>11</v>
      </c>
      <c r="R31" s="869">
        <f>-SUM(B32:K32)-B64</f>
        <v>64442</v>
      </c>
      <c r="S31" s="869">
        <f>SUM(B33:K33)+B65+R31</f>
        <v>222877.67218539046</v>
      </c>
      <c r="Z31" s="1719" t="s">
        <v>6460</v>
      </c>
      <c r="AA31" s="1721">
        <v>31</v>
      </c>
    </row>
    <row r="32" spans="1:27" ht="13.35" customHeight="1">
      <c r="A32" s="341" t="s">
        <v>3361</v>
      </c>
      <c r="B32" s="179">
        <v>-22516</v>
      </c>
      <c r="C32" s="179">
        <v>-22250</v>
      </c>
      <c r="D32" s="179">
        <v>-19676</v>
      </c>
      <c r="E32" s="179"/>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64442</v>
      </c>
      <c r="S32" s="869">
        <f>SUM(B33:K33) + SUM(B65:C65)+R32</f>
        <v>238916.98624126997</v>
      </c>
      <c r="Z32" s="1719" t="s">
        <v>6460</v>
      </c>
      <c r="AA32" s="1721">
        <v>32</v>
      </c>
    </row>
    <row r="33" spans="1:27" ht="13.35" customHeight="1">
      <c r="A33" s="17" t="s">
        <v>1096</v>
      </c>
      <c r="B33" s="18">
        <f t="shared" ref="B33:K33" si="9">SUM(B25:B32)</f>
        <v>0.13135906009483733</v>
      </c>
      <c r="C33" s="18">
        <f t="shared" si="9"/>
        <v>0.41364706008243957</v>
      </c>
      <c r="D33" s="18">
        <f t="shared" si="9"/>
        <v>2251.8958808200441</v>
      </c>
      <c r="E33" s="18">
        <f t="shared" si="9"/>
        <v>21546.064488255233</v>
      </c>
      <c r="F33" s="18">
        <f t="shared" si="9"/>
        <v>21104.310098709193</v>
      </c>
      <c r="G33" s="18">
        <f t="shared" si="9"/>
        <v>20597.924261168246</v>
      </c>
      <c r="H33" s="18">
        <f t="shared" si="9"/>
        <v>20024.096055866601</v>
      </c>
      <c r="I33" s="18">
        <f t="shared" si="9"/>
        <v>19380.908595918376</v>
      </c>
      <c r="J33" s="18">
        <f t="shared" si="9"/>
        <v>18663.335415514786</v>
      </c>
      <c r="K33" s="19">
        <f t="shared" si="9"/>
        <v>17870.23674110894</v>
      </c>
      <c r="N33" s="3559"/>
      <c r="O33" s="3561"/>
      <c r="Q33" s="92">
        <v>13</v>
      </c>
      <c r="R33" s="869">
        <f>-SUM(B32:K32) - SUM(B64:D64)</f>
        <v>64442</v>
      </c>
      <c r="S33" s="869">
        <f>SUM(B33:K33) + SUM(B65:D65)+R33</f>
        <v>253912.59492860909</v>
      </c>
      <c r="Z33" s="1719" t="s">
        <v>6460</v>
      </c>
      <c r="AA33" s="1721">
        <v>33</v>
      </c>
    </row>
    <row r="34" spans="1:27" ht="13.35" customHeight="1">
      <c r="A34" s="17" t="str">
        <f>IF('Part II-Sources of Funds'!$E$40 = "Neither", "", "DCR Mortgage A")</f>
        <v>DCR Mortgage A</v>
      </c>
      <c r="B34" s="20">
        <f t="shared" ref="B34:K34" si="10">IF(B26=0,"",-B25/B26)</f>
        <v>3.2515500636223624</v>
      </c>
      <c r="C34" s="20">
        <f t="shared" si="10"/>
        <v>3.2393776328383597</v>
      </c>
      <c r="D34" s="20">
        <f t="shared" si="10"/>
        <v>3.2246032124332644</v>
      </c>
      <c r="E34" s="20">
        <f t="shared" si="10"/>
        <v>3.2071116565931539</v>
      </c>
      <c r="F34" s="20">
        <f t="shared" si="10"/>
        <v>3.1868750502720875</v>
      </c>
      <c r="G34" s="20">
        <f t="shared" si="10"/>
        <v>3.1636777010586248</v>
      </c>
      <c r="H34" s="20">
        <f t="shared" si="10"/>
        <v>3.1373908417507943</v>
      </c>
      <c r="I34" s="20">
        <f t="shared" si="10"/>
        <v>3.1079266604644591</v>
      </c>
      <c r="J34" s="20">
        <f t="shared" si="10"/>
        <v>3.0750548966472273</v>
      </c>
      <c r="K34" s="21">
        <f t="shared" si="10"/>
        <v>3.0387233376915739</v>
      </c>
      <c r="N34" s="3559"/>
      <c r="O34" s="3561"/>
      <c r="Q34" s="92">
        <v>14</v>
      </c>
      <c r="R34" s="869">
        <f>-SUM(B32:K32) - SUM(B64:E64)</f>
        <v>64442</v>
      </c>
      <c r="S34" s="869">
        <f>SUM(B33:K33) + SUM(B65:E65)+R34</f>
        <v>267773.20170072262</v>
      </c>
      <c r="Z34" s="1719" t="s">
        <v>6460</v>
      </c>
      <c r="AA34" s="1721">
        <v>34</v>
      </c>
    </row>
    <row r="35" spans="1:27" ht="13.35" customHeight="1">
      <c r="A35" s="17" t="str">
        <f>IF('Part II-Sources of Funds'!$E$40 = "Neither", "", "DCR Mortgage B")</f>
        <v>DCR Mortgage B</v>
      </c>
      <c r="B35" s="20">
        <f t="shared" ref="B35:K35" si="11">IF(B27=0,"",-(B25+B26)/B27)</f>
        <v>2.079636000001182</v>
      </c>
      <c r="C35" s="20">
        <f t="shared" si="11"/>
        <v>2.0683929787266702</v>
      </c>
      <c r="D35" s="20">
        <f t="shared" si="11"/>
        <v>2.0547466392337093</v>
      </c>
      <c r="E35" s="20">
        <f t="shared" si="11"/>
        <v>2.0385906275114554</v>
      </c>
      <c r="F35" s="20">
        <f t="shared" si="11"/>
        <v>2.0198991599295915</v>
      </c>
      <c r="G35" s="20">
        <f t="shared" si="11"/>
        <v>1.9984730129793864</v>
      </c>
      <c r="H35" s="20">
        <f t="shared" si="11"/>
        <v>1.9741932513046312</v>
      </c>
      <c r="I35" s="20">
        <f t="shared" si="11"/>
        <v>1.9469787677789827</v>
      </c>
      <c r="J35" s="20">
        <f t="shared" si="11"/>
        <v>1.9166168830834811</v>
      </c>
      <c r="K35" s="21">
        <f t="shared" si="11"/>
        <v>1.883059371233718</v>
      </c>
      <c r="N35" s="3559"/>
      <c r="O35" s="3561"/>
      <c r="Q35" s="92">
        <v>15</v>
      </c>
      <c r="R35" s="869">
        <f>-SUM(B32:K32) - SUM(B64:F64)</f>
        <v>64442</v>
      </c>
      <c r="S35" s="869">
        <f>SUM(B33:K33) + SUM(B65:F65)+R35</f>
        <v>280403.74340681231</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64442</v>
      </c>
      <c r="S36" s="869">
        <f>SUM(B33:K33) + SUM(B65:G65)+R36</f>
        <v>291706.2519396891</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64442</v>
      </c>
      <c r="S37" s="869">
        <f>SUM(B33:K33) + SUM(B65:H65)+R37</f>
        <v>301576.71122584434</v>
      </c>
      <c r="Z37" s="1719" t="s">
        <v>6460</v>
      </c>
      <c r="AA37" s="1721">
        <v>37</v>
      </c>
    </row>
    <row r="38" spans="1:27" ht="13.35" customHeight="1">
      <c r="A38" s="341" t="s">
        <v>3213</v>
      </c>
      <c r="B38" s="20">
        <f t="shared" ref="B38:K38" si="14">IF(AND(B26=0,B27=0,B28=0,B29=0),"",-B25/(B26+B27+B28+B29))</f>
        <v>1.5612445341260541</v>
      </c>
      <c r="C38" s="20">
        <f t="shared" si="14"/>
        <v>1.5553998936755911</v>
      </c>
      <c r="D38" s="20">
        <f t="shared" si="14"/>
        <v>1.5483058976887547</v>
      </c>
      <c r="E38" s="20">
        <f t="shared" si="14"/>
        <v>1.5399072584507321</v>
      </c>
      <c r="F38" s="20">
        <f t="shared" si="14"/>
        <v>1.5301905724425739</v>
      </c>
      <c r="G38" s="20">
        <f t="shared" si="14"/>
        <v>1.5190522741057537</v>
      </c>
      <c r="H38" s="20">
        <f t="shared" si="14"/>
        <v>1.5064305353624878</v>
      </c>
      <c r="I38" s="20">
        <f t="shared" si="14"/>
        <v>1.4922831929917102</v>
      </c>
      <c r="J38" s="20">
        <f t="shared" si="14"/>
        <v>1.4764996864847975</v>
      </c>
      <c r="K38" s="21">
        <f t="shared" si="14"/>
        <v>1.4590549457531721</v>
      </c>
      <c r="N38" s="3559"/>
      <c r="O38" s="3561"/>
      <c r="Q38" s="47">
        <v>18</v>
      </c>
      <c r="R38" s="869">
        <f>-SUM(B32:K32) - SUM(B64:I64)</f>
        <v>64442</v>
      </c>
      <c r="S38" s="869">
        <f>SUM(B33:K33) + SUM(B65:I65)+R38</f>
        <v>309907.90940799745</v>
      </c>
      <c r="Z38" s="1719" t="s">
        <v>6460</v>
      </c>
      <c r="AA38" s="1721">
        <v>38</v>
      </c>
    </row>
    <row r="39" spans="1:27" ht="13.35" customHeight="1">
      <c r="A39" s="17" t="s">
        <v>718</v>
      </c>
      <c r="B39" s="220">
        <f t="shared" ref="B39:K39" si="15">IF(OR(B22="Choose mgt fee",B22="Choose One!"),"",(B15+B16+B17+B18+B19) / -(B21+B22+B23))</f>
        <v>1.3859412570073895</v>
      </c>
      <c r="C39" s="220">
        <f t="shared" si="15"/>
        <v>1.3736008988751223</v>
      </c>
      <c r="D39" s="220">
        <f t="shared" si="15"/>
        <v>1.361354093733008</v>
      </c>
      <c r="E39" s="220">
        <f t="shared" si="15"/>
        <v>1.3492017370509763</v>
      </c>
      <c r="F39" s="220">
        <f t="shared" si="15"/>
        <v>1.3371575285534836</v>
      </c>
      <c r="G39" s="220">
        <f t="shared" si="15"/>
        <v>1.3252081406631833</v>
      </c>
      <c r="H39" s="220">
        <f t="shared" si="15"/>
        <v>1.3133540860976265</v>
      </c>
      <c r="I39" s="220">
        <f t="shared" si="15"/>
        <v>1.3016015376083128</v>
      </c>
      <c r="J39" s="220">
        <f t="shared" si="15"/>
        <v>1.2899389781648096</v>
      </c>
      <c r="K39" s="221">
        <f t="shared" si="15"/>
        <v>1.2783779442258201</v>
      </c>
      <c r="N39" s="3559"/>
      <c r="O39" s="3561"/>
      <c r="Q39" s="92">
        <v>19</v>
      </c>
      <c r="R39" s="869">
        <f>-SUM(B32:K32) - SUM(B64:J64)</f>
        <v>64442</v>
      </c>
      <c r="S39" s="869">
        <f>SUM(B33:K33) + SUM(B65:J65)+R39</f>
        <v>316588.28606555203</v>
      </c>
      <c r="Z39" s="1719" t="s">
        <v>6460</v>
      </c>
      <c r="AA39" s="1721">
        <v>39</v>
      </c>
    </row>
    <row r="40" spans="1:27" ht="13.35" customHeight="1">
      <c r="A40" s="341" t="s">
        <v>2405</v>
      </c>
      <c r="B40" s="177">
        <f>IF('Part II-Sources of Funds'!$I$40="","",-FV('Part II-Sources of Funds'!$K$40/12,12,B26/12,'Part II-Sources of Funds'!$I$40))</f>
        <v>845343.13404880872</v>
      </c>
      <c r="C40" s="177">
        <f>IF('Part II-Sources of Funds'!$I$40="","",-FV('Part II-Sources of Funds'!$K$40/12,12,C26/12,B40))</f>
        <v>831905.6179806235</v>
      </c>
      <c r="D40" s="177">
        <f>IF('Part II-Sources of Funds'!$I$40="","",-FV('Part II-Sources of Funds'!$K$40/12,12,D26/12,C40))</f>
        <v>818333.10915159644</v>
      </c>
      <c r="E40" s="177">
        <f>IF('Part II-Sources of Funds'!$I$40="","",-FV('Part II-Sources of Funds'!$K$40/12,12,E26/12,D40))</f>
        <v>804624.25142973196</v>
      </c>
      <c r="F40" s="177">
        <f>IF('Part II-Sources of Funds'!$I$40="","",-FV('Part II-Sources of Funds'!$K$40/12,12,F26/12,E40))</f>
        <v>790777.67505938571</v>
      </c>
      <c r="G40" s="177">
        <f>IF('Part II-Sources of Funds'!$I$40="","",-FV('Part II-Sources of Funds'!$K$40/12,12,G26/12,F40))</f>
        <v>776791.99652440159</v>
      </c>
      <c r="H40" s="177">
        <f>IF('Part II-Sources of Funds'!$I$40="","",-FV('Part II-Sources of Funds'!$K$40/12,12,H26/12,G40))</f>
        <v>762665.81840987434</v>
      </c>
      <c r="I40" s="177">
        <f>IF('Part II-Sources of Funds'!$I$40="","",-FV('Part II-Sources of Funds'!$K$40/12,12,I26/12,H40))</f>
        <v>748397.72926252324</v>
      </c>
      <c r="J40" s="177">
        <f>IF('Part II-Sources of Funds'!$I$40="","",-FV('Part II-Sources of Funds'!$K$40/12,12,J26/12,I40))</f>
        <v>733986.3034496631</v>
      </c>
      <c r="K40" s="177">
        <f>IF('Part II-Sources of Funds'!$I$40="","",-FV('Part II-Sources of Funds'!$K$40/12,12,K26/12,J40))</f>
        <v>719430.10101675848</v>
      </c>
      <c r="N40" s="3559"/>
      <c r="O40" s="3561"/>
      <c r="Q40" s="92">
        <v>20</v>
      </c>
      <c r="R40" s="869">
        <f>-SUM(B32:K32) - SUM(B64:K64)</f>
        <v>64442</v>
      </c>
      <c r="S40" s="869">
        <f>SUM(B33:K33) + SUM(B65:K65)+R40</f>
        <v>321500.77431354445</v>
      </c>
      <c r="Z40" s="1719" t="s">
        <v>6460</v>
      </c>
      <c r="AA40" s="1721">
        <v>40</v>
      </c>
    </row>
    <row r="41" spans="1:27" ht="13.35" customHeight="1">
      <c r="A41" s="341" t="s">
        <v>2406</v>
      </c>
      <c r="B41" s="178">
        <f>IF('Part II-Sources of Funds'!$I$41="","",-FV('Part II-Sources of Funds'!$K$41/12,12,B27/12,'Part II-Sources of Funds'!$I$41))</f>
        <v>421970.17536931526</v>
      </c>
      <c r="C41" s="178">
        <f>IF('Part II-Sources of Funds'!$I$41="","",-FV('Part II-Sources of Funds'!$K$41/12,12,C27/12,B41))</f>
        <v>413641.47865823674</v>
      </c>
      <c r="D41" s="178">
        <f>IF('Part II-Sources of Funds'!$I$41="","",-FV('Part II-Sources of Funds'!$K$41/12,12,D27/12,C41))</f>
        <v>405002.78577320738</v>
      </c>
      <c r="E41" s="178">
        <f>IF('Part II-Sources of Funds'!$I$41="","",-FV('Part II-Sources of Funds'!$K$41/12,12,E27/12,D41))</f>
        <v>396042.55857912655</v>
      </c>
      <c r="F41" s="178">
        <f>IF('Part II-Sources of Funds'!$I$41="","",-FV('Part II-Sources of Funds'!$K$41/12,12,F27/12,E41))</f>
        <v>386748.82948862045</v>
      </c>
      <c r="G41" s="178">
        <f>IF('Part II-Sources of Funds'!$I$41="","",-FV('Part II-Sources of Funds'!$K$41/12,12,G27/12,F41))</f>
        <v>377109.18547772104</v>
      </c>
      <c r="H41" s="178">
        <f>IF('Part II-Sources of Funds'!$I$41="","",-FV('Part II-Sources of Funds'!$K$41/12,12,H27/12,G41))</f>
        <v>367110.75150660466</v>
      </c>
      <c r="I41" s="178">
        <f>IF('Part II-Sources of Funds'!$I$41="","",-FV('Part II-Sources of Funds'!$K$41/12,12,I27/12,H41))</f>
        <v>356740.1733232463</v>
      </c>
      <c r="J41" s="178">
        <f>IF('Part II-Sources of Funds'!$I$41="","",-FV('Part II-Sources of Funds'!$K$41/12,12,J27/12,I41))</f>
        <v>345983.59962702176</v>
      </c>
      <c r="K41" s="178">
        <f>IF('Part II-Sources of Funds'!$I$41="","",-FV('Part II-Sources of Funds'!$K$41/12,12,K27/12,J41))</f>
        <v>334826.66356843448</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v>41926</v>
      </c>
      <c r="C44" s="179">
        <f>IF('Part II-Sources of Funds'!$I$45="","",IF(-FV('Part II-Sources of Funds'!$K$45/12,12,C32/12,B44)&gt;0,-FV('Part II-Sources of Funds'!$K$45/12,12,C32/12,B44),0))</f>
        <v>19676</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327548.67663027119</v>
      </c>
      <c r="C47" s="15">
        <f t="shared" si="17"/>
        <v>334099.65016287658</v>
      </c>
      <c r="D47" s="15">
        <f t="shared" si="17"/>
        <v>340781.64316613419</v>
      </c>
      <c r="E47" s="15">
        <f t="shared" si="17"/>
        <v>347597.27602945681</v>
      </c>
      <c r="F47" s="15">
        <f t="shared" si="17"/>
        <v>354549.221550046</v>
      </c>
      <c r="G47" s="15">
        <f t="shared" si="17"/>
        <v>361640.20598104683</v>
      </c>
      <c r="H47" s="15">
        <f t="shared" si="17"/>
        <v>368873.01010066783</v>
      </c>
      <c r="I47" s="15">
        <f t="shared" si="17"/>
        <v>376250.47030268121</v>
      </c>
      <c r="J47" s="15">
        <f t="shared" si="17"/>
        <v>383775.47970873478</v>
      </c>
      <c r="K47" s="16">
        <f t="shared" si="17"/>
        <v>391450.98930290947</v>
      </c>
      <c r="N47" s="3562"/>
      <c r="O47" s="3564"/>
      <c r="Z47" s="1719" t="s">
        <v>6461</v>
      </c>
      <c r="AA47" s="1721">
        <v>47</v>
      </c>
    </row>
    <row r="48" spans="1:27" ht="13.35" customHeight="1">
      <c r="A48" s="17" t="s">
        <v>952</v>
      </c>
      <c r="B48" s="18">
        <f t="shared" ref="B48:K48" si="18">$B$16*(1+$B$6)^(B46-1)</f>
        <v>6550.9735326054242</v>
      </c>
      <c r="C48" s="18">
        <f t="shared" si="18"/>
        <v>6681.9930032575312</v>
      </c>
      <c r="D48" s="18">
        <f t="shared" si="18"/>
        <v>6815.6328633226831</v>
      </c>
      <c r="E48" s="18">
        <f t="shared" si="18"/>
        <v>6951.9455205891363</v>
      </c>
      <c r="F48" s="18">
        <f t="shared" si="18"/>
        <v>7090.9844310009203</v>
      </c>
      <c r="G48" s="18">
        <f t="shared" si="18"/>
        <v>7232.804119620936</v>
      </c>
      <c r="H48" s="18">
        <f t="shared" si="18"/>
        <v>7377.4602020133561</v>
      </c>
      <c r="I48" s="18">
        <f t="shared" si="18"/>
        <v>7525.0094060536239</v>
      </c>
      <c r="J48" s="18">
        <f t="shared" si="18"/>
        <v>7675.5095941746958</v>
      </c>
      <c r="K48" s="19">
        <f t="shared" si="18"/>
        <v>7829.0197860581893</v>
      </c>
      <c r="N48" s="3559"/>
      <c r="O48" s="3561"/>
      <c r="Z48" s="1719" t="s">
        <v>6461</v>
      </c>
      <c r="AA48" s="1721">
        <v>48</v>
      </c>
    </row>
    <row r="49" spans="1:27" ht="13.35" customHeight="1">
      <c r="A49" s="17" t="s">
        <v>2216</v>
      </c>
      <c r="B49" s="18">
        <f t="shared" ref="B49:K49" si="19">-(B47+B48)*$B$9</f>
        <v>-23386.975511401368</v>
      </c>
      <c r="C49" s="18">
        <f t="shared" si="19"/>
        <v>-23854.715021629392</v>
      </c>
      <c r="D49" s="18">
        <f t="shared" si="19"/>
        <v>-24331.809322061985</v>
      </c>
      <c r="E49" s="18">
        <f t="shared" si="19"/>
        <v>-24818.445508503217</v>
      </c>
      <c r="F49" s="18">
        <f t="shared" si="19"/>
        <v>-25314.814418673286</v>
      </c>
      <c r="G49" s="18">
        <f t="shared" si="19"/>
        <v>-25821.110707046748</v>
      </c>
      <c r="H49" s="18">
        <f t="shared" si="19"/>
        <v>-26337.532921187685</v>
      </c>
      <c r="I49" s="18">
        <f t="shared" si="19"/>
        <v>-26864.283579611441</v>
      </c>
      <c r="J49" s="18">
        <f t="shared" si="19"/>
        <v>-27401.569251203666</v>
      </c>
      <c r="K49" s="19">
        <f t="shared" si="19"/>
        <v>-27949.600636227737</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310712.67465147527</v>
      </c>
      <c r="C52" s="18">
        <f t="shared" si="20"/>
        <v>316926.92814450472</v>
      </c>
      <c r="D52" s="18">
        <f t="shared" si="20"/>
        <v>323265.46670739487</v>
      </c>
      <c r="E52" s="18">
        <f t="shared" si="20"/>
        <v>329730.7760415427</v>
      </c>
      <c r="F52" s="18">
        <f t="shared" si="20"/>
        <v>336325.39156237361</v>
      </c>
      <c r="G52" s="18">
        <f t="shared" si="20"/>
        <v>343051.89939362102</v>
      </c>
      <c r="H52" s="18">
        <f t="shared" si="20"/>
        <v>349912.93738149351</v>
      </c>
      <c r="I52" s="18">
        <f t="shared" si="20"/>
        <v>356911.19612912339</v>
      </c>
      <c r="J52" s="18">
        <f t="shared" si="20"/>
        <v>364049.42005170579</v>
      </c>
      <c r="K52" s="19">
        <f t="shared" si="20"/>
        <v>371330.40845273988</v>
      </c>
      <c r="N52" s="3559"/>
      <c r="O52" s="3561"/>
      <c r="Z52" s="1719" t="s">
        <v>6461</v>
      </c>
      <c r="AA52" s="1721">
        <v>52</v>
      </c>
    </row>
    <row r="53" spans="1:27" ht="13.35" customHeight="1">
      <c r="A53" s="17" t="s">
        <v>572</v>
      </c>
      <c r="B53" s="18">
        <f t="shared" ref="B53:K53" si="21">$B$21*(1+$B$7)^(B46-1)</f>
        <v>-206383.89445949745</v>
      </c>
      <c r="C53" s="18">
        <f t="shared" si="21"/>
        <v>-212575.41129328238</v>
      </c>
      <c r="D53" s="18">
        <f t="shared" si="21"/>
        <v>-218952.67363208081</v>
      </c>
      <c r="E53" s="18">
        <f t="shared" si="21"/>
        <v>-225521.25384104322</v>
      </c>
      <c r="F53" s="18">
        <f t="shared" si="21"/>
        <v>-232286.89145627455</v>
      </c>
      <c r="G53" s="18">
        <f t="shared" si="21"/>
        <v>-239255.49819996281</v>
      </c>
      <c r="H53" s="18">
        <f t="shared" si="21"/>
        <v>-246433.16314596162</v>
      </c>
      <c r="I53" s="18">
        <f t="shared" si="21"/>
        <v>-253826.1580403405</v>
      </c>
      <c r="J53" s="18">
        <f t="shared" si="21"/>
        <v>-261440.94278155069</v>
      </c>
      <c r="K53" s="19">
        <f t="shared" si="21"/>
        <v>-269284.17106499721</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-18643</v>
      </c>
      <c r="C54" s="18">
        <f>IF(AND('Part VI-Pro Forma'!$G$9="Yes",'Part VI-Pro Forma'!$G$10="Yes"),"Choose One!",IF('Part VI-Pro Forma'!$G$9="Yes",ROUND((-$K$9*(1+'Part VI-Pro Forma'!$B$7)^('Part VI-Pro Forma'!C46-1)),),IF('Part VI-Pro Forma'!$G$10="Yes",ROUND((-(SUM(C47:C50)*'Part VI-Pro Forma'!$K$10)),),"Choose mgt fee")))</f>
        <v>-19016</v>
      </c>
      <c r="D54" s="18">
        <f>IF(AND('Part VI-Pro Forma'!$G$9="Yes",'Part VI-Pro Forma'!$G$10="Yes"),"Choose One!",IF('Part VI-Pro Forma'!$G$9="Yes",ROUND((-$K$9*(1+'Part VI-Pro Forma'!$B$7)^('Part VI-Pro Forma'!D46-1)),),IF('Part VI-Pro Forma'!$G$10="Yes",ROUND((-(SUM(D47:D50)*'Part VI-Pro Forma'!$K$10)),),"Choose mgt fee")))</f>
        <v>-19396</v>
      </c>
      <c r="E54" s="18">
        <f>IF(AND('Part VI-Pro Forma'!$G$9="Yes",'Part VI-Pro Forma'!$G$10="Yes"),"Choose One!",IF('Part VI-Pro Forma'!$G$9="Yes",ROUND((-$K$9*(1+'Part VI-Pro Forma'!$B$7)^('Part VI-Pro Forma'!E46-1)),),IF('Part VI-Pro Forma'!$G$10="Yes",ROUND((-(SUM(E47:E50)*'Part VI-Pro Forma'!$K$10)),),"Choose mgt fee")))</f>
        <v>-19784</v>
      </c>
      <c r="F54" s="18">
        <f>IF(AND('Part VI-Pro Forma'!$G$9="Yes",'Part VI-Pro Forma'!$G$10="Yes"),"Choose One!",IF('Part VI-Pro Forma'!$G$9="Yes",ROUND((-$K$9*(1+'Part VI-Pro Forma'!$B$7)^('Part VI-Pro Forma'!F46-1)),),IF('Part VI-Pro Forma'!$G$10="Yes",ROUND((-(SUM(F47:F50)*'Part VI-Pro Forma'!$K$10)),),"Choose mgt fee")))</f>
        <v>-20180</v>
      </c>
      <c r="G54" s="18">
        <f>IF(AND('Part VI-Pro Forma'!$G$9="Yes",'Part VI-Pro Forma'!$G$10="Yes"),"Choose One!",IF('Part VI-Pro Forma'!$G$9="Yes",ROUND((-$K$9*(1+'Part VI-Pro Forma'!$B$7)^('Part VI-Pro Forma'!G46-1)),),IF('Part VI-Pro Forma'!$G$10="Yes",ROUND((-(SUM(G47:G50)*'Part VI-Pro Forma'!$K$10)),),"Choose mgt fee")))</f>
        <v>-20583</v>
      </c>
      <c r="H54" s="18">
        <f>IF(AND('Part VI-Pro Forma'!$G$9="Yes",'Part VI-Pro Forma'!$G$10="Yes"),"Choose One!",IF('Part VI-Pro Forma'!$G$9="Yes",ROUND((-$K$9*(1+'Part VI-Pro Forma'!$B$7)^('Part VI-Pro Forma'!H46-1)),),IF('Part VI-Pro Forma'!$G$10="Yes",ROUND((-(SUM(H47:H50)*'Part VI-Pro Forma'!$K$10)),),"Choose mgt fee")))</f>
        <v>-20995</v>
      </c>
      <c r="I54" s="18">
        <f>IF(AND('Part VI-Pro Forma'!$G$9="Yes",'Part VI-Pro Forma'!$G$10="Yes"),"Choose One!",IF('Part VI-Pro Forma'!$G$9="Yes",ROUND((-$K$9*(1+'Part VI-Pro Forma'!$B$7)^('Part VI-Pro Forma'!I46-1)),),IF('Part VI-Pro Forma'!$G$10="Yes",ROUND((-(SUM(I47:I50)*'Part VI-Pro Forma'!$K$10)),),"Choose mgt fee")))</f>
        <v>-21415</v>
      </c>
      <c r="J54" s="18">
        <f>IF(AND('Part VI-Pro Forma'!$G$9="Yes",'Part VI-Pro Forma'!$G$10="Yes"),"Choose One!",IF('Part VI-Pro Forma'!$G$9="Yes",ROUND((-$K$9*(1+'Part VI-Pro Forma'!$B$7)^('Part VI-Pro Forma'!J46-1)),),IF('Part VI-Pro Forma'!$G$10="Yes",ROUND((-(SUM(J47:J50)*'Part VI-Pro Forma'!$K$10)),),"Choose mgt fee")))</f>
        <v>-21843</v>
      </c>
      <c r="K54" s="19">
        <f>IF(AND('Part VI-Pro Forma'!$G$9="Yes",'Part VI-Pro Forma'!$G$10="Yes"),"Choose One!",IF('Part VI-Pro Forma'!$G$9="Yes",ROUND((-$K$9*(1+'Part VI-Pro Forma'!$B$7)^('Part VI-Pro Forma'!K46-1)),),IF('Part VI-Pro Forma'!$G$10="Yes",ROUND((-(SUM(K47:K50)*'Part VI-Pro Forma'!$K$10)),),"Choose mgt fee")))</f>
        <v>-22280</v>
      </c>
      <c r="N54" s="3559"/>
      <c r="O54" s="3561"/>
      <c r="Z54" s="1719" t="s">
        <v>6461</v>
      </c>
      <c r="AA54" s="1721">
        <v>54</v>
      </c>
    </row>
    <row r="55" spans="1:27" ht="13.35" customHeight="1">
      <c r="A55" s="17" t="s">
        <v>1128</v>
      </c>
      <c r="B55" s="18">
        <f t="shared" ref="B55:K55" si="22">$B$23*(1+$B$8)^(B46-1)</f>
        <v>-20225.941509129032</v>
      </c>
      <c r="C55" s="18">
        <f t="shared" si="22"/>
        <v>-20832.719754402904</v>
      </c>
      <c r="D55" s="18">
        <f t="shared" si="22"/>
        <v>-21457.701347034988</v>
      </c>
      <c r="E55" s="18">
        <f t="shared" si="22"/>
        <v>-22101.432387446035</v>
      </c>
      <c r="F55" s="18">
        <f t="shared" si="22"/>
        <v>-22764.47535906942</v>
      </c>
      <c r="G55" s="18">
        <f t="shared" si="22"/>
        <v>-23447.409619841506</v>
      </c>
      <c r="H55" s="18">
        <f t="shared" si="22"/>
        <v>-24150.831908436747</v>
      </c>
      <c r="I55" s="18">
        <f t="shared" si="22"/>
        <v>-24875.35686568985</v>
      </c>
      <c r="J55" s="18">
        <f t="shared" si="22"/>
        <v>-25621.617571660543</v>
      </c>
      <c r="K55" s="19">
        <f t="shared" si="22"/>
        <v>-26390.26609881036</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65459.8386828488</v>
      </c>
      <c r="C57" s="18">
        <f t="shared" si="23"/>
        <v>64502.797096819442</v>
      </c>
      <c r="D57" s="18">
        <f t="shared" si="23"/>
        <v>63459.091728279061</v>
      </c>
      <c r="E57" s="18">
        <f t="shared" si="23"/>
        <v>62324.089813053448</v>
      </c>
      <c r="F57" s="18">
        <f t="shared" si="23"/>
        <v>61094.024747029645</v>
      </c>
      <c r="G57" s="18">
        <f t="shared" si="23"/>
        <v>59765.991573816704</v>
      </c>
      <c r="H57" s="18">
        <f t="shared" si="23"/>
        <v>58333.942327095145</v>
      </c>
      <c r="I57" s="18">
        <f t="shared" si="23"/>
        <v>56794.681223093045</v>
      </c>
      <c r="J57" s="18">
        <f t="shared" si="23"/>
        <v>55143.859698494554</v>
      </c>
      <c r="K57" s="1215">
        <f t="shared" si="23"/>
        <v>53375.971288932313</v>
      </c>
      <c r="N57" s="3559"/>
      <c r="O57" s="3561"/>
      <c r="Z57" s="1719" t="s">
        <v>6461</v>
      </c>
      <c r="AA57" s="1721">
        <v>57</v>
      </c>
    </row>
    <row r="58" spans="1:27" ht="13.35" customHeight="1">
      <c r="A58" s="17" t="str">
        <f>$A26</f>
        <v>Mortgage A</v>
      </c>
      <c r="B58" s="342">
        <f>IF('Part II-Sources of Funds'!$P$40="", 0,-'Part II-Sources of Funds'!$P$40)</f>
        <v>-21829.469948534566</v>
      </c>
      <c r="C58" s="342">
        <f>IF('Part II-Sources of Funds'!$P$40="", 0,-'Part II-Sources of Funds'!$P$40)</f>
        <v>-21829.469948534566</v>
      </c>
      <c r="D58" s="342">
        <f>IF('Part II-Sources of Funds'!$P$40="", 0,-'Part II-Sources of Funds'!$P$40)</f>
        <v>-21829.469948534566</v>
      </c>
      <c r="E58" s="342">
        <f>IF('Part II-Sources of Funds'!$P$40="", 0,-'Part II-Sources of Funds'!$P$40)</f>
        <v>-21829.469948534566</v>
      </c>
      <c r="F58" s="342">
        <f>IF('Part II-Sources of Funds'!$P$40="", 0,-'Part II-Sources of Funds'!$P$40)</f>
        <v>-21829.469948534566</v>
      </c>
      <c r="G58" s="342">
        <f>IF('Part II-Sources of Funds'!$P$40="", 0,-'Part II-Sources of Funds'!$P$40)</f>
        <v>-21829.469948534566</v>
      </c>
      <c r="H58" s="342">
        <f>IF('Part II-Sources of Funds'!$P$40="", 0,-'Part II-Sources of Funds'!$P$40)</f>
        <v>-21829.469948534566</v>
      </c>
      <c r="I58" s="342">
        <f>IF('Part II-Sources of Funds'!$P$40="", 0,-'Part II-Sources of Funds'!$P$40)</f>
        <v>-21829.469948534566</v>
      </c>
      <c r="J58" s="342">
        <f>IF('Part II-Sources of Funds'!$P$40="", 0,-'Part II-Sources of Funds'!$P$40)</f>
        <v>-21829.469948534566</v>
      </c>
      <c r="K58" s="342">
        <f>IF('Part II-Sources of Funds'!$P$40="", 0,-'Part II-Sources of Funds'!$P$40)</f>
        <v>-21829.469948534566</v>
      </c>
      <c r="N58" s="3559"/>
      <c r="O58" s="3561"/>
      <c r="Z58" s="1719" t="s">
        <v>6461</v>
      </c>
      <c r="AA58" s="1721">
        <v>58</v>
      </c>
    </row>
    <row r="59" spans="1:27" ht="13.35" customHeight="1">
      <c r="A59" s="17" t="str">
        <f>$A27</f>
        <v>Mortgage B</v>
      </c>
      <c r="B59" s="178">
        <f>IF('Part II-Sources of Funds'!$P$41="", 0,-'Part II-Sources of Funds'!$P$41)</f>
        <v>-23634.013092405363</v>
      </c>
      <c r="C59" s="178">
        <f>IF('Part II-Sources of Funds'!$P$41="", 0,-'Part II-Sources of Funds'!$P$41)</f>
        <v>-23634.013092405363</v>
      </c>
      <c r="D59" s="178">
        <f>IF('Part II-Sources of Funds'!$P$41="", 0,-'Part II-Sources of Funds'!$P$41)</f>
        <v>-23634.013092405363</v>
      </c>
      <c r="E59" s="178">
        <f>IF('Part II-Sources of Funds'!$P$41="", 0,-'Part II-Sources of Funds'!$P$41)</f>
        <v>-23634.013092405363</v>
      </c>
      <c r="F59" s="178">
        <f>IF('Part II-Sources of Funds'!$P$41="", 0,-'Part II-Sources of Funds'!$P$41)</f>
        <v>-23634.013092405363</v>
      </c>
      <c r="G59" s="178">
        <f>IF('Part II-Sources of Funds'!$P$41="", 0,-'Part II-Sources of Funds'!$P$41)</f>
        <v>-23634.013092405363</v>
      </c>
      <c r="H59" s="178">
        <f>IF('Part II-Sources of Funds'!$P$41="", 0,-'Part II-Sources of Funds'!$P$41)</f>
        <v>-23634.013092405363</v>
      </c>
      <c r="I59" s="178">
        <f>IF('Part II-Sources of Funds'!$P$41="", 0,-'Part II-Sources of Funds'!$P$41)</f>
        <v>-23634.013092405363</v>
      </c>
      <c r="J59" s="178">
        <f>IF('Part II-Sources of Funds'!$P$41="", 0,-'Part II-Sources of Funds'!$P$41)</f>
        <v>-23634.013092405363</v>
      </c>
      <c r="K59" s="178">
        <f>IF('Part II-Sources of Funds'!$P$41="", 0,-'Part II-Sources of Funds'!$P$41)</f>
        <v>-23634.013092405363</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-3000</v>
      </c>
      <c r="C63" s="178">
        <f t="shared" ref="C63:K63" si="24">+B63</f>
        <v>-3000</v>
      </c>
      <c r="D63" s="178">
        <f t="shared" si="24"/>
        <v>-3000</v>
      </c>
      <c r="E63" s="178">
        <f t="shared" si="24"/>
        <v>-3000</v>
      </c>
      <c r="F63" s="178">
        <f t="shared" si="24"/>
        <v>-3000</v>
      </c>
      <c r="G63" s="178">
        <f t="shared" si="24"/>
        <v>-3000</v>
      </c>
      <c r="H63" s="178">
        <f t="shared" si="24"/>
        <v>-3000</v>
      </c>
      <c r="I63" s="178">
        <f t="shared" si="24"/>
        <v>-3000</v>
      </c>
      <c r="J63" s="178">
        <f t="shared" si="24"/>
        <v>-3000</v>
      </c>
      <c r="K63" s="178">
        <f t="shared" si="24"/>
        <v>-3000</v>
      </c>
      <c r="N63" s="3559"/>
      <c r="O63" s="3561"/>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6461</v>
      </c>
      <c r="AA64" s="1721">
        <v>64</v>
      </c>
    </row>
    <row r="65" spans="1:27" ht="13.35" customHeight="1">
      <c r="A65" s="17" t="s">
        <v>1096</v>
      </c>
      <c r="B65" s="18">
        <f t="shared" ref="B65:K65" si="25">SUM(B57:B64)</f>
        <v>16996.355641908875</v>
      </c>
      <c r="C65" s="18">
        <f t="shared" si="25"/>
        <v>16039.314055879517</v>
      </c>
      <c r="D65" s="18">
        <f t="shared" si="25"/>
        <v>14995.608687339136</v>
      </c>
      <c r="E65" s="18">
        <f t="shared" si="25"/>
        <v>13860.606772113522</v>
      </c>
      <c r="F65" s="18">
        <f t="shared" si="25"/>
        <v>12630.54170608972</v>
      </c>
      <c r="G65" s="18">
        <f t="shared" si="25"/>
        <v>11302.508532876778</v>
      </c>
      <c r="H65" s="18">
        <f t="shared" si="25"/>
        <v>9870.4592861552119</v>
      </c>
      <c r="I65" s="18">
        <f t="shared" si="25"/>
        <v>8331.1981821531117</v>
      </c>
      <c r="J65" s="18">
        <f t="shared" si="25"/>
        <v>6680.3766575546215</v>
      </c>
      <c r="K65" s="497">
        <f t="shared" si="25"/>
        <v>4912.4882479923835</v>
      </c>
      <c r="N65" s="3559"/>
      <c r="O65" s="3561"/>
      <c r="Z65" s="1719" t="s">
        <v>6461</v>
      </c>
      <c r="AA65" s="1721">
        <v>65</v>
      </c>
    </row>
    <row r="66" spans="1:27" ht="13.35" customHeight="1">
      <c r="A66" s="17" t="str">
        <f>$A34</f>
        <v>DCR Mortgage A</v>
      </c>
      <c r="B66" s="20">
        <f t="shared" ref="B66:K66" si="26">IF(B58=0,"",-B57/B58)</f>
        <v>2.9986911655288808</v>
      </c>
      <c r="C66" s="20">
        <f t="shared" si="26"/>
        <v>2.9548494420108251</v>
      </c>
      <c r="D66" s="20">
        <f t="shared" si="26"/>
        <v>2.9070376824490478</v>
      </c>
      <c r="E66" s="20">
        <f t="shared" si="26"/>
        <v>2.8550436616184225</v>
      </c>
      <c r="F66" s="20">
        <f t="shared" si="26"/>
        <v>2.7986948327680738</v>
      </c>
      <c r="G66" s="20">
        <f t="shared" si="26"/>
        <v>2.7378581209127733</v>
      </c>
      <c r="H66" s="20">
        <f t="shared" si="26"/>
        <v>2.6722564709369481</v>
      </c>
      <c r="I66" s="20">
        <f t="shared" si="26"/>
        <v>2.6017434851598735</v>
      </c>
      <c r="J66" s="20">
        <f t="shared" si="26"/>
        <v>2.5261199574933526</v>
      </c>
      <c r="K66" s="21">
        <f t="shared" si="26"/>
        <v>2.4451336388273366</v>
      </c>
      <c r="N66" s="3559"/>
      <c r="O66" s="3561"/>
      <c r="Z66" s="1719" t="s">
        <v>6461</v>
      </c>
      <c r="AA66" s="1721">
        <v>66</v>
      </c>
    </row>
    <row r="67" spans="1:27" ht="13.35" customHeight="1">
      <c r="A67" s="17" t="str">
        <f>$A35</f>
        <v>DCR Mortgage B</v>
      </c>
      <c r="B67" s="20">
        <f t="shared" ref="B67:K67" si="27">IF(B59=0,"",-(B57+B58)/B59)</f>
        <v>1.8460838014993981</v>
      </c>
      <c r="C67" s="20">
        <f t="shared" si="27"/>
        <v>1.805589553557355</v>
      </c>
      <c r="D67" s="20">
        <f t="shared" si="27"/>
        <v>1.7614283963108199</v>
      </c>
      <c r="E67" s="20">
        <f t="shared" si="27"/>
        <v>1.7134043087050488</v>
      </c>
      <c r="F67" s="20">
        <f t="shared" si="27"/>
        <v>1.6613579185632461</v>
      </c>
      <c r="G67" s="20">
        <f t="shared" si="27"/>
        <v>1.6051663116609172</v>
      </c>
      <c r="H67" s="20">
        <f t="shared" si="27"/>
        <v>1.5445735870515809</v>
      </c>
      <c r="I67" s="20">
        <f t="shared" si="27"/>
        <v>1.4794445250516646</v>
      </c>
      <c r="J67" s="20">
        <f t="shared" si="27"/>
        <v>1.4095951296847402</v>
      </c>
      <c r="K67" s="21">
        <f t="shared" si="27"/>
        <v>1.3347924119808079</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1.4398333410553283</v>
      </c>
      <c r="C70" s="20">
        <f t="shared" si="30"/>
        <v>1.4187825653114738</v>
      </c>
      <c r="D70" s="20">
        <f t="shared" si="30"/>
        <v>1.3958255611681591</v>
      </c>
      <c r="E70" s="20">
        <f t="shared" si="30"/>
        <v>1.370860427849985</v>
      </c>
      <c r="F70" s="20">
        <f t="shared" si="30"/>
        <v>1.3438043163568087</v>
      </c>
      <c r="G70" s="20">
        <f t="shared" si="30"/>
        <v>1.3145933302117954</v>
      </c>
      <c r="H70" s="20">
        <f t="shared" si="30"/>
        <v>1.2830944403130167</v>
      </c>
      <c r="I70" s="20">
        <f t="shared" si="30"/>
        <v>1.2492373532390679</v>
      </c>
      <c r="J70" s="20">
        <f t="shared" si="30"/>
        <v>1.2129264194042817</v>
      </c>
      <c r="K70" s="21">
        <f t="shared" si="30"/>
        <v>1.1740405204077122</v>
      </c>
      <c r="N70" s="3559"/>
      <c r="O70" s="3561"/>
      <c r="Z70" s="1719" t="s">
        <v>6461</v>
      </c>
      <c r="AA70" s="1721">
        <v>70</v>
      </c>
    </row>
    <row r="71" spans="1:27" ht="13.35" customHeight="1">
      <c r="A71" s="17" t="s">
        <v>718</v>
      </c>
      <c r="B71" s="220">
        <f t="shared" ref="B71:K71" si="31">IF(OR(B54="Choose mgt fee",B54="Choose One!"),"",(B47+B48+B49+B50+B51) / -(B53+B54+B55))</f>
        <v>1.2669075708108126</v>
      </c>
      <c r="C71" s="220">
        <f t="shared" si="31"/>
        <v>1.2555334025677374</v>
      </c>
      <c r="D71" s="220">
        <f t="shared" si="31"/>
        <v>1.2442553295059837</v>
      </c>
      <c r="E71" s="220">
        <f t="shared" si="31"/>
        <v>1.2330685544631437</v>
      </c>
      <c r="F71" s="220">
        <f t="shared" si="31"/>
        <v>1.2219733363022478</v>
      </c>
      <c r="G71" s="220">
        <f t="shared" si="31"/>
        <v>1.2109741075148479</v>
      </c>
      <c r="H71" s="220">
        <f t="shared" si="31"/>
        <v>1.2000622243595158</v>
      </c>
      <c r="I71" s="220">
        <f t="shared" si="31"/>
        <v>1.1892421056564515</v>
      </c>
      <c r="J71" s="220">
        <f t="shared" si="31"/>
        <v>1.178513651989435</v>
      </c>
      <c r="K71" s="221">
        <f t="shared" si="31"/>
        <v>1.167873019055977</v>
      </c>
      <c r="N71" s="3559"/>
      <c r="O71" s="3561"/>
      <c r="Z71" s="1719" t="s">
        <v>6461</v>
      </c>
      <c r="AA71" s="1721">
        <v>71</v>
      </c>
    </row>
    <row r="72" spans="1:27" ht="13.35" customHeight="1">
      <c r="A72" s="341" t="s">
        <v>2405</v>
      </c>
      <c r="B72" s="177">
        <f>IF('Part II-Sources of Funds'!$I$40="","",-FV('Part II-Sources of Funds'!$K$40/12,12,B58/12,K40))</f>
        <v>704727.667543547</v>
      </c>
      <c r="C72" s="177">
        <f>IF('Part II-Sources of Funds'!$I$40="","",-FV('Part II-Sources of Funds'!$K$40/12,12,C58/12,B72))</f>
        <v>689877.5339987172</v>
      </c>
      <c r="D72" s="177">
        <f>IF('Part II-Sources of Funds'!$I$40="","",-FV('Part II-Sources of Funds'!$K$40/12,12,D58/12,C72))</f>
        <v>674878.21659312665</v>
      </c>
      <c r="E72" s="177">
        <f>IF('Part II-Sources of Funds'!$I$40="","",-FV('Part II-Sources of Funds'!$K$40/12,12,E58/12,D72))</f>
        <v>659728.2166315451</v>
      </c>
      <c r="F72" s="177">
        <f>IF('Part II-Sources of Funds'!$I$40="","",-FV('Part II-Sources of Funds'!$K$40/12,12,F58/12,E72))</f>
        <v>644426.02036290872</v>
      </c>
      <c r="G72" s="177">
        <f>IF('Part II-Sources of Funds'!$I$40="","",-FV('Part II-Sources of Funds'!$K$40/12,12,G58/12,F72))</f>
        <v>628970.09882906964</v>
      </c>
      <c r="H72" s="177">
        <f>IF('Part II-Sources of Funds'!$I$40="","",-FV('Part II-Sources of Funds'!$K$40/12,12,H58/12,G72))</f>
        <v>613358.90771202638</v>
      </c>
      <c r="I72" s="177">
        <f>IF('Part II-Sources of Funds'!$I$40="","",-FV('Part II-Sources of Funds'!$K$40/12,12,I58/12,H72))</f>
        <v>597590.88717961893</v>
      </c>
      <c r="J72" s="177">
        <f>IF('Part II-Sources of Funds'!$I$40="","",-FV('Part II-Sources of Funds'!$K$40/12,12,J58/12,I72))</f>
        <v>581664.46172967472</v>
      </c>
      <c r="K72" s="177">
        <f>IF('Part II-Sources of Funds'!$I$40="","",-FV('Part II-Sources of Funds'!$K$40/12,12,K58/12,J72))</f>
        <v>565578.04003258771</v>
      </c>
      <c r="N72" s="3559"/>
      <c r="O72" s="3561"/>
      <c r="Z72" s="1719" t="s">
        <v>6461</v>
      </c>
      <c r="AA72" s="1721">
        <v>72</v>
      </c>
    </row>
    <row r="73" spans="1:27" ht="13.35" customHeight="1">
      <c r="A73" s="341" t="s">
        <v>2406</v>
      </c>
      <c r="B73" s="178">
        <f>IF('Part II-Sources of Funds'!$I$41="","",-FV('Part II-Sources of Funds'!$K$41/12,12,B59/12,K41))</f>
        <v>323254.46356025763</v>
      </c>
      <c r="C73" s="178">
        <f>IF('Part II-Sources of Funds'!$I$41="","",-FV('Part II-Sources of Funds'!$K$41/12,12,C59/12,B73))</f>
        <v>311251.54337446194</v>
      </c>
      <c r="D73" s="178">
        <f>IF('Part II-Sources of Funds'!$I$41="","",-FV('Part II-Sources of Funds'!$K$41/12,12,D59/12,C73))</f>
        <v>298801.87149834656</v>
      </c>
      <c r="E73" s="178">
        <f>IF('Part II-Sources of Funds'!$I$41="","",-FV('Part II-Sources of Funds'!$K$41/12,12,E59/12,D73))</f>
        <v>285888.81972229964</v>
      </c>
      <c r="F73" s="178">
        <f>IF('Part II-Sources of Funds'!$I$41="","",-FV('Part II-Sources of Funds'!$K$41/12,12,F59/12,E73))</f>
        <v>272495.14093059022</v>
      </c>
      <c r="G73" s="178">
        <f>IF('Part II-Sources of Funds'!$I$41="","",-FV('Part II-Sources of Funds'!$K$41/12,12,G59/12,F73))</f>
        <v>258602.94606552756</v>
      </c>
      <c r="H73" s="178">
        <f>IF('Part II-Sources of Funds'!$I$41="","",-FV('Part II-Sources of Funds'!$K$41/12,12,H59/12,G73))</f>
        <v>244193.68023422104</v>
      </c>
      <c r="I73" s="178">
        <f>IF('Part II-Sources of Funds'!$I$41="","",-FV('Part II-Sources of Funds'!$K$41/12,12,I59/12,H73))</f>
        <v>229248.09792602752</v>
      </c>
      <c r="J73" s="178">
        <f>IF('Part II-Sources of Funds'!$I$41="","",-FV('Part II-Sources of Funds'!$K$41/12,12,J59/12,I73))</f>
        <v>213746.23730758589</v>
      </c>
      <c r="K73" s="178">
        <f>IF('Part II-Sources of Funds'!$I$41="","",-FV('Part II-Sources of Funds'!$K$41/12,12,K59/12,J73))</f>
        <v>197667.39356110641</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399280.00908896769</v>
      </c>
      <c r="C79" s="15">
        <f t="shared" si="33"/>
        <v>407265.60927074699</v>
      </c>
      <c r="D79" s="15">
        <f t="shared" si="33"/>
        <v>415410.921456162</v>
      </c>
      <c r="E79" s="15">
        <f t="shared" si="33"/>
        <v>423719.13988528517</v>
      </c>
      <c r="F79" s="15">
        <f t="shared" si="33"/>
        <v>432193.52268299088</v>
      </c>
      <c r="G79" s="15">
        <f t="shared" si="33"/>
        <v>440837.39313665067</v>
      </c>
      <c r="H79" s="15">
        <f t="shared" si="33"/>
        <v>449654.14099938376</v>
      </c>
      <c r="I79" s="15">
        <f t="shared" si="33"/>
        <v>458647.22381937131</v>
      </c>
      <c r="J79" s="15">
        <f t="shared" si="33"/>
        <v>467820.16829575889</v>
      </c>
      <c r="K79" s="16">
        <f t="shared" si="33"/>
        <v>477176.57166167395</v>
      </c>
      <c r="N79" s="3562"/>
      <c r="O79" s="3564"/>
      <c r="Z79" s="1719" t="s">
        <v>6462</v>
      </c>
      <c r="AA79" s="1721">
        <v>79</v>
      </c>
    </row>
    <row r="80" spans="1:27" ht="13.35" customHeight="1">
      <c r="A80" s="17" t="s">
        <v>952</v>
      </c>
      <c r="B80" s="18">
        <f t="shared" ref="B80:K80" si="34">$B$16*(1+$B$6)^(B78-1)</f>
        <v>7985.600181779354</v>
      </c>
      <c r="C80" s="18">
        <f t="shared" si="34"/>
        <v>8145.3121854149404</v>
      </c>
      <c r="D80" s="18">
        <f t="shared" si="34"/>
        <v>8308.2184291232388</v>
      </c>
      <c r="E80" s="18">
        <f t="shared" si="34"/>
        <v>8474.3827977057026</v>
      </c>
      <c r="F80" s="18">
        <f t="shared" si="34"/>
        <v>8643.8704536598179</v>
      </c>
      <c r="G80" s="18">
        <f t="shared" si="34"/>
        <v>8816.7478627330129</v>
      </c>
      <c r="H80" s="18">
        <f t="shared" si="34"/>
        <v>8993.0828199876742</v>
      </c>
      <c r="I80" s="18">
        <f t="shared" si="34"/>
        <v>9172.9444763874271</v>
      </c>
      <c r="J80" s="18">
        <f t="shared" si="34"/>
        <v>9356.4033659151773</v>
      </c>
      <c r="K80" s="19">
        <f t="shared" si="34"/>
        <v>9543.5314332334801</v>
      </c>
      <c r="N80" s="3559"/>
      <c r="O80" s="3561"/>
      <c r="Z80" s="1719" t="s">
        <v>6462</v>
      </c>
      <c r="AA80" s="1721">
        <v>80</v>
      </c>
    </row>
    <row r="81" spans="1:27" ht="13.35" customHeight="1">
      <c r="A81" s="17" t="s">
        <v>2216</v>
      </c>
      <c r="B81" s="18">
        <f t="shared" ref="B81:K81" si="35">-(B79+B80)*$B$9</f>
        <v>-28508.592648952297</v>
      </c>
      <c r="C81" s="18">
        <f t="shared" si="35"/>
        <v>-29078.764501931339</v>
      </c>
      <c r="D81" s="18">
        <f t="shared" si="35"/>
        <v>-29660.339791969967</v>
      </c>
      <c r="E81" s="18">
        <f t="shared" si="35"/>
        <v>-30253.546587809364</v>
      </c>
      <c r="F81" s="18">
        <f t="shared" si="35"/>
        <v>-30858.617519565549</v>
      </c>
      <c r="G81" s="18">
        <f t="shared" si="35"/>
        <v>-31475.789869956861</v>
      </c>
      <c r="H81" s="18">
        <f t="shared" si="35"/>
        <v>-32105.305667356002</v>
      </c>
      <c r="I81" s="18">
        <f t="shared" si="35"/>
        <v>-32747.411780703114</v>
      </c>
      <c r="J81" s="18">
        <f t="shared" si="35"/>
        <v>-33402.360016317187</v>
      </c>
      <c r="K81" s="19">
        <f t="shared" si="35"/>
        <v>-34070.407216643522</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378757.01662179478</v>
      </c>
      <c r="C84" s="18">
        <f t="shared" si="36"/>
        <v>386332.15695423062</v>
      </c>
      <c r="D84" s="18">
        <f t="shared" si="36"/>
        <v>394058.80009331525</v>
      </c>
      <c r="E84" s="18">
        <f t="shared" si="36"/>
        <v>401939.97609518154</v>
      </c>
      <c r="F84" s="18">
        <f t="shared" si="36"/>
        <v>409978.77561708511</v>
      </c>
      <c r="G84" s="18">
        <f t="shared" si="36"/>
        <v>418178.35112942685</v>
      </c>
      <c r="H84" s="18">
        <f t="shared" si="36"/>
        <v>426541.91815201542</v>
      </c>
      <c r="I84" s="18">
        <f t="shared" si="36"/>
        <v>435072.7565150556</v>
      </c>
      <c r="J84" s="18">
        <f t="shared" si="36"/>
        <v>443774.2116453569</v>
      </c>
      <c r="K84" s="19">
        <f t="shared" si="36"/>
        <v>452649.69587826391</v>
      </c>
      <c r="N84" s="3559"/>
      <c r="O84" s="3561"/>
      <c r="Z84" s="1719" t="s">
        <v>6462</v>
      </c>
      <c r="AA84" s="1721">
        <v>84</v>
      </c>
    </row>
    <row r="85" spans="1:27" ht="13.35" customHeight="1">
      <c r="A85" s="17" t="s">
        <v>572</v>
      </c>
      <c r="B85" s="18">
        <f t="shared" ref="B85:K85" si="37">$B$21*(1+$B$7)^(B78-1)</f>
        <v>-277362.69619694713</v>
      </c>
      <c r="C85" s="18">
        <f t="shared" si="37"/>
        <v>-285683.57708285551</v>
      </c>
      <c r="D85" s="18">
        <f t="shared" si="37"/>
        <v>-294254.08439534117</v>
      </c>
      <c r="E85" s="18">
        <f t="shared" si="37"/>
        <v>-303081.70692720142</v>
      </c>
      <c r="F85" s="18">
        <f t="shared" si="37"/>
        <v>-312174.15813501744</v>
      </c>
      <c r="G85" s="18">
        <f t="shared" si="37"/>
        <v>-321539.38287906797</v>
      </c>
      <c r="H85" s="18">
        <f t="shared" si="37"/>
        <v>-331185.56436544005</v>
      </c>
      <c r="I85" s="18">
        <f t="shared" si="37"/>
        <v>-341121.13129640324</v>
      </c>
      <c r="J85" s="18">
        <f t="shared" si="37"/>
        <v>-351354.76523529529</v>
      </c>
      <c r="K85" s="19">
        <f t="shared" si="37"/>
        <v>-361895.40819235414</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-22725</v>
      </c>
      <c r="C86" s="18">
        <f>IF(AND('Part VI-Pro Forma'!$G$9="Yes",'Part VI-Pro Forma'!$G$10="Yes"),"Choose One!",IF('Part VI-Pro Forma'!$G$9="Yes",ROUND((-$K$9*(1+'Part VI-Pro Forma'!$B$7)^('Part VI-Pro Forma'!C78-1)),),IF('Part VI-Pro Forma'!$G$10="Yes",ROUND((-(SUM(C79:C82)*'Part VI-Pro Forma'!$K$10)),),"Choose mgt fee")))</f>
        <v>-23180</v>
      </c>
      <c r="D86" s="18">
        <f>IF(AND('Part VI-Pro Forma'!$G$9="Yes",'Part VI-Pro Forma'!$G$10="Yes"),"Choose One!",IF('Part VI-Pro Forma'!$G$9="Yes",ROUND((-$K$9*(1+'Part VI-Pro Forma'!$B$7)^('Part VI-Pro Forma'!D78-1)),),IF('Part VI-Pro Forma'!$G$10="Yes",ROUND((-(SUM(D79:D82)*'Part VI-Pro Forma'!$K$10)),),"Choose mgt fee")))</f>
        <v>-23644</v>
      </c>
      <c r="E86" s="18">
        <f>IF(AND('Part VI-Pro Forma'!$G$9="Yes",'Part VI-Pro Forma'!$G$10="Yes"),"Choose One!",IF('Part VI-Pro Forma'!$G$9="Yes",ROUND((-$K$9*(1+'Part VI-Pro Forma'!$B$7)^('Part VI-Pro Forma'!E78-1)),),IF('Part VI-Pro Forma'!$G$10="Yes",ROUND((-(SUM(E79:E82)*'Part VI-Pro Forma'!$K$10)),),"Choose mgt fee")))</f>
        <v>-24116</v>
      </c>
      <c r="F86" s="18">
        <f>IF(AND('Part VI-Pro Forma'!$G$9="Yes",'Part VI-Pro Forma'!$G$10="Yes"),"Choose One!",IF('Part VI-Pro Forma'!$G$9="Yes",ROUND((-$K$9*(1+'Part VI-Pro Forma'!$B$7)^('Part VI-Pro Forma'!F78-1)),),IF('Part VI-Pro Forma'!$G$10="Yes",ROUND((-(SUM(F79:F82)*'Part VI-Pro Forma'!$K$10)),),"Choose mgt fee")))</f>
        <v>-24599</v>
      </c>
      <c r="G86" s="18">
        <f>IF(AND('Part VI-Pro Forma'!$G$9="Yes",'Part VI-Pro Forma'!$G$10="Yes"),"Choose One!",IF('Part VI-Pro Forma'!$G$9="Yes",ROUND((-$K$9*(1+'Part VI-Pro Forma'!$B$7)^('Part VI-Pro Forma'!G78-1)),),IF('Part VI-Pro Forma'!$G$10="Yes",ROUND((-(SUM(G79:G82)*'Part VI-Pro Forma'!$K$10)),),"Choose mgt fee")))</f>
        <v>-25091</v>
      </c>
      <c r="H86" s="18">
        <f>IF(AND('Part VI-Pro Forma'!$G$9="Yes",'Part VI-Pro Forma'!$G$10="Yes"),"Choose One!",IF('Part VI-Pro Forma'!$G$9="Yes",ROUND((-$K$9*(1+'Part VI-Pro Forma'!$B$7)^('Part VI-Pro Forma'!H78-1)),),IF('Part VI-Pro Forma'!$G$10="Yes",ROUND((-(SUM(H79:H82)*'Part VI-Pro Forma'!$K$10)),),"Choose mgt fee")))</f>
        <v>-25593</v>
      </c>
      <c r="I86" s="18">
        <f>IF(AND('Part VI-Pro Forma'!$G$9="Yes",'Part VI-Pro Forma'!$G$10="Yes"),"Choose One!",IF('Part VI-Pro Forma'!$G$9="Yes",ROUND((-$K$9*(1+'Part VI-Pro Forma'!$B$7)^('Part VI-Pro Forma'!I78-1)),),IF('Part VI-Pro Forma'!$G$10="Yes",ROUND((-(SUM(I79:I82)*'Part VI-Pro Forma'!$K$10)),),"Choose mgt fee")))</f>
        <v>-26104</v>
      </c>
      <c r="J86" s="18">
        <f>IF(AND('Part VI-Pro Forma'!$G$9="Yes",'Part VI-Pro Forma'!$G$10="Yes"),"Choose One!",IF('Part VI-Pro Forma'!$G$9="Yes",ROUND((-$K$9*(1+'Part VI-Pro Forma'!$B$7)^('Part VI-Pro Forma'!J78-1)),),IF('Part VI-Pro Forma'!$G$10="Yes",ROUND((-(SUM(J79:J82)*'Part VI-Pro Forma'!$K$10)),),"Choose mgt fee")))</f>
        <v>-26626</v>
      </c>
      <c r="K86" s="19">
        <f>IF(AND('Part VI-Pro Forma'!$G$9="Yes",'Part VI-Pro Forma'!$G$10="Yes"),"Choose One!",IF('Part VI-Pro Forma'!$G$9="Yes",ROUND((-$K$9*(1+'Part VI-Pro Forma'!$B$7)^('Part VI-Pro Forma'!K78-1)),),IF('Part VI-Pro Forma'!$G$10="Yes",ROUND((-(SUM(K79:K82)*'Part VI-Pro Forma'!$K$10)),),"Choose mgt fee")))</f>
        <v>-27159</v>
      </c>
      <c r="N86" s="3559"/>
      <c r="O86" s="3561"/>
      <c r="Z86" s="1719" t="s">
        <v>6462</v>
      </c>
      <c r="AA86" s="1721">
        <v>86</v>
      </c>
    </row>
    <row r="87" spans="1:27" ht="13.35" customHeight="1">
      <c r="A87" s="17" t="s">
        <v>1128</v>
      </c>
      <c r="B87" s="18">
        <f t="shared" ref="B87:K87" si="38">$B$23*(1+$B$8)^(B78-1)</f>
        <v>-27181.974081774668</v>
      </c>
      <c r="C87" s="18">
        <f t="shared" si="38"/>
        <v>-27997.433304227907</v>
      </c>
      <c r="D87" s="18">
        <f t="shared" si="38"/>
        <v>-28837.356303354747</v>
      </c>
      <c r="E87" s="18">
        <f t="shared" si="38"/>
        <v>-29702.476992455391</v>
      </c>
      <c r="F87" s="18">
        <f t="shared" si="38"/>
        <v>-30593.551302229047</v>
      </c>
      <c r="G87" s="18">
        <f t="shared" si="38"/>
        <v>-31511.357841295918</v>
      </c>
      <c r="H87" s="18">
        <f t="shared" si="38"/>
        <v>-32456.6985765348</v>
      </c>
      <c r="I87" s="18">
        <f t="shared" si="38"/>
        <v>-33430.399533830838</v>
      </c>
      <c r="J87" s="18">
        <f t="shared" si="38"/>
        <v>-34433.311519845767</v>
      </c>
      <c r="K87" s="19">
        <f t="shared" si="38"/>
        <v>-35466.310865441134</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51487.34634307299</v>
      </c>
      <c r="C89" s="18">
        <f t="shared" si="39"/>
        <v>49471.146567147211</v>
      </c>
      <c r="D89" s="18">
        <f t="shared" si="39"/>
        <v>47323.359394619336</v>
      </c>
      <c r="E89" s="18">
        <f t="shared" si="39"/>
        <v>45039.79217552473</v>
      </c>
      <c r="F89" s="18">
        <f t="shared" si="39"/>
        <v>42612.066179838621</v>
      </c>
      <c r="G89" s="18">
        <f t="shared" si="39"/>
        <v>40036.610409062967</v>
      </c>
      <c r="H89" s="18">
        <f t="shared" si="39"/>
        <v>37306.655210040575</v>
      </c>
      <c r="I89" s="18">
        <f t="shared" si="39"/>
        <v>34417.225684821526</v>
      </c>
      <c r="J89" s="18">
        <f t="shared" si="39"/>
        <v>31360.13489021585</v>
      </c>
      <c r="K89" s="1215">
        <f t="shared" si="39"/>
        <v>28128.976820468641</v>
      </c>
      <c r="N89" s="3559"/>
      <c r="O89" s="3561"/>
      <c r="Z89" s="1719" t="s">
        <v>6462</v>
      </c>
      <c r="AA89" s="1721">
        <v>89</v>
      </c>
    </row>
    <row r="90" spans="1:27" ht="13.35" customHeight="1">
      <c r="A90" s="17" t="str">
        <f>$A58</f>
        <v>Mortgage A</v>
      </c>
      <c r="B90" s="342">
        <f>IF('Part II-Sources of Funds'!$P$40="", 0,-'Part II-Sources of Funds'!$P$40)</f>
        <v>-21829.469948534566</v>
      </c>
      <c r="C90" s="342">
        <f>IF('Part II-Sources of Funds'!$P$40="", 0,-'Part II-Sources of Funds'!$P$40)</f>
        <v>-21829.469948534566</v>
      </c>
      <c r="D90" s="342">
        <f>IF('Part II-Sources of Funds'!$P$40="", 0,-'Part II-Sources of Funds'!$P$40)</f>
        <v>-21829.469948534566</v>
      </c>
      <c r="E90" s="342">
        <f>IF('Part II-Sources of Funds'!$P$40="", 0,-'Part II-Sources of Funds'!$P$40)</f>
        <v>-21829.469948534566</v>
      </c>
      <c r="F90" s="342">
        <f>IF('Part II-Sources of Funds'!$P$40="", 0,-'Part II-Sources of Funds'!$P$40)</f>
        <v>-21829.469948534566</v>
      </c>
      <c r="G90" s="342">
        <f>IF('Part II-Sources of Funds'!$P$40="", 0,-'Part II-Sources of Funds'!$P$40)</f>
        <v>-21829.469948534566</v>
      </c>
      <c r="H90" s="342">
        <f>IF('Part II-Sources of Funds'!$P$40="", 0,-'Part II-Sources of Funds'!$P$40)</f>
        <v>-21829.469948534566</v>
      </c>
      <c r="I90" s="342">
        <f>IF('Part II-Sources of Funds'!$P$40="", 0,-'Part II-Sources of Funds'!$P$40)</f>
        <v>-21829.469948534566</v>
      </c>
      <c r="J90" s="342">
        <f>IF('Part II-Sources of Funds'!$P$40="", 0,-'Part II-Sources of Funds'!$P$40)</f>
        <v>-21829.469948534566</v>
      </c>
      <c r="K90" s="342">
        <f>IF('Part II-Sources of Funds'!$P$40="", 0,-'Part II-Sources of Funds'!$P$40)</f>
        <v>-21829.469948534566</v>
      </c>
      <c r="N90" s="3559"/>
      <c r="O90" s="3561"/>
      <c r="Z90" s="1719" t="s">
        <v>6462</v>
      </c>
      <c r="AA90" s="1721">
        <v>90</v>
      </c>
    </row>
    <row r="91" spans="1:27" ht="13.35" customHeight="1">
      <c r="A91" s="17" t="str">
        <f>$A59</f>
        <v>Mortgage B</v>
      </c>
      <c r="B91" s="178">
        <f>IF('Part II-Sources of Funds'!$P$41="", 0,-'Part II-Sources of Funds'!$P$41)</f>
        <v>-23634.013092405363</v>
      </c>
      <c r="C91" s="178">
        <f>IF('Part II-Sources of Funds'!$P$41="", 0,-'Part II-Sources of Funds'!$P$41)</f>
        <v>-23634.013092405363</v>
      </c>
      <c r="D91" s="178">
        <f>IF('Part II-Sources of Funds'!$P$41="", 0,-'Part II-Sources of Funds'!$P$41)</f>
        <v>-23634.013092405363</v>
      </c>
      <c r="E91" s="178">
        <f>IF('Part II-Sources of Funds'!$P$41="", 0,-'Part II-Sources of Funds'!$P$41)</f>
        <v>-23634.013092405363</v>
      </c>
      <c r="F91" s="178">
        <f>IF('Part II-Sources of Funds'!$P$41="", 0,-'Part II-Sources of Funds'!$P$41)</f>
        <v>-23634.013092405363</v>
      </c>
      <c r="G91" s="178">
        <f>IF('Part II-Sources of Funds'!$P$41="", 0,-'Part II-Sources of Funds'!$P$41)</f>
        <v>-23634.013092405363</v>
      </c>
      <c r="H91" s="178">
        <f>IF('Part II-Sources of Funds'!$P$41="", 0,-'Part II-Sources of Funds'!$P$41)</f>
        <v>-23634.013092405363</v>
      </c>
      <c r="I91" s="178">
        <f>IF('Part II-Sources of Funds'!$P$41="", 0,-'Part II-Sources of Funds'!$P$41)</f>
        <v>-23634.013092405363</v>
      </c>
      <c r="J91" s="178">
        <f>IF('Part II-Sources of Funds'!$P$41="", 0,-'Part II-Sources of Funds'!$P$41)</f>
        <v>-23634.013092405363</v>
      </c>
      <c r="K91" s="178">
        <f>IF('Part II-Sources of Funds'!$P$41="", 0,-'Part II-Sources of Funds'!$P$41)</f>
        <v>-23634.013092405363</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-3000</v>
      </c>
      <c r="C95" s="179">
        <f t="shared" ref="C95:K95" si="40">+B95</f>
        <v>-3000</v>
      </c>
      <c r="D95" s="179">
        <f t="shared" si="40"/>
        <v>-3000</v>
      </c>
      <c r="E95" s="179">
        <f t="shared" si="40"/>
        <v>-3000</v>
      </c>
      <c r="F95" s="179">
        <f t="shared" si="40"/>
        <v>-3000</v>
      </c>
      <c r="G95" s="179">
        <f t="shared" si="40"/>
        <v>-3000</v>
      </c>
      <c r="H95" s="179">
        <f t="shared" si="40"/>
        <v>-3000</v>
      </c>
      <c r="I95" s="179">
        <f t="shared" si="40"/>
        <v>-3000</v>
      </c>
      <c r="J95" s="179">
        <f t="shared" si="40"/>
        <v>-3000</v>
      </c>
      <c r="K95" s="179">
        <f t="shared" si="40"/>
        <v>-3000</v>
      </c>
      <c r="N95" s="3559"/>
      <c r="O95" s="3561"/>
      <c r="Z95" s="1719" t="s">
        <v>6462</v>
      </c>
      <c r="AA95" s="1721">
        <v>95</v>
      </c>
    </row>
    <row r="96" spans="1:27" ht="13.35" customHeight="1">
      <c r="A96" s="17" t="s">
        <v>1096</v>
      </c>
      <c r="B96" s="18">
        <f t="shared" ref="B96:K96" si="41">SUM(B89:B95)</f>
        <v>3023.8633021330606</v>
      </c>
      <c r="C96" s="18">
        <f t="shared" si="41"/>
        <v>1007.6635262072814</v>
      </c>
      <c r="D96" s="18">
        <f t="shared" si="41"/>
        <v>-1140.1236463205933</v>
      </c>
      <c r="E96" s="18">
        <f t="shared" si="41"/>
        <v>-3423.6908654151994</v>
      </c>
      <c r="F96" s="18">
        <f t="shared" si="41"/>
        <v>-5851.4168611013083</v>
      </c>
      <c r="G96" s="18">
        <f t="shared" si="41"/>
        <v>-8426.8726318769623</v>
      </c>
      <c r="H96" s="18">
        <f t="shared" si="41"/>
        <v>-11156.827830899354</v>
      </c>
      <c r="I96" s="18">
        <f t="shared" si="41"/>
        <v>-14046.257356118404</v>
      </c>
      <c r="J96" s="18">
        <f t="shared" si="41"/>
        <v>-17103.348150724079</v>
      </c>
      <c r="K96" s="19">
        <f t="shared" si="41"/>
        <v>-20334.506220471289</v>
      </c>
      <c r="N96" s="3559"/>
      <c r="O96" s="3561"/>
      <c r="Z96" s="1719" t="s">
        <v>6462</v>
      </c>
      <c r="AA96" s="1721">
        <v>96</v>
      </c>
    </row>
    <row r="97" spans="1:27" ht="13.35" customHeight="1">
      <c r="A97" s="17" t="str">
        <f>$A66</f>
        <v>DCR Mortgage A</v>
      </c>
      <c r="B97" s="20">
        <f t="shared" ref="B97:K97" si="42">IF(B90=0,"",-B89/B90)</f>
        <v>2.3586164237821721</v>
      </c>
      <c r="C97" s="20">
        <f t="shared" si="42"/>
        <v>2.2662550526321072</v>
      </c>
      <c r="D97" s="20">
        <f t="shared" si="42"/>
        <v>2.1678657111780306</v>
      </c>
      <c r="E97" s="20">
        <f t="shared" si="42"/>
        <v>2.0632563356650944</v>
      </c>
      <c r="F97" s="20">
        <f t="shared" si="42"/>
        <v>1.952043099548517</v>
      </c>
      <c r="G97" s="20">
        <f t="shared" si="42"/>
        <v>1.8340624166987922</v>
      </c>
      <c r="H97" s="20">
        <f t="shared" si="42"/>
        <v>1.7090041717914002</v>
      </c>
      <c r="I97" s="20">
        <f t="shared" si="42"/>
        <v>1.5766404665786211</v>
      </c>
      <c r="J97" s="20">
        <f t="shared" si="42"/>
        <v>1.4365962602001285</v>
      </c>
      <c r="K97" s="21">
        <f t="shared" si="42"/>
        <v>1.288578095885327</v>
      </c>
      <c r="N97" s="3559"/>
      <c r="O97" s="3561"/>
      <c r="Z97" s="1719" t="s">
        <v>6462</v>
      </c>
      <c r="AA97" s="1721">
        <v>97</v>
      </c>
    </row>
    <row r="98" spans="1:27" ht="13.35" customHeight="1">
      <c r="A98" s="17" t="str">
        <f>$A67</f>
        <v>DCR Mortgage B</v>
      </c>
      <c r="B98" s="20">
        <f t="shared" ref="B98:K98" si="43">IF(B91=0,"",-(B89+B90)/B91)</f>
        <v>1.2548811020193937</v>
      </c>
      <c r="C98" s="20">
        <f t="shared" si="43"/>
        <v>1.1695718585979424</v>
      </c>
      <c r="D98" s="20">
        <f t="shared" si="43"/>
        <v>1.0786949024022106</v>
      </c>
      <c r="E98" s="20">
        <f t="shared" si="43"/>
        <v>0.98207283444590499</v>
      </c>
      <c r="F98" s="20">
        <f t="shared" si="43"/>
        <v>0.87935113474158166</v>
      </c>
      <c r="G98" s="20">
        <f t="shared" si="43"/>
        <v>0.77037870755767446</v>
      </c>
      <c r="H98" s="20">
        <f t="shared" si="43"/>
        <v>0.65486911600635023</v>
      </c>
      <c r="I98" s="20">
        <f t="shared" si="43"/>
        <v>0.53261186270273975</v>
      </c>
      <c r="J98" s="20">
        <f t="shared" si="43"/>
        <v>0.40326054252478605</v>
      </c>
      <c r="K98" s="21">
        <f t="shared" si="43"/>
        <v>0.26654410519719901</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1.132498939791053</v>
      </c>
      <c r="C101" s="20">
        <f t="shared" si="46"/>
        <v>1.0881512646665978</v>
      </c>
      <c r="D101" s="20">
        <f t="shared" si="46"/>
        <v>1.0409092359246779</v>
      </c>
      <c r="E101" s="20">
        <f t="shared" si="46"/>
        <v>0.99068063339903667</v>
      </c>
      <c r="F101" s="20">
        <f t="shared" si="46"/>
        <v>0.93728116126664551</v>
      </c>
      <c r="G101" s="20">
        <f t="shared" si="46"/>
        <v>0.88063227300490687</v>
      </c>
      <c r="H101" s="20">
        <f t="shared" si="46"/>
        <v>0.82058506552271593</v>
      </c>
      <c r="I101" s="20">
        <f t="shared" si="46"/>
        <v>0.75703011258131647</v>
      </c>
      <c r="J101" s="20">
        <f t="shared" si="46"/>
        <v>0.68978733683857885</v>
      </c>
      <c r="K101" s="21">
        <f t="shared" si="46"/>
        <v>0.61871583387349482</v>
      </c>
      <c r="N101" s="3559"/>
      <c r="O101" s="3561"/>
      <c r="Z101" s="1719" t="s">
        <v>6462</v>
      </c>
      <c r="AA101" s="1721">
        <v>101</v>
      </c>
    </row>
    <row r="102" spans="1:27" ht="13.35" customHeight="1">
      <c r="A102" s="17" t="s">
        <v>718</v>
      </c>
      <c r="B102" s="220">
        <f>IF(OR(B86="Choose mgt fee",B86="Choose One!"),"",(B79+B80+B81+B82+B83) / -(B85+B86+B87))</f>
        <v>1.1573239166929932</v>
      </c>
      <c r="C102" s="220">
        <f t="shared" ref="C102:K102" si="47">IF(OR(C86="Choose mgt fee",C86="Choose One!"),"",(C79+C80+C81+C82+C83) / -(C85+C86+C87))</f>
        <v>1.1468592239579773</v>
      </c>
      <c r="D102" s="220">
        <f t="shared" si="47"/>
        <v>1.1364826142353937</v>
      </c>
      <c r="E102" s="220">
        <f t="shared" si="47"/>
        <v>1.1261971671767583</v>
      </c>
      <c r="F102" s="220">
        <f t="shared" si="47"/>
        <v>1.1159932707161033</v>
      </c>
      <c r="G102" s="220">
        <f t="shared" si="47"/>
        <v>1.1058772573818294</v>
      </c>
      <c r="H102" s="220">
        <f t="shared" si="47"/>
        <v>1.0958460313386407</v>
      </c>
      <c r="I102" s="220">
        <f t="shared" si="47"/>
        <v>1.0859022852211788</v>
      </c>
      <c r="J102" s="220">
        <f t="shared" si="47"/>
        <v>1.0760404085548105</v>
      </c>
      <c r="K102" s="221">
        <f t="shared" si="47"/>
        <v>1.0662605511526027</v>
      </c>
      <c r="N102" s="3559"/>
      <c r="O102" s="3561"/>
      <c r="Z102" s="1719" t="s">
        <v>6462</v>
      </c>
      <c r="AA102" s="1721">
        <v>102</v>
      </c>
    </row>
    <row r="103" spans="1:27" ht="13.35" customHeight="1">
      <c r="A103" s="341" t="s">
        <v>2405</v>
      </c>
      <c r="B103" s="177">
        <f>IF('Part II-Sources of Funds'!$I$40="","",-FV('Part II-Sources of Funds'!$K$40/12,12,B90/12,K72))</f>
        <v>549330.01477231714</v>
      </c>
      <c r="C103" s="177">
        <f>IF('Part II-Sources of Funds'!$I$40="","",-FV('Part II-Sources of Funds'!$K$40/12,12,C90/12,B103))</f>
        <v>532918.76248578797</v>
      </c>
      <c r="D103" s="177">
        <f>IF('Part II-Sources of Funds'!$I$40="","",-FV('Part II-Sources of Funds'!$K$40/12,12,D90/12,C103))</f>
        <v>516342.6434006787</v>
      </c>
      <c r="E103" s="177">
        <f>IF('Part II-Sources of Funds'!$I$40="","",-FV('Part II-Sources of Funds'!$K$40/12,12,E90/12,D103))</f>
        <v>499600.00127157918</v>
      </c>
      <c r="F103" s="177">
        <f>IF('Part II-Sources of Funds'!$I$40="","",-FV('Part II-Sources of Funds'!$K$40/12,12,F90/12,E103))</f>
        <v>482689.16321450262</v>
      </c>
      <c r="G103" s="177">
        <f>IF('Part II-Sources of Funds'!$I$40="","",-FV('Part II-Sources of Funds'!$K$40/12,12,G90/12,F103))</f>
        <v>465608.43953973526</v>
      </c>
      <c r="H103" s="177">
        <f>IF('Part II-Sources of Funds'!$I$40="","",-FV('Part II-Sources of Funds'!$K$40/12,12,H90/12,G103))</f>
        <v>448356.12358300644</v>
      </c>
      <c r="I103" s="177">
        <f>IF('Part II-Sources of Funds'!$I$40="","",-FV('Part II-Sources of Funds'!$K$40/12,12,I90/12,H103))</f>
        <v>430930.49153496302</v>
      </c>
      <c r="J103" s="177">
        <f>IF('Part II-Sources of Funds'!$I$40="","",-FV('Part II-Sources of Funds'!$K$40/12,12,J90/12,I103))</f>
        <v>413329.80226893059</v>
      </c>
      <c r="K103" s="177">
        <f>IF('Part II-Sources of Funds'!$I$40="","",-FV('Part II-Sources of Funds'!$K$40/12,12,K90/12,J103))</f>
        <v>395552.29716694419</v>
      </c>
      <c r="N103" s="3559"/>
      <c r="O103" s="3561"/>
      <c r="Z103" s="1719" t="s">
        <v>6462</v>
      </c>
      <c r="AA103" s="1721">
        <v>103</v>
      </c>
    </row>
    <row r="104" spans="1:27" ht="13.35" customHeight="1">
      <c r="A104" s="341" t="s">
        <v>2406</v>
      </c>
      <c r="B104" s="178">
        <f>IF('Part II-Sources of Funds'!$I$41="","",-FV('Part II-Sources of Funds'!$K$41/12,12,B91/12,K73))</f>
        <v>180990.09123030456</v>
      </c>
      <c r="C104" s="178">
        <f>IF('Part II-Sources of Funds'!$I$41="","",-FV('Part II-Sources of Funds'!$K$41/12,12,C91/12,B104))</f>
        <v>163692.05553704352</v>
      </c>
      <c r="D104" s="178">
        <f>IF('Part II-Sources of Funds'!$I$41="","",-FV('Part II-Sources of Funds'!$K$41/12,12,D91/12,C104))</f>
        <v>145750.18263037503</v>
      </c>
      <c r="E104" s="178">
        <f>IF('Part II-Sources of Funds'!$I$41="","",-FV('Part II-Sources of Funds'!$K$41/12,12,E91/12,D104))</f>
        <v>127140.50872824207</v>
      </c>
      <c r="F104" s="178">
        <f>IF('Part II-Sources of Funds'!$I$41="","",-FV('Part II-Sources of Funds'!$K$41/12,12,F91/12,E104))</f>
        <v>107838.17811062792</v>
      </c>
      <c r="G104" s="178">
        <f>IF('Part II-Sources of Funds'!$I$41="","",-FV('Part II-Sources of Funds'!$K$41/12,12,G91/12,F104))</f>
        <v>87817.409921402374</v>
      </c>
      <c r="H104" s="178">
        <f>IF('Part II-Sources of Funds'!$I$41="","",-FV('Part II-Sources of Funds'!$K$41/12,12,H91/12,G104))</f>
        <v>67051.463734524237</v>
      </c>
      <c r="I104" s="178">
        <f>IF('Part II-Sources of Funds'!$I$41="","",-FV('Part II-Sources of Funds'!$K$41/12,12,I91/12,H104))</f>
        <v>45512.603838609357</v>
      </c>
      <c r="J104" s="178">
        <f>IF('Part II-Sources of Funds'!$I$41="","",-FV('Part II-Sources of Funds'!$K$41/12,12,J91/12,I104))</f>
        <v>23172.062192161287</v>
      </c>
      <c r="K104" s="178">
        <f>IF('Part II-Sources of Funds'!$I$41="","",-FV('Part II-Sources of Funds'!$K$41/12,12,K91/12,J104))</f>
        <v>-1.3580574886873364E-8</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486720.10309490748</v>
      </c>
      <c r="C109" s="15">
        <f>$B$15*(1+$B$6)^(C108-1)</f>
        <v>496454.50515680551</v>
      </c>
      <c r="D109" s="15">
        <f>$B$15*(1+$B$6)^(D108-1)</f>
        <v>506383.59525994177</v>
      </c>
      <c r="E109" s="15">
        <f>$B$15*(1+$B$6)^(E108-1)</f>
        <v>516511.2671651406</v>
      </c>
      <c r="F109" s="497">
        <f>$B$15*(1+$B$6)^(F108-1)</f>
        <v>526841.49250844342</v>
      </c>
      <c r="G109" s="13"/>
      <c r="H109" s="13"/>
      <c r="I109" s="13"/>
      <c r="J109" s="13"/>
      <c r="K109" s="13"/>
      <c r="N109" s="3562"/>
      <c r="O109" s="3564"/>
      <c r="Z109" s="1719" t="s">
        <v>6463</v>
      </c>
      <c r="AA109" s="1721">
        <v>109</v>
      </c>
    </row>
    <row r="110" spans="1:27" ht="13.35" customHeight="1">
      <c r="A110" s="17" t="s">
        <v>952</v>
      </c>
      <c r="B110" s="18">
        <f>$B$16*(1+$B$6)^(B108-1)</f>
        <v>9734.4020618981504</v>
      </c>
      <c r="C110" s="18">
        <f>$B$16*(1+$B$6)^(C108-1)</f>
        <v>9929.09010313611</v>
      </c>
      <c r="D110" s="18">
        <f>$B$16*(1+$B$6)^(D108-1)</f>
        <v>10127.671905198835</v>
      </c>
      <c r="E110" s="18">
        <f>$B$16*(1+$B$6)^(E108-1)</f>
        <v>10330.225343302813</v>
      </c>
      <c r="F110" s="19">
        <f>$B$16*(1+$B$6)^(F108-1)</f>
        <v>10536.829850168868</v>
      </c>
      <c r="G110" s="13"/>
      <c r="H110" s="13"/>
      <c r="I110" s="13"/>
      <c r="J110" s="13"/>
      <c r="K110" s="13"/>
      <c r="N110" s="3559"/>
      <c r="O110" s="3561"/>
      <c r="Z110" s="1719" t="s">
        <v>6463</v>
      </c>
      <c r="AA110" s="1721">
        <v>110</v>
      </c>
    </row>
    <row r="111" spans="1:27" ht="13.35" customHeight="1">
      <c r="A111" s="17" t="s">
        <v>2216</v>
      </c>
      <c r="B111" s="18">
        <f>-(B109+B110)*$B$9</f>
        <v>-34751.815360976398</v>
      </c>
      <c r="C111" s="18">
        <f>-(C109+C110)*$B$9</f>
        <v>-35446.851668195915</v>
      </c>
      <c r="D111" s="18">
        <f>-(D109+D110)*$B$9</f>
        <v>-36155.788701559846</v>
      </c>
      <c r="E111" s="18">
        <f>-(E109+E110)*$B$9</f>
        <v>-36878.904475591044</v>
      </c>
      <c r="F111" s="19">
        <f>-(F109+F110)*$B$9</f>
        <v>-37616.482565102866</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461702.68979582924</v>
      </c>
      <c r="C114" s="18">
        <f>SUM(C109:C113)</f>
        <v>470936.74359174568</v>
      </c>
      <c r="D114" s="18">
        <f>SUM(D109:D113)</f>
        <v>480355.47846358077</v>
      </c>
      <c r="E114" s="18">
        <f>SUM(E109:E113)</f>
        <v>489962.58803285239</v>
      </c>
      <c r="F114" s="19">
        <f>SUM(F109:F113)</f>
        <v>499761.83979350945</v>
      </c>
      <c r="G114" s="13"/>
      <c r="H114" s="13"/>
      <c r="I114" s="13"/>
      <c r="J114" s="13"/>
      <c r="K114" s="13"/>
      <c r="N114" s="3559"/>
      <c r="O114" s="3561"/>
      <c r="Z114" s="1719" t="s">
        <v>6463</v>
      </c>
      <c r="AA114" s="1721">
        <v>114</v>
      </c>
    </row>
    <row r="115" spans="1:27" ht="13.35" customHeight="1">
      <c r="A115" s="17" t="s">
        <v>572</v>
      </c>
      <c r="B115" s="18">
        <f>$B$21*(1+$B$7)^(B108-1)</f>
        <v>-372752.27043812477</v>
      </c>
      <c r="C115" s="18">
        <f>$B$21*(1+$B$7)^(C108-1)</f>
        <v>-383934.83855126856</v>
      </c>
      <c r="D115" s="18">
        <f>$B$21*(1+$B$7)^(D108-1)</f>
        <v>-395452.88370780653</v>
      </c>
      <c r="E115" s="18">
        <f>$B$21*(1+$B$7)^(E108-1)</f>
        <v>-407316.47021904076</v>
      </c>
      <c r="F115" s="19">
        <f>$B$21*(1+$B$7)^(F108-1)</f>
        <v>-419535.96432561189</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-27702</v>
      </c>
      <c r="C116" s="18">
        <f>IF(AND('Part VI-Pro Forma'!$G$9="Yes",'Part VI-Pro Forma'!$G$10="Yes"),"Choose One!",IF('Part VI-Pro Forma'!$G$9="Yes",ROUND((-$K$9*(1+'Part VI-Pro Forma'!$B$7)^('Part VI-Pro Forma'!C108-1)),),IF('Part VI-Pro Forma'!$G$10="Yes",ROUND((-(SUM(C109:C112)*'Part VI-Pro Forma'!$K$10)),),"Choose mgt fee")))</f>
        <v>-28256</v>
      </c>
      <c r="D116" s="18">
        <f>IF(AND('Part VI-Pro Forma'!$G$9="Yes",'Part VI-Pro Forma'!$G$10="Yes"),"Choose One!",IF('Part VI-Pro Forma'!$G$9="Yes",ROUND((-$K$9*(1+'Part VI-Pro Forma'!$B$7)^('Part VI-Pro Forma'!D108-1)),),IF('Part VI-Pro Forma'!$G$10="Yes",ROUND((-(SUM(D109:D112)*'Part VI-Pro Forma'!$K$10)),),"Choose mgt fee")))</f>
        <v>-28821</v>
      </c>
      <c r="E116" s="18">
        <f>IF(AND('Part VI-Pro Forma'!$G$9="Yes",'Part VI-Pro Forma'!$G$10="Yes"),"Choose One!",IF('Part VI-Pro Forma'!$G$9="Yes",ROUND((-$K$9*(1+'Part VI-Pro Forma'!$B$7)^('Part VI-Pro Forma'!E108-1)),),IF('Part VI-Pro Forma'!$G$10="Yes",ROUND((-(SUM(E109:E112)*'Part VI-Pro Forma'!$K$10)),),"Choose mgt fee")))</f>
        <v>-29398</v>
      </c>
      <c r="F116" s="19">
        <f>IF(AND('Part VI-Pro Forma'!$G$9="Yes",'Part VI-Pro Forma'!$G$10="Yes"),"Choose One!",IF('Part VI-Pro Forma'!$G$9="Yes",ROUND((-$K$9*(1+'Part VI-Pro Forma'!$B$7)^('Part VI-Pro Forma'!F108-1)),),IF('Part VI-Pro Forma'!$G$10="Yes",ROUND((-(SUM(F109:F112)*'Part VI-Pro Forma'!$K$10)),),"Choose mgt fee")))</f>
        <v>-29986</v>
      </c>
      <c r="G116" s="13"/>
      <c r="H116" s="13"/>
      <c r="I116" s="13"/>
      <c r="J116" s="13"/>
      <c r="K116" s="13"/>
      <c r="N116" s="3559"/>
      <c r="O116" s="3561"/>
      <c r="Z116" s="1719" t="s">
        <v>6463</v>
      </c>
      <c r="AA116" s="1721">
        <v>116</v>
      </c>
    </row>
    <row r="117" spans="1:27" ht="13.35" customHeight="1">
      <c r="A117" s="17" t="s">
        <v>1128</v>
      </c>
      <c r="B117" s="18">
        <f>$B$23*(1+$B$8)^(B108-1)</f>
        <v>-36530.300191404371</v>
      </c>
      <c r="C117" s="18">
        <f>$B$23*(1+$B$8)^(C108-1)</f>
        <v>-37626.209197146505</v>
      </c>
      <c r="D117" s="18">
        <f>$B$23*(1+$B$8)^(D108-1)</f>
        <v>-38754.995473060895</v>
      </c>
      <c r="E117" s="18">
        <f>$B$23*(1+$B$8)^(E108-1)</f>
        <v>-39917.645337252725</v>
      </c>
      <c r="F117" s="19">
        <f>$B$23*(1+$B$8)^(F108-1)</f>
        <v>-41115.174697370298</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24718.119166300094</v>
      </c>
      <c r="C119" s="18">
        <f>SUM(C114:C118)</f>
        <v>21119.695843330606</v>
      </c>
      <c r="D119" s="18">
        <f>SUM(D114:D118)</f>
        <v>17326.599282713352</v>
      </c>
      <c r="E119" s="18">
        <f>SUM(E114:E118)</f>
        <v>13330.472476558913</v>
      </c>
      <c r="F119" s="1215">
        <f>SUM(F114:F118)</f>
        <v>9124.7007705272699</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-21829.469948534566</v>
      </c>
      <c r="C120" s="342">
        <f>IF('Part II-Sources of Funds'!$P$40="", 0,-'Part II-Sources of Funds'!$P$40)</f>
        <v>-21829.469948534566</v>
      </c>
      <c r="D120" s="342">
        <f>IF('Part II-Sources of Funds'!$P$40="", 0,-'Part II-Sources of Funds'!$P$40)</f>
        <v>-21829.469948534566</v>
      </c>
      <c r="E120" s="342">
        <f>IF('Part II-Sources of Funds'!$P$40="", 0,-'Part II-Sources of Funds'!$P$40)</f>
        <v>-21829.469948534566</v>
      </c>
      <c r="F120" s="342">
        <f>IF('Part II-Sources of Funds'!$P$40="", 0,-'Part II-Sources of Funds'!$P$40)</f>
        <v>-21829.469948534566</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-23634.013092405363</v>
      </c>
      <c r="C121" s="178">
        <f>IF('Part II-Sources of Funds'!$P$41="", 0,-'Part II-Sources of Funds'!$P$41)</f>
        <v>-23634.013092405363</v>
      </c>
      <c r="D121" s="178">
        <f>IF('Part II-Sources of Funds'!$P$41="", 0,-'Part II-Sources of Funds'!$P$41)</f>
        <v>-23634.013092405363</v>
      </c>
      <c r="E121" s="178">
        <f>IF('Part II-Sources of Funds'!$P$41="", 0,-'Part II-Sources of Funds'!$P$41)</f>
        <v>-23634.013092405363</v>
      </c>
      <c r="F121" s="178">
        <f>IF('Part II-Sources of Funds'!$P$41="", 0,-'Part II-Sources of Funds'!$P$41)</f>
        <v>-23634.013092405363</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-3000</v>
      </c>
      <c r="C125" s="179">
        <f>+B125</f>
        <v>-3000</v>
      </c>
      <c r="D125" s="179">
        <f>+C125</f>
        <v>-3000</v>
      </c>
      <c r="E125" s="179">
        <f>+D125</f>
        <v>-3000</v>
      </c>
      <c r="F125" s="179">
        <f>+E125</f>
        <v>-3000</v>
      </c>
      <c r="G125" s="13"/>
      <c r="H125" s="13"/>
      <c r="I125" s="13"/>
      <c r="J125" s="13"/>
      <c r="K125" s="13"/>
      <c r="N125" s="3559"/>
      <c r="O125" s="3561"/>
      <c r="Z125" s="1719" t="s">
        <v>6463</v>
      </c>
      <c r="AA125" s="1721">
        <v>125</v>
      </c>
    </row>
    <row r="126" spans="1:27" ht="13.35" customHeight="1">
      <c r="A126" s="17" t="s">
        <v>1096</v>
      </c>
      <c r="B126" s="18">
        <f>SUM(B119:B125)</f>
        <v>-23745.363874639836</v>
      </c>
      <c r="C126" s="18">
        <f>SUM(C119:C125)</f>
        <v>-27343.787197609323</v>
      </c>
      <c r="D126" s="18">
        <f>SUM(D119:D125)</f>
        <v>-31136.883758226577</v>
      </c>
      <c r="E126" s="18">
        <f>SUM(E119:E125)</f>
        <v>-35133.010564381017</v>
      </c>
      <c r="F126" s="19">
        <f>SUM(F119:F125)</f>
        <v>-39338.782270412659</v>
      </c>
      <c r="G126" s="13"/>
      <c r="H126" s="13"/>
      <c r="I126" s="13"/>
      <c r="J126" s="13"/>
      <c r="K126" s="13"/>
      <c r="N126" s="3559"/>
      <c r="O126" s="3561"/>
      <c r="Z126" s="1719" t="s">
        <v>6463</v>
      </c>
      <c r="AA126" s="1721">
        <v>126</v>
      </c>
    </row>
    <row r="127" spans="1:27" ht="13.35" customHeight="1">
      <c r="A127" s="17" t="str">
        <f>$A97</f>
        <v>DCR Mortgage A</v>
      </c>
      <c r="B127" s="20">
        <f>IF(B120=0,"",-B119/B120)</f>
        <v>1.1323279596149536</v>
      </c>
      <c r="C127" s="20">
        <f>IF(C120=0,"",-C119/C120)</f>
        <v>0.96748550895292773</v>
      </c>
      <c r="D127" s="20">
        <f>IF(D120=0,"",-D119/D120)</f>
        <v>0.79372514878110922</v>
      </c>
      <c r="E127" s="20">
        <f>IF(E120=0,"",-E119/E120)</f>
        <v>0.61066404763775772</v>
      </c>
      <c r="F127" s="21">
        <f>IF(F120=0,"",-F119/F120)</f>
        <v>0.41799919063723395</v>
      </c>
      <c r="G127" s="13"/>
      <c r="H127" s="13"/>
      <c r="I127" s="13"/>
      <c r="J127" s="13"/>
      <c r="K127" s="13"/>
      <c r="N127" s="3559"/>
      <c r="O127" s="3561"/>
      <c r="Z127" s="1719" t="s">
        <v>6463</v>
      </c>
      <c r="AA127" s="1721">
        <v>127</v>
      </c>
    </row>
    <row r="128" spans="1:27" ht="13.35" customHeight="1">
      <c r="A128" s="17" t="str">
        <f>$A98</f>
        <v>DCR Mortgage B</v>
      </c>
      <c r="B128" s="20">
        <f>IF(B121=0,"",-(B119+B120)/B121)</f>
        <v>0.12222423701262043</v>
      </c>
      <c r="C128" s="20">
        <f>IF(C121=0,"",-(C119+C120)/C121)</f>
        <v>-3.0031891005088823E-2</v>
      </c>
      <c r="D128" s="20">
        <f>IF(D121=0,"",-(D119+D120)/D121)</f>
        <v>-0.19052501359865043</v>
      </c>
      <c r="E128" s="20">
        <f>IF(E121=0,"",-(E119+E120)/E121)</f>
        <v>-0.3596087316506883</v>
      </c>
      <c r="F128" s="21">
        <f>IF(F121=0,"",-(F119+F120)/F121)</f>
        <v>-0.53756292375457349</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0.54369171724131637</v>
      </c>
      <c r="C131" s="20">
        <f>IF(AND(C120=0,C121=0,C122=0,C123=0),"",-C119/(C120+C121+C122+C123))</f>
        <v>0.46454196710604623</v>
      </c>
      <c r="D131" s="20">
        <f>IF(AND(D120=0,D121=0,D122=0,D123=0),"",-D119/(D120+D121+D122+D123))</f>
        <v>0.38111024769287311</v>
      </c>
      <c r="E131" s="20">
        <f>IF(AND(E120=0,E121=0,E122=0,E123=0),"",-E119/(E120+E121+E122+E123))</f>
        <v>0.29321274097179933</v>
      </c>
      <c r="F131" s="21">
        <f>IF(AND(F120=0,F121=0,F122=0,F123=0),"",-F119/(F120+F121+F122+F123))</f>
        <v>0.20070395315533709</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1.0565651989283984</v>
      </c>
      <c r="C132" s="220">
        <f>IF(OR(C116="Choose mgt fee",C116="Choose One!"),"",(C109+C110+C111+C112+C113) / -(C115+C116+C117))</f>
        <v>1.0469517461577911</v>
      </c>
      <c r="D132" s="220">
        <f>IF(OR(D116="Choose mgt fee",D116="Choose One!"),"",(D109+D110+D111+D112+D113) / -(D115+D116+D117))</f>
        <v>1.0374201266093066</v>
      </c>
      <c r="E132" s="220">
        <f>IF(OR(E116="Choose mgt fee",E116="Choose One!"),"",(E109+E110+E111+E112+E113) / -(E115+E116+E117))</f>
        <v>1.0279680534346716</v>
      </c>
      <c r="F132" s="498">
        <f>IF(OR(F116="Choose mgt fee",F116="Choose One!"),"",(F109+F110+F111+F112+F113) / -(F115+F116+F117))</f>
        <v>1.0185976560777634</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377596.19994403154</v>
      </c>
      <c r="C133" s="177">
        <f>IF('Part II-Sources of Funds'!$I$40="","",-FV('Part II-Sources of Funds'!$K$40/12,12,C120/12,B133))</f>
        <v>359459.71647073113</v>
      </c>
      <c r="D133" s="177">
        <f>IF('Part II-Sources of Funds'!$I$40="","",-FV('Part II-Sources of Funds'!$K$40/12,12,D120/12,C133))</f>
        <v>341141.03459382692</v>
      </c>
      <c r="E133" s="177">
        <f>IF('Part II-Sources of Funds'!$I$40="","",-FV('Part II-Sources of Funds'!$K$40/12,12,E120/12,D133))</f>
        <v>322638.32395528263</v>
      </c>
      <c r="F133" s="177">
        <f>IF('Part II-Sources of Funds'!$I$40="","",-FV('Part II-Sources of Funds'!$K$40/12,12,F120/12,E133))</f>
        <v>303949.73580935673</v>
      </c>
      <c r="G133" s="13"/>
      <c r="H133" s="13"/>
      <c r="I133" s="13"/>
      <c r="J133" s="13"/>
      <c r="K133" s="13"/>
      <c r="N133" s="3559"/>
      <c r="O133" s="3561"/>
      <c r="Z133" s="1719" t="s">
        <v>6463</v>
      </c>
      <c r="AA133" s="1721">
        <v>133</v>
      </c>
    </row>
    <row r="134" spans="1:27" ht="13.35" customHeight="1">
      <c r="A134" s="341" t="s">
        <v>2406</v>
      </c>
      <c r="B134" s="178">
        <f>IF('Part II-Sources of Funds'!$I$41="","",-FV('Part II-Sources of Funds'!$K$41/12,12,B121/12,K104))</f>
        <v>-24034.532140526335</v>
      </c>
      <c r="C134" s="178">
        <f>IF('Part II-Sources of Funds'!$I$41="","",-FV('Part II-Sources of Funds'!$K$41/12,12,C121/12,B134))</f>
        <v>-48963.63557649131</v>
      </c>
      <c r="D134" s="178">
        <f>IF('Part II-Sources of Funds'!$I$41="","",-FV('Part II-Sources of Funds'!$K$41/12,12,D121/12,C134))</f>
        <v>-74820.606475188513</v>
      </c>
      <c r="E134" s="178">
        <f>IF('Part II-Sources of Funds'!$I$41="","",-FV('Part II-Sources of Funds'!$K$41/12,12,E121/12,D134))</f>
        <v>-101639.98029556891</v>
      </c>
      <c r="F134" s="178">
        <f>IF('Part II-Sources of Funds'!$I$41="","",-FV('Part II-Sources of Funds'!$K$41/12,12,F121/12,E134))</f>
        <v>-129457.57791500026</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7096</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222" zoomScaleNormal="100" workbookViewId="0">
      <selection activeCell="S78" sqref="S78"/>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Hillmont Apartments, Lake Park, Lowndes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6770</v>
      </c>
      <c r="Q3" s="3685" t="s">
        <v>6530</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6771</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1"/>
      <c r="Q31" s="3702"/>
    </row>
    <row r="32" spans="1:17" ht="20.25" customHeight="1">
      <c r="B32" s="2034" t="s">
        <v>6773</v>
      </c>
      <c r="C32" s="2034"/>
      <c r="D32" s="2034"/>
      <c r="E32" s="2034"/>
      <c r="F32" s="2034"/>
      <c r="G32" s="2031"/>
      <c r="H32" s="2031"/>
      <c r="I32" s="2031"/>
      <c r="J32" s="2031"/>
      <c r="K32" s="2026"/>
      <c r="L32" s="2026"/>
      <c r="M32" s="2026"/>
      <c r="N32" s="2026"/>
      <c r="O32" s="2026"/>
      <c r="P32" s="2026"/>
    </row>
    <row r="33" spans="1:17" ht="77.45" customHeight="1">
      <c r="A33" s="3703" t="s">
        <v>7106</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5" t="s">
        <v>3239</v>
      </c>
      <c r="D40" s="2045"/>
      <c r="E40" s="2045"/>
      <c r="F40" s="2045"/>
      <c r="G40" s="2045"/>
      <c r="H40" s="2043"/>
      <c r="I40" s="2031"/>
      <c r="J40" s="2031"/>
    </row>
    <row r="41" spans="1:17" ht="20.25" customHeight="1">
      <c r="A41" s="3722" t="s">
        <v>7064</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6775</v>
      </c>
      <c r="C47" s="2042"/>
      <c r="D47" s="2036"/>
      <c r="E47" s="2036"/>
      <c r="F47" s="2036"/>
      <c r="G47" s="2036"/>
      <c r="H47" s="2036"/>
      <c r="I47" s="2036"/>
      <c r="J47" s="2036"/>
      <c r="L47" s="2051"/>
      <c r="M47" s="2052"/>
      <c r="O47" s="2032"/>
      <c r="P47" s="3720" t="s">
        <v>2649</v>
      </c>
      <c r="Q47" s="3721"/>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46.9" customHeight="1">
      <c r="A49" s="3703" t="s">
        <v>7082</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7065</v>
      </c>
      <c r="J53" s="3714"/>
      <c r="K53" s="3714"/>
      <c r="L53" s="3714"/>
      <c r="M53" s="3714"/>
      <c r="N53" s="3714"/>
      <c r="O53" s="3714"/>
      <c r="P53" s="3714"/>
      <c r="Q53" s="3715"/>
    </row>
    <row r="54" spans="1:17" ht="20.25" customHeight="1">
      <c r="A54" s="2053"/>
      <c r="B54" s="2030" t="s">
        <v>6776</v>
      </c>
      <c r="D54" s="2056"/>
      <c r="E54" s="2056"/>
      <c r="F54" s="2056"/>
      <c r="I54" s="3716">
        <v>0.997</v>
      </c>
      <c r="J54" s="3717"/>
      <c r="K54" s="3718"/>
      <c r="L54" s="2044"/>
      <c r="M54" s="2057"/>
      <c r="N54" s="2057"/>
      <c r="O54" s="2057"/>
      <c r="P54" s="2057"/>
      <c r="Q54" s="2026"/>
    </row>
    <row r="55" spans="1:17" ht="20.25" customHeight="1">
      <c r="A55" s="2053"/>
      <c r="B55" s="2030" t="s">
        <v>6777</v>
      </c>
      <c r="D55" s="2056"/>
      <c r="E55" s="2056"/>
      <c r="F55" s="2056"/>
      <c r="H55" s="2044" t="s">
        <v>6778</v>
      </c>
      <c r="I55" s="3716">
        <v>0</v>
      </c>
      <c r="J55" s="3717"/>
      <c r="K55" s="3718"/>
      <c r="L55" s="2058"/>
      <c r="M55" s="2059" t="s">
        <v>6779</v>
      </c>
      <c r="N55" s="3734" t="s">
        <v>2813</v>
      </c>
      <c r="O55" s="3718"/>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97.9" customHeight="1">
      <c r="A57" s="3703" t="s">
        <v>7097</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6780</v>
      </c>
      <c r="I63" s="2062"/>
      <c r="J63" s="3734" t="s">
        <v>7066</v>
      </c>
      <c r="K63" s="3734"/>
      <c r="L63" s="3734"/>
      <c r="M63" s="3734"/>
      <c r="N63" s="3734"/>
      <c r="O63" s="3734"/>
      <c r="P63" s="3734"/>
      <c r="Q63" s="3737"/>
    </row>
    <row r="64" spans="1:17" ht="20.25" customHeight="1">
      <c r="A64" s="2053"/>
      <c r="B64" s="2030" t="s">
        <v>3947</v>
      </c>
      <c r="O64" s="2044"/>
      <c r="P64" s="2065" t="s">
        <v>2649</v>
      </c>
      <c r="Q64" s="2066"/>
    </row>
    <row r="65" spans="1:17" ht="33" customHeight="1">
      <c r="B65" s="2042"/>
      <c r="C65" s="3711" t="s">
        <v>6781</v>
      </c>
      <c r="D65" s="3711"/>
      <c r="E65" s="3711"/>
      <c r="F65" s="3711"/>
      <c r="G65" s="3711"/>
      <c r="H65" s="3711"/>
      <c r="I65" s="3711"/>
      <c r="J65" s="3711"/>
      <c r="K65" s="3711"/>
      <c r="L65" s="3711"/>
      <c r="M65" s="3711"/>
      <c r="N65" s="3711"/>
      <c r="O65" s="3711"/>
      <c r="P65" s="2065" t="s">
        <v>2652</v>
      </c>
      <c r="Q65" s="2066"/>
    </row>
    <row r="66" spans="1:17" ht="33" customHeight="1">
      <c r="A66" s="2053"/>
      <c r="B66" s="2042"/>
      <c r="C66" s="3711" t="s">
        <v>6782</v>
      </c>
      <c r="D66" s="3711"/>
      <c r="E66" s="3711"/>
      <c r="F66" s="3711"/>
      <c r="G66" s="3711"/>
      <c r="H66" s="3711"/>
      <c r="I66" s="3711"/>
      <c r="J66" s="3711"/>
      <c r="K66" s="3711"/>
      <c r="L66" s="3711"/>
      <c r="M66" s="3711"/>
      <c r="N66" s="3711"/>
      <c r="O66" s="3711"/>
      <c r="P66" s="2067" t="s">
        <v>7052</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46.15" customHeight="1">
      <c r="A68" s="3722" t="s">
        <v>7083</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6783</v>
      </c>
      <c r="C74" s="3711"/>
      <c r="D74" s="3711"/>
      <c r="E74" s="3711"/>
      <c r="F74" s="3711"/>
      <c r="G74" s="3711"/>
      <c r="H74" s="3711"/>
      <c r="I74" s="3711"/>
      <c r="J74" s="3711"/>
      <c r="K74" s="3712"/>
      <c r="L74" s="3730" t="s">
        <v>7067</v>
      </c>
      <c r="M74" s="3731"/>
      <c r="N74" s="3731"/>
      <c r="O74" s="3731"/>
      <c r="P74" s="3732"/>
      <c r="Q74" s="3733"/>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39" t="s">
        <v>6790</v>
      </c>
      <c r="C82" s="3739"/>
      <c r="D82" s="3739"/>
      <c r="E82" s="3739"/>
      <c r="F82" s="3739"/>
      <c r="G82" s="3739"/>
      <c r="H82" s="3739"/>
      <c r="I82" s="3739"/>
      <c r="J82" s="3739"/>
      <c r="K82" s="3739"/>
      <c r="L82" s="3739"/>
      <c r="M82" s="3739"/>
      <c r="N82" s="3739"/>
      <c r="O82" s="3739"/>
      <c r="P82" s="3739"/>
      <c r="Q82" s="3739"/>
    </row>
    <row r="83" spans="1:23" ht="20.25" customHeight="1">
      <c r="B83" s="3734" t="s">
        <v>2514</v>
      </c>
      <c r="C83" s="3734"/>
      <c r="D83" s="3734"/>
      <c r="E83" s="3734"/>
      <c r="F83" s="3734"/>
      <c r="G83" s="3734"/>
      <c r="H83" s="3734"/>
      <c r="I83" s="3734"/>
      <c r="J83" s="3734"/>
      <c r="K83" s="3734"/>
      <c r="L83" s="3734"/>
      <c r="M83" s="3734"/>
      <c r="N83" s="3734"/>
      <c r="O83" s="3734"/>
      <c r="P83" s="3734"/>
      <c r="Q83" s="3737"/>
    </row>
    <row r="84" spans="1:23" ht="20.25" customHeight="1">
      <c r="B84" s="2060" t="s">
        <v>3239</v>
      </c>
      <c r="D84" s="2060"/>
      <c r="E84" s="2060"/>
      <c r="F84" s="2060"/>
      <c r="G84" s="2060"/>
      <c r="H84" s="2043"/>
      <c r="I84" s="2031"/>
      <c r="J84" s="2031"/>
      <c r="K84" s="2031"/>
      <c r="L84" s="2026"/>
      <c r="M84" s="2026"/>
      <c r="N84" s="2026"/>
      <c r="O84" s="2026"/>
      <c r="P84" s="2026"/>
      <c r="Q84" s="2026"/>
    </row>
    <row r="85" spans="1:23" ht="64.900000000000006" customHeight="1">
      <c r="A85" s="3703" t="s">
        <v>7098</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7068</v>
      </c>
      <c r="M91" s="3741"/>
      <c r="N91" s="3742"/>
      <c r="O91" s="3706" t="s">
        <v>1646</v>
      </c>
      <c r="P91" s="3743"/>
      <c r="Q91" s="3744"/>
    </row>
    <row r="92" spans="1:23" ht="20.25" customHeight="1">
      <c r="A92" s="2053"/>
      <c r="B92" s="2030" t="s">
        <v>636</v>
      </c>
      <c r="G92" s="3734" t="s">
        <v>7069</v>
      </c>
      <c r="H92" s="3734"/>
      <c r="I92" s="3734"/>
      <c r="J92" s="3734"/>
      <c r="K92" s="3734"/>
      <c r="L92" s="3734"/>
      <c r="M92" s="3734"/>
      <c r="N92" s="3734"/>
      <c r="O92" s="3734"/>
      <c r="P92" s="3734"/>
      <c r="Q92" s="3737"/>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40.9" customHeight="1">
      <c r="A94" s="3703" t="s">
        <v>7084</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46.15" customHeight="1">
      <c r="A101" s="3703" t="s">
        <v>7085</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3" t="s">
        <v>7070</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6791</v>
      </c>
      <c r="H114" s="2030" t="s">
        <v>6792</v>
      </c>
      <c r="J114" s="3749" t="s">
        <v>2813</v>
      </c>
      <c r="K114" s="3750"/>
      <c r="L114" s="3750"/>
      <c r="M114" s="3750"/>
      <c r="N114" s="3750"/>
      <c r="O114" s="3750"/>
      <c r="P114" s="3750"/>
      <c r="Q114" s="3751"/>
    </row>
    <row r="115" spans="1:21" ht="20.25" customHeight="1">
      <c r="A115" s="2053"/>
      <c r="B115" s="2053"/>
      <c r="H115" s="2030" t="s">
        <v>6793</v>
      </c>
      <c r="J115" s="3746" t="s">
        <v>7071</v>
      </c>
      <c r="K115" s="3747"/>
      <c r="L115" s="3747"/>
      <c r="M115" s="3747"/>
      <c r="N115" s="3747"/>
      <c r="O115" s="3747"/>
      <c r="P115" s="3747"/>
      <c r="Q115" s="3748"/>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3" t="s">
        <v>7072</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6795</v>
      </c>
      <c r="H123" s="2030" t="s">
        <v>6796</v>
      </c>
      <c r="J123" s="3749" t="s">
        <v>7073</v>
      </c>
      <c r="K123" s="3750"/>
      <c r="L123" s="3750"/>
      <c r="M123" s="3750"/>
      <c r="N123" s="3750"/>
      <c r="O123" s="3750"/>
      <c r="P123" s="3750"/>
      <c r="Q123" s="3751"/>
      <c r="R123" s="2084"/>
    </row>
    <row r="124" spans="1:21" ht="20.25" customHeight="1">
      <c r="A124" s="2083"/>
      <c r="B124" s="2053"/>
      <c r="H124" s="2030" t="s">
        <v>6797</v>
      </c>
      <c r="J124" s="3746" t="s">
        <v>7073</v>
      </c>
      <c r="K124" s="3747"/>
      <c r="L124" s="3747"/>
      <c r="M124" s="3747"/>
      <c r="N124" s="3747"/>
      <c r="O124" s="3747"/>
      <c r="P124" s="3747"/>
      <c r="Q124" s="3748"/>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3" t="s">
        <v>7074</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2" t="s">
        <v>7103</v>
      </c>
      <c r="N134" s="3753"/>
      <c r="O134" s="3753"/>
      <c r="P134" s="3753"/>
      <c r="Q134" s="3754"/>
    </row>
    <row r="135" spans="1:17" ht="20.25" customHeight="1">
      <c r="A135" s="2053"/>
      <c r="B135" s="2043"/>
      <c r="C135" s="2043" t="s">
        <v>6717</v>
      </c>
      <c r="E135" s="2043"/>
      <c r="F135" s="2043"/>
      <c r="G135" s="2043"/>
      <c r="H135" s="2043"/>
      <c r="J135" s="2044"/>
      <c r="K135" s="2033"/>
      <c r="L135" s="2033"/>
      <c r="M135" s="3755" t="s">
        <v>7075</v>
      </c>
      <c r="N135" s="3756"/>
      <c r="O135" s="3756"/>
      <c r="P135" s="3756"/>
      <c r="Q135" s="3757"/>
    </row>
    <row r="136" spans="1:17" ht="20.25" customHeight="1">
      <c r="A136" s="2053"/>
      <c r="B136" s="2043"/>
      <c r="C136" s="3758" t="s">
        <v>6192</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3785</v>
      </c>
      <c r="E137" s="2043"/>
      <c r="F137" s="2043"/>
      <c r="G137" s="2043"/>
      <c r="H137" s="2043"/>
      <c r="J137" s="2044"/>
      <c r="K137" s="2033"/>
      <c r="L137" s="2033"/>
      <c r="M137" s="3746" t="s">
        <v>7076</v>
      </c>
      <c r="N137" s="3747"/>
      <c r="O137" s="3747"/>
      <c r="P137" s="3747"/>
      <c r="Q137" s="3748"/>
    </row>
    <row r="138" spans="1:17" ht="20.25" customHeight="1">
      <c r="A138" s="2053" t="s">
        <v>1843</v>
      </c>
      <c r="B138" s="3711" t="s">
        <v>6800</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6801</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3899</v>
      </c>
      <c r="D140" s="3768"/>
      <c r="E140" s="3768"/>
      <c r="F140" s="3768"/>
      <c r="G140" s="3768"/>
      <c r="H140" s="3769"/>
      <c r="I140" s="2033"/>
      <c r="J140" s="3779" t="s">
        <v>6802</v>
      </c>
      <c r="K140" s="3780"/>
      <c r="L140" s="3780"/>
      <c r="M140" s="3780"/>
      <c r="N140" s="3780"/>
      <c r="O140" s="3780"/>
      <c r="P140" s="3780"/>
      <c r="Q140" s="3781"/>
    </row>
    <row r="141" spans="1:17" ht="15.75" customHeight="1">
      <c r="A141" s="2026"/>
      <c r="B141" s="2078" t="s">
        <v>1615</v>
      </c>
      <c r="C141" s="3770" t="s">
        <v>3898</v>
      </c>
      <c r="D141" s="3771"/>
      <c r="E141" s="3771"/>
      <c r="F141" s="3771"/>
      <c r="G141" s="3771"/>
      <c r="H141" s="3772"/>
      <c r="I141" s="2033"/>
      <c r="J141" s="3776" t="s">
        <v>6802</v>
      </c>
      <c r="K141" s="3777"/>
      <c r="L141" s="3777"/>
      <c r="M141" s="3777"/>
      <c r="N141" s="3777"/>
      <c r="O141" s="3777"/>
      <c r="P141" s="3777"/>
      <c r="Q141" s="3778"/>
    </row>
    <row r="142" spans="1:17" ht="15.75" customHeight="1">
      <c r="A142" s="2026"/>
      <c r="B142" s="2078" t="s">
        <v>1616</v>
      </c>
      <c r="C142" s="3770" t="s">
        <v>950</v>
      </c>
      <c r="D142" s="3771"/>
      <c r="E142" s="3771"/>
      <c r="F142" s="3771"/>
      <c r="G142" s="3771"/>
      <c r="H142" s="3772"/>
      <c r="I142" s="2033"/>
      <c r="J142" s="3776" t="s">
        <v>6802</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6802</v>
      </c>
      <c r="K143" s="3774"/>
      <c r="L143" s="3774"/>
      <c r="M143" s="3774"/>
      <c r="N143" s="3774"/>
      <c r="O143" s="3774"/>
      <c r="P143" s="3774"/>
      <c r="Q143" s="377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3" t="s">
        <v>7086</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6803</v>
      </c>
      <c r="C151" s="2033"/>
      <c r="D151" s="2033"/>
      <c r="E151" s="2033"/>
      <c r="F151" s="2033"/>
      <c r="G151" s="2033"/>
      <c r="H151" s="2033"/>
      <c r="I151" s="2033"/>
      <c r="J151" s="2033"/>
      <c r="K151" s="2033"/>
      <c r="L151" s="2033"/>
      <c r="M151" s="2033"/>
      <c r="N151" s="2031"/>
      <c r="O151" s="2033"/>
      <c r="P151" s="3765" t="s">
        <v>2649</v>
      </c>
      <c r="Q151" s="3766"/>
    </row>
    <row r="152" spans="1:18" ht="20.25" customHeight="1">
      <c r="A152" s="2053"/>
      <c r="B152" s="2030" t="s">
        <v>1192</v>
      </c>
      <c r="G152" s="2033"/>
      <c r="H152" s="3789" t="s">
        <v>7077</v>
      </c>
      <c r="I152" s="3790"/>
      <c r="J152" s="3790"/>
      <c r="K152" s="3790"/>
      <c r="L152" s="3790"/>
      <c r="M152" s="3790"/>
      <c r="N152" s="3790"/>
      <c r="O152" s="3790"/>
      <c r="P152" s="3791"/>
      <c r="Q152" s="3792"/>
      <c r="R152" s="2062"/>
    </row>
    <row r="153" spans="1:18" ht="20.25" customHeight="1">
      <c r="A153" s="2053"/>
      <c r="B153" s="2030" t="s">
        <v>1806</v>
      </c>
      <c r="G153" s="2033"/>
      <c r="H153" s="3793" t="s">
        <v>7066</v>
      </c>
      <c r="I153" s="3794"/>
      <c r="J153" s="3794"/>
      <c r="K153" s="3794"/>
      <c r="L153" s="3794"/>
      <c r="M153" s="3794"/>
      <c r="N153" s="3794"/>
      <c r="O153" s="3794"/>
      <c r="P153" s="3794"/>
      <c r="Q153" s="3795"/>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55.15" customHeight="1">
      <c r="A155" s="3703" t="s">
        <v>7087</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52.9" customHeight="1">
      <c r="A162" s="3703" t="s">
        <v>7099</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6197</v>
      </c>
      <c r="G168" s="2033"/>
      <c r="J168" s="2033"/>
      <c r="K168" s="2033"/>
      <c r="L168" s="2033"/>
      <c r="M168" s="2033"/>
      <c r="N168" s="2033"/>
      <c r="O168" s="2044"/>
      <c r="P168" s="2033"/>
      <c r="Q168" s="2033"/>
    </row>
    <row r="169" spans="1:17" ht="33" customHeight="1">
      <c r="B169" s="3786" t="s">
        <v>6804</v>
      </c>
      <c r="C169" s="3786"/>
      <c r="D169" s="3786"/>
      <c r="E169" s="3786"/>
      <c r="F169" s="3786"/>
      <c r="G169" s="3786"/>
      <c r="H169" s="3786"/>
      <c r="I169" s="3786"/>
      <c r="J169" s="3786"/>
      <c r="K169" s="3786"/>
      <c r="L169" s="3786"/>
      <c r="M169" s="3786"/>
      <c r="N169" s="3786"/>
      <c r="O169" s="3796"/>
      <c r="P169" s="3782" t="s">
        <v>7078</v>
      </c>
      <c r="Q169" s="3783"/>
    </row>
    <row r="170" spans="1:17" ht="20.25" customHeight="1">
      <c r="A170" s="2053" t="s">
        <v>1843</v>
      </c>
      <c r="B170" s="2029" t="s">
        <v>297</v>
      </c>
      <c r="G170" s="2033"/>
      <c r="H170" s="3784" t="s">
        <v>3255</v>
      </c>
      <c r="I170" s="3784"/>
      <c r="J170" s="3784"/>
      <c r="K170" s="3784"/>
      <c r="L170" s="3784"/>
      <c r="M170" s="3784"/>
      <c r="N170" s="3784"/>
      <c r="O170" s="3784"/>
      <c r="P170" s="3785"/>
      <c r="Q170" s="378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6" t="s">
        <v>6198</v>
      </c>
      <c r="C172" s="3786"/>
      <c r="D172" s="3786"/>
      <c r="E172" s="3786"/>
      <c r="F172" s="3786"/>
      <c r="G172" s="3786"/>
      <c r="H172" s="3786"/>
      <c r="I172" s="3786"/>
      <c r="J172" s="3786"/>
      <c r="K172" s="3786"/>
      <c r="L172" s="3786"/>
      <c r="M172" s="3786"/>
      <c r="N172" s="2439" t="s">
        <v>6199</v>
      </c>
      <c r="O172" s="2078" t="s">
        <v>698</v>
      </c>
      <c r="P172" s="3787" t="s">
        <v>7078</v>
      </c>
      <c r="Q172" s="3788"/>
    </row>
    <row r="173" spans="1:17" ht="20.25" customHeight="1">
      <c r="B173" s="2060" t="s">
        <v>3239</v>
      </c>
      <c r="M173" s="2031"/>
      <c r="N173" s="2031"/>
      <c r="O173" s="2088"/>
      <c r="P173" s="2026"/>
    </row>
    <row r="174" spans="1:17" ht="47.45" customHeight="1">
      <c r="A174" s="3703" t="s">
        <v>7088</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6803</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6805</v>
      </c>
      <c r="C181" s="3711"/>
      <c r="D181" s="3711"/>
      <c r="E181" s="3711"/>
      <c r="F181" s="3711"/>
      <c r="G181" s="3711"/>
      <c r="H181" s="3711"/>
      <c r="I181" s="3711"/>
      <c r="J181" s="3711"/>
      <c r="K181" s="3711"/>
      <c r="L181" s="3711"/>
      <c r="M181" s="3711"/>
      <c r="N181" s="3711"/>
      <c r="O181" s="3711"/>
      <c r="P181" s="3801" t="s">
        <v>7078</v>
      </c>
      <c r="Q181" s="3804"/>
    </row>
    <row r="182" spans="1:17" ht="12" customHeight="1">
      <c r="A182" s="2033"/>
      <c r="C182" s="2033"/>
      <c r="D182" s="2033"/>
      <c r="E182" s="2033"/>
      <c r="F182" s="2033"/>
      <c r="G182" s="2033"/>
      <c r="H182" s="2033"/>
      <c r="I182" s="2033"/>
      <c r="J182" s="2033"/>
      <c r="K182" s="2033"/>
      <c r="L182" s="3797" t="s">
        <v>6806</v>
      </c>
      <c r="M182" s="3797"/>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6810</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6811</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36.6" customHeight="1">
      <c r="A188" s="3703" t="s">
        <v>7089</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6803</v>
      </c>
      <c r="P194" s="3765" t="s">
        <v>2649</v>
      </c>
      <c r="Q194" s="3798"/>
    </row>
    <row r="195" spans="1:17" ht="36" customHeight="1">
      <c r="B195" s="3711" t="s">
        <v>6812</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6912</v>
      </c>
      <c r="D197" s="3786"/>
      <c r="E197" s="3786"/>
      <c r="F197" s="3713" t="s">
        <v>6202</v>
      </c>
      <c r="G197" s="3714"/>
      <c r="H197" s="3714"/>
      <c r="I197" s="3714"/>
      <c r="J197" s="3714"/>
      <c r="K197" s="3714"/>
      <c r="L197" s="3714"/>
      <c r="M197" s="3714"/>
      <c r="N197" s="3714"/>
      <c r="O197" s="3714"/>
      <c r="P197" s="3714"/>
      <c r="Q197" s="3715"/>
    </row>
    <row r="198" spans="1:17" ht="30" customHeight="1">
      <c r="B198" s="2078" t="s">
        <v>1615</v>
      </c>
      <c r="C198" s="3786" t="s">
        <v>6913</v>
      </c>
      <c r="D198" s="3786"/>
      <c r="E198" s="3786"/>
      <c r="F198" s="3786"/>
      <c r="G198" s="3796"/>
      <c r="H198" s="3713" t="s">
        <v>3248</v>
      </c>
      <c r="I198" s="3714"/>
      <c r="J198" s="3714"/>
      <c r="K198" s="3714"/>
      <c r="L198" s="3714"/>
      <c r="M198" s="3714"/>
      <c r="N198" s="3714"/>
      <c r="O198" s="3714"/>
      <c r="P198" s="3714"/>
      <c r="Q198" s="3715"/>
    </row>
    <row r="199" spans="1:17" ht="20.25" customHeight="1">
      <c r="A199" s="2053"/>
      <c r="B199" s="2078" t="s">
        <v>1616</v>
      </c>
      <c r="C199" s="3711" t="s">
        <v>6813</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t="s">
        <v>2813</v>
      </c>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38.450000000000003" customHeight="1">
      <c r="A203" s="3703" t="s">
        <v>7081</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5"/>
      <c r="Q208" s="3803"/>
    </row>
    <row r="209" spans="1:17" ht="20.25" customHeight="1">
      <c r="A209" s="2053"/>
      <c r="B209" s="2030" t="s">
        <v>6814</v>
      </c>
      <c r="O209" s="2044"/>
      <c r="P209" s="3811" t="s">
        <v>7079</v>
      </c>
      <c r="Q209" s="3812"/>
    </row>
    <row r="210" spans="1:17" ht="20.25" customHeight="1">
      <c r="A210" s="2053"/>
      <c r="B210" s="2030" t="s">
        <v>6815</v>
      </c>
      <c r="O210" s="2044"/>
      <c r="P210" s="3806" t="s">
        <v>7079</v>
      </c>
      <c r="Q210" s="3807"/>
    </row>
    <row r="211" spans="1:17" ht="22.5" customHeight="1">
      <c r="A211" s="2053"/>
      <c r="B211" s="2030" t="s">
        <v>6816</v>
      </c>
      <c r="C211" s="2033"/>
      <c r="K211" s="2031"/>
      <c r="M211" s="2044"/>
      <c r="O211" s="2100"/>
      <c r="P211" s="3806" t="s">
        <v>2652</v>
      </c>
      <c r="Q211" s="3807"/>
    </row>
    <row r="212" spans="1:17" ht="31.5" customHeight="1">
      <c r="A212" s="2053"/>
      <c r="B212" s="3711" t="s">
        <v>6817</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6818</v>
      </c>
      <c r="M213" s="2033"/>
      <c r="N213" s="2033"/>
      <c r="O213" s="3813" t="s">
        <v>4051</v>
      </c>
      <c r="P213" s="3814"/>
      <c r="Q213" s="3815"/>
    </row>
    <row r="214" spans="1:17" ht="20.25" customHeight="1">
      <c r="A214" s="2053"/>
      <c r="B214" s="2029" t="s">
        <v>6819</v>
      </c>
      <c r="G214" s="3706"/>
      <c r="H214" s="3743"/>
      <c r="I214" s="3743"/>
      <c r="J214" s="3743"/>
      <c r="K214" s="3743"/>
      <c r="L214" s="3744"/>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36.6" customHeight="1">
      <c r="A216" s="3722" t="s">
        <v>7090</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6820</v>
      </c>
      <c r="C222" s="3711"/>
      <c r="D222" s="3711"/>
      <c r="E222" s="3711"/>
      <c r="F222" s="3711"/>
      <c r="G222" s="3711"/>
      <c r="H222" s="3711"/>
      <c r="I222" s="3711"/>
      <c r="J222" s="3711"/>
      <c r="K222" s="3711"/>
      <c r="L222" s="3711"/>
      <c r="M222" s="3711"/>
      <c r="N222" s="3711"/>
      <c r="O222" s="3712"/>
      <c r="P222" s="3823" t="s">
        <v>7078</v>
      </c>
      <c r="Q222" s="3824"/>
    </row>
    <row r="223" spans="1:17" s="2102" customFormat="1" ht="33.75" customHeight="1">
      <c r="A223" s="2071" t="s">
        <v>1841</v>
      </c>
      <c r="B223" s="3825" t="s">
        <v>6821</v>
      </c>
      <c r="C223" s="3825"/>
      <c r="D223" s="3825"/>
      <c r="E223" s="3825"/>
      <c r="F223" s="3825"/>
      <c r="G223" s="3825"/>
      <c r="H223" s="3825"/>
      <c r="I223" s="3825"/>
      <c r="J223" s="3825"/>
      <c r="K223" s="3825"/>
      <c r="L223" s="3825"/>
      <c r="M223" s="3825"/>
      <c r="N223" s="3825"/>
      <c r="O223" s="3825"/>
      <c r="P223" s="2063" t="s">
        <v>7078</v>
      </c>
      <c r="Q223" s="2440"/>
    </row>
    <row r="224" spans="1:17" ht="47.25" customHeight="1">
      <c r="A224" s="2071" t="s">
        <v>1843</v>
      </c>
      <c r="B224" s="3786" t="s">
        <v>6822</v>
      </c>
      <c r="C224" s="3786"/>
      <c r="D224" s="3786"/>
      <c r="E224" s="3786"/>
      <c r="F224" s="3786"/>
      <c r="G224" s="3786"/>
      <c r="H224" s="3786"/>
      <c r="I224" s="3786"/>
      <c r="J224" s="3786"/>
      <c r="K224" s="3786"/>
      <c r="L224" s="3786"/>
      <c r="M224" s="3786"/>
      <c r="N224" s="3786"/>
      <c r="O224" s="3786"/>
      <c r="P224" s="2063" t="s">
        <v>7080</v>
      </c>
      <c r="Q224" s="2064"/>
    </row>
    <row r="225" spans="1:17" ht="20.25" customHeight="1">
      <c r="A225" s="2053" t="s">
        <v>698</v>
      </c>
      <c r="B225" s="3816" t="s">
        <v>6823</v>
      </c>
      <c r="C225" s="3816"/>
      <c r="D225" s="3816"/>
      <c r="E225" s="3816"/>
      <c r="F225" s="3816"/>
      <c r="G225" s="3816"/>
      <c r="H225" s="3816"/>
      <c r="I225" s="3816"/>
      <c r="J225" s="3816"/>
      <c r="K225" s="3816"/>
      <c r="L225" s="3816"/>
      <c r="M225" s="3816"/>
      <c r="N225" s="3816"/>
      <c r="O225" s="3816"/>
      <c r="P225" s="2063" t="s">
        <v>7080</v>
      </c>
      <c r="Q225" s="2064"/>
    </row>
    <row r="226" spans="1:17" ht="33.75" customHeight="1">
      <c r="A226" s="2071" t="s">
        <v>1962</v>
      </c>
      <c r="B226" s="3786" t="s">
        <v>6824</v>
      </c>
      <c r="C226" s="3786"/>
      <c r="D226" s="3786"/>
      <c r="E226" s="3786"/>
      <c r="F226" s="3786"/>
      <c r="G226" s="3786"/>
      <c r="H226" s="3786"/>
      <c r="I226" s="3786"/>
      <c r="J226" s="3786"/>
      <c r="K226" s="3786"/>
      <c r="L226" s="3786"/>
      <c r="M226" s="3786"/>
      <c r="N226" s="3786"/>
      <c r="O226" s="3786"/>
      <c r="P226" s="2067" t="s">
        <v>7080</v>
      </c>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91.9" customHeight="1">
      <c r="A228" s="3722" t="s">
        <v>7091</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3358</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3359</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6825</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6826</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6827</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6828</v>
      </c>
      <c r="D239" s="3786"/>
      <c r="E239" s="3786"/>
      <c r="F239" s="3786"/>
      <c r="G239" s="3786"/>
      <c r="H239" s="3786"/>
      <c r="I239" s="3786"/>
      <c r="J239" s="3786"/>
      <c r="K239" s="3786"/>
      <c r="L239" s="3786"/>
      <c r="M239" s="3786"/>
      <c r="N239" s="3786"/>
      <c r="O239" s="3786"/>
      <c r="P239" s="3786"/>
      <c r="Q239" s="3786"/>
    </row>
    <row r="240" spans="1:17" ht="29.25" customHeight="1">
      <c r="A240" s="2053"/>
      <c r="B240" s="2104" t="s">
        <v>3864</v>
      </c>
      <c r="C240" s="3786" t="s">
        <v>6829</v>
      </c>
      <c r="D240" s="3786"/>
      <c r="E240" s="3786"/>
      <c r="F240" s="3786"/>
      <c r="G240" s="3786"/>
      <c r="H240" s="3786"/>
      <c r="I240" s="3786"/>
      <c r="J240" s="3786"/>
      <c r="K240" s="3786"/>
      <c r="L240" s="3786"/>
      <c r="M240" s="3786"/>
      <c r="N240" s="3786"/>
      <c r="O240" s="3786"/>
      <c r="P240" s="3786"/>
      <c r="Q240" s="3786"/>
    </row>
    <row r="241" spans="1:17" ht="15.75" customHeight="1">
      <c r="A241" s="2053"/>
      <c r="B241" s="2104" t="s">
        <v>6830</v>
      </c>
      <c r="C241" s="3786" t="s">
        <v>6831</v>
      </c>
      <c r="D241" s="3786"/>
      <c r="E241" s="3786"/>
      <c r="F241" s="3786"/>
      <c r="G241" s="3786"/>
      <c r="H241" s="3786"/>
      <c r="I241" s="3786"/>
      <c r="J241" s="3786"/>
      <c r="K241" s="3786"/>
      <c r="L241" s="3786"/>
      <c r="M241" s="3786"/>
      <c r="N241" s="3786"/>
      <c r="O241" s="3786"/>
      <c r="P241" s="3786"/>
      <c r="Q241" s="3786"/>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3" t="s">
        <v>7059</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2649</v>
      </c>
      <c r="Q250" s="3766"/>
    </row>
    <row r="251" spans="1:17" ht="20.25" customHeight="1">
      <c r="A251" s="2053"/>
      <c r="B251" s="2030" t="s">
        <v>3142</v>
      </c>
      <c r="D251" s="2056"/>
      <c r="E251" s="2056"/>
      <c r="O251" s="2044"/>
      <c r="P251" s="3799" t="s">
        <v>2652</v>
      </c>
      <c r="Q251" s="3837"/>
    </row>
    <row r="252" spans="1:17" ht="20.25" customHeight="1">
      <c r="A252" s="2053"/>
      <c r="B252" s="2030" t="s">
        <v>4030</v>
      </c>
      <c r="D252" s="2056"/>
      <c r="E252" s="2056"/>
      <c r="O252" s="2044"/>
      <c r="P252" s="3838" t="s">
        <v>2652</v>
      </c>
      <c r="Q252" s="3839"/>
    </row>
    <row r="253" spans="1:17" ht="20.25" customHeight="1">
      <c r="A253" s="2053"/>
      <c r="B253" s="2030" t="s">
        <v>3143</v>
      </c>
      <c r="O253" s="2044"/>
      <c r="P253" s="3799" t="s">
        <v>2652</v>
      </c>
      <c r="Q253" s="3837"/>
    </row>
    <row r="254" spans="1:17" ht="20.25" customHeight="1">
      <c r="A254" s="2053"/>
      <c r="B254" s="2030" t="s">
        <v>690</v>
      </c>
      <c r="D254" s="3703" t="s">
        <v>2813</v>
      </c>
      <c r="E254" s="3826"/>
      <c r="F254" s="3826"/>
      <c r="G254" s="3826"/>
      <c r="H254" s="3826"/>
      <c r="I254" s="3826"/>
      <c r="J254" s="3826"/>
      <c r="K254" s="3826"/>
      <c r="L254" s="3826"/>
      <c r="M254" s="3826"/>
      <c r="N254" s="3826"/>
      <c r="O254" s="3826"/>
      <c r="P254" s="3840"/>
      <c r="Q254" s="3841"/>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3" t="s">
        <v>7092</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6"/>
      <c r="Q261" s="3744"/>
    </row>
    <row r="262" spans="1:17" ht="20.25" customHeight="1">
      <c r="B262" s="2030" t="s">
        <v>6250</v>
      </c>
      <c r="O262" s="2044"/>
      <c r="P262" s="3720" t="s">
        <v>2652</v>
      </c>
      <c r="Q262" s="3721"/>
    </row>
    <row r="263" spans="1:17" ht="20.25" customHeight="1">
      <c r="A263" s="2053" t="s">
        <v>1841</v>
      </c>
      <c r="B263" s="2029" t="s">
        <v>3937</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2649</v>
      </c>
      <c r="Q264" s="3766"/>
    </row>
    <row r="265" spans="1:17" ht="20.25" customHeight="1">
      <c r="B265" s="3836" t="s">
        <v>4032</v>
      </c>
      <c r="C265" s="3836"/>
      <c r="D265" s="3836"/>
      <c r="E265" s="3836"/>
      <c r="F265" s="3836"/>
      <c r="G265" s="3836"/>
      <c r="H265" s="3836"/>
      <c r="I265" s="3836"/>
      <c r="J265" s="3836"/>
      <c r="K265" s="3836"/>
      <c r="L265" s="3836"/>
      <c r="M265" s="3836"/>
      <c r="N265" s="3836"/>
      <c r="O265" s="3836"/>
      <c r="P265" s="3799" t="s">
        <v>2652</v>
      </c>
      <c r="Q265" s="3837"/>
    </row>
    <row r="266" spans="1:17" ht="32.25" customHeight="1">
      <c r="A266" s="2053"/>
      <c r="B266" s="3844" t="s">
        <v>6834</v>
      </c>
      <c r="C266" s="3844"/>
      <c r="D266" s="3844"/>
      <c r="E266" s="3844"/>
      <c r="F266" s="3844"/>
      <c r="G266" s="3844"/>
      <c r="H266" s="3844"/>
      <c r="I266" s="3844"/>
      <c r="J266" s="3844"/>
      <c r="K266" s="3844"/>
      <c r="L266" s="3844"/>
      <c r="M266" s="3844"/>
      <c r="N266" s="3844"/>
      <c r="O266" s="3844"/>
      <c r="P266" s="3801" t="s">
        <v>2649</v>
      </c>
      <c r="Q266" s="3804"/>
    </row>
    <row r="267" spans="1:17" ht="20.25" customHeight="1">
      <c r="B267" s="2060" t="s">
        <v>3239</v>
      </c>
      <c r="D267" s="2060"/>
      <c r="E267" s="2060"/>
      <c r="F267" s="2060"/>
      <c r="G267" s="2060"/>
      <c r="H267" s="2043"/>
      <c r="I267" s="2031"/>
      <c r="J267" s="2031"/>
      <c r="K267" s="2031"/>
    </row>
    <row r="268" spans="1:17" ht="47.45" customHeight="1">
      <c r="A268" s="3703" t="s">
        <v>7093</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0"/>
      <c r="Q273" s="3710"/>
    </row>
    <row r="274" spans="1:17" ht="33" customHeight="1">
      <c r="A274" s="2033"/>
      <c r="B274" s="3711" t="s">
        <v>6835</v>
      </c>
      <c r="C274" s="3711"/>
      <c r="D274" s="3711"/>
      <c r="E274" s="3711"/>
      <c r="F274" s="3711"/>
      <c r="G274" s="3711"/>
      <c r="H274" s="3711"/>
      <c r="I274" s="3711"/>
      <c r="J274" s="3711"/>
      <c r="K274" s="3711"/>
      <c r="L274" s="3711"/>
      <c r="M274" s="3711"/>
      <c r="N274" s="3711"/>
      <c r="O274" s="2105"/>
      <c r="P274" s="3720" t="s">
        <v>7078</v>
      </c>
      <c r="Q274" s="3721"/>
    </row>
    <row r="275" spans="1:17" ht="34.5" customHeight="1">
      <c r="A275" s="2033"/>
      <c r="B275" s="2078" t="s">
        <v>1841</v>
      </c>
      <c r="C275" s="3786" t="s">
        <v>3311</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6836</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3866</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3867</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3868</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3869</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3312</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3917</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3918</v>
      </c>
      <c r="D283" s="3786"/>
      <c r="E283" s="3786"/>
      <c r="F283" s="3786"/>
      <c r="G283" s="3786"/>
      <c r="H283" s="3786"/>
      <c r="I283" s="3786"/>
      <c r="J283" s="3786"/>
      <c r="K283" s="3786"/>
      <c r="L283" s="3786"/>
      <c r="M283" s="3786"/>
      <c r="N283" s="3786"/>
      <c r="O283" s="3786"/>
      <c r="P283" s="2076"/>
      <c r="Q283" s="2026"/>
    </row>
    <row r="284" spans="1:17" ht="47.25" customHeight="1">
      <c r="A284" s="2071"/>
      <c r="B284" s="3786" t="s">
        <v>6837</v>
      </c>
      <c r="C284" s="3786"/>
      <c r="D284" s="3786"/>
      <c r="E284" s="3786"/>
      <c r="F284" s="3786"/>
      <c r="G284" s="3786"/>
      <c r="H284" s="3786"/>
      <c r="I284" s="3786"/>
      <c r="J284" s="3786"/>
      <c r="K284" s="3786"/>
      <c r="L284" s="3786"/>
      <c r="M284" s="3786"/>
      <c r="N284" s="3786"/>
      <c r="O284" s="3796"/>
      <c r="P284" s="3784" t="s">
        <v>7078</v>
      </c>
      <c r="Q284" s="3784"/>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45.6" customHeight="1">
      <c r="A286" s="3703" t="s">
        <v>7094</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44.45" customHeight="1">
      <c r="A293" s="3703" t="s">
        <v>7100</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xayiXSOYR8ojC+CkxuMxubc7LaHU2Gy1OE5ktt/OFVX9clyiuBMDw/OHcqMi0rZ4xHkRs2HCo/n5essjdxPeuw==" saltValue="YuQYiKSj8zFjrTFZIlIs7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402" zoomScaleNormal="100" workbookViewId="0">
      <selection activeCell="T408" sqref="T408"/>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Hillmont Apartments, Lake Park, Lowndes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6841</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43</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4" t="s">
        <v>6495</v>
      </c>
      <c r="G12" s="4054"/>
      <c r="H12" s="4054"/>
      <c r="I12" s="4054"/>
      <c r="J12" s="4054"/>
      <c r="K12" s="4054"/>
      <c r="L12" s="4054"/>
      <c r="M12" s="4054"/>
      <c r="N12" s="4054"/>
      <c r="O12" s="2148" t="s">
        <v>3809</v>
      </c>
      <c r="P12" s="2149">
        <f>SUM(P13:P31)</f>
        <v>0</v>
      </c>
      <c r="Q12" s="4055"/>
      <c r="R12" s="4055"/>
      <c r="S12" s="4055"/>
      <c r="T12" s="4055"/>
      <c r="U12" s="4055"/>
      <c r="V12" s="2150"/>
    </row>
    <row r="13" spans="1:25" s="2121" customFormat="1" ht="14.45" customHeight="1">
      <c r="A13" s="2151" t="s">
        <v>1668</v>
      </c>
      <c r="B13" s="2152" t="s">
        <v>3393</v>
      </c>
      <c r="C13" s="2153"/>
      <c r="D13" s="2154"/>
      <c r="E13" s="2155">
        <f>$O$77</f>
        <v>0</v>
      </c>
      <c r="F13" s="4056" t="str">
        <f>$A$81</f>
        <v>Preservation Not Applicable</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4037</v>
      </c>
      <c r="C14" s="2158"/>
      <c r="D14" s="2159"/>
      <c r="E14" s="2160">
        <f>$O$86</f>
        <v>0</v>
      </c>
      <c r="F14" s="4037" t="str">
        <f>$A$102</f>
        <v>Preservation Not Applicable</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3338</v>
      </c>
      <c r="C15" s="2158"/>
      <c r="D15" s="2159"/>
      <c r="E15" s="2160">
        <f>$O$106</f>
        <v>0</v>
      </c>
      <c r="F15" s="4037" t="str">
        <f>$A$117</f>
        <v>Preservation Not Applicable</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3394</v>
      </c>
      <c r="C16" s="2158"/>
      <c r="D16" s="2159"/>
      <c r="E16" s="2457">
        <f>$O$122</f>
        <v>0</v>
      </c>
      <c r="F16" s="4037" t="str">
        <f>$A$137</f>
        <v>Preservation Not Applicable</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3395</v>
      </c>
      <c r="C17" s="2167"/>
      <c r="D17" s="2168"/>
      <c r="E17" s="2169" t="s">
        <v>1610</v>
      </c>
      <c r="F17" s="4061" t="str">
        <f>$A$147</f>
        <v>Preservation Not Applicable</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4038</v>
      </c>
      <c r="C18" s="2158"/>
      <c r="D18" s="2159"/>
      <c r="E18" s="2170">
        <f>$O$152</f>
        <v>0</v>
      </c>
      <c r="F18" s="4037" t="str">
        <f>$A$165</f>
        <v>Preservation Not Applicable</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4040</v>
      </c>
      <c r="B19" s="2157" t="s">
        <v>3261</v>
      </c>
      <c r="C19" s="2158"/>
      <c r="D19" s="2159"/>
      <c r="E19" s="2170">
        <f>$O$179</f>
        <v>0</v>
      </c>
      <c r="F19" s="4037" t="str">
        <f>$A$184</f>
        <v>Preservation Not Applicable</v>
      </c>
      <c r="G19" s="3876"/>
      <c r="H19" s="3876"/>
      <c r="I19" s="3876"/>
      <c r="J19" s="3876"/>
      <c r="K19" s="3876"/>
      <c r="L19" s="3876"/>
      <c r="M19" s="3876"/>
      <c r="N19" s="3876"/>
      <c r="O19" s="4038"/>
      <c r="P19" s="2162"/>
      <c r="Q19" s="4064"/>
      <c r="R19" s="4004"/>
      <c r="S19" s="4004"/>
    </row>
    <row r="20" spans="1:35" s="2121" customFormat="1" ht="14.45" customHeight="1">
      <c r="A20" s="2151" t="s">
        <v>4052</v>
      </c>
      <c r="B20" s="2157" t="s">
        <v>4041</v>
      </c>
      <c r="C20" s="2158"/>
      <c r="D20" s="2159"/>
      <c r="E20" s="2169">
        <f>$O$189</f>
        <v>0</v>
      </c>
      <c r="F20" s="4037" t="str">
        <f>$A$195</f>
        <v>Preservation Not Applicable</v>
      </c>
      <c r="G20" s="3876"/>
      <c r="H20" s="3876"/>
      <c r="I20" s="3876"/>
      <c r="J20" s="3876"/>
      <c r="K20" s="3876"/>
      <c r="L20" s="3876"/>
      <c r="M20" s="3876"/>
      <c r="N20" s="3876"/>
      <c r="O20" s="4038"/>
      <c r="P20" s="2162"/>
      <c r="Q20" s="4064"/>
      <c r="R20" s="4004"/>
      <c r="S20" s="4004"/>
    </row>
    <row r="21" spans="1:35" s="2121" customFormat="1" ht="14.45" customHeight="1">
      <c r="A21" s="2171" t="s">
        <v>6242</v>
      </c>
      <c r="B21" s="2166" t="s">
        <v>4042</v>
      </c>
      <c r="C21" s="2167"/>
      <c r="D21" s="2168"/>
      <c r="E21" s="2172">
        <f>$O$200</f>
        <v>0</v>
      </c>
      <c r="F21" s="4061" t="str">
        <f>$A$205</f>
        <v>Preservation Not Applicable</v>
      </c>
      <c r="G21" s="4062"/>
      <c r="H21" s="4062"/>
      <c r="I21" s="4062"/>
      <c r="J21" s="4062"/>
      <c r="K21" s="4062"/>
      <c r="L21" s="4062"/>
      <c r="M21" s="4062"/>
      <c r="N21" s="4062"/>
      <c r="O21" s="4063"/>
      <c r="P21" s="2162"/>
      <c r="Q21" s="4064"/>
      <c r="R21" s="4004"/>
      <c r="S21" s="4004"/>
    </row>
    <row r="22" spans="1:35" s="2121" customFormat="1" ht="14.45" customHeight="1">
      <c r="A22" s="2151" t="s">
        <v>6636</v>
      </c>
      <c r="B22" s="2157" t="s">
        <v>6548</v>
      </c>
      <c r="C22" s="2158"/>
      <c r="D22" s="2159"/>
      <c r="E22" s="2170">
        <f>$O$223</f>
        <v>0</v>
      </c>
      <c r="F22" s="4037" t="str">
        <f>$A$228</f>
        <v>Preservation Not Applicable</v>
      </c>
      <c r="G22" s="3876"/>
      <c r="H22" s="3876"/>
      <c r="I22" s="3876"/>
      <c r="J22" s="3876"/>
      <c r="K22" s="3876"/>
      <c r="L22" s="3876"/>
      <c r="M22" s="3876"/>
      <c r="N22" s="3876"/>
      <c r="O22" s="4038"/>
      <c r="P22" s="2162"/>
      <c r="Q22" s="4064"/>
      <c r="R22" s="4004"/>
      <c r="S22" s="4004"/>
    </row>
    <row r="23" spans="1:35" s="2121" customFormat="1" ht="14.45" customHeight="1">
      <c r="A23" s="2151" t="s">
        <v>6638</v>
      </c>
      <c r="B23" s="2157" t="s">
        <v>6637</v>
      </c>
      <c r="C23" s="2158"/>
      <c r="D23" s="2159"/>
      <c r="E23" s="2170">
        <f>$O$233</f>
        <v>2</v>
      </c>
      <c r="F23" s="4037" t="str">
        <f>$A$248</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G23" s="3876"/>
      <c r="H23" s="3876"/>
      <c r="I23" s="3876"/>
      <c r="J23" s="3876"/>
      <c r="K23" s="3876"/>
      <c r="L23" s="3876"/>
      <c r="M23" s="3876"/>
      <c r="N23" s="3876"/>
      <c r="O23" s="4038"/>
      <c r="P23" s="2162"/>
      <c r="Q23" s="4064"/>
      <c r="R23" s="4004"/>
      <c r="S23" s="4004"/>
    </row>
    <row r="24" spans="1:35" s="2121" customFormat="1" ht="14.45" customHeight="1">
      <c r="A24" s="2164" t="s">
        <v>3368</v>
      </c>
      <c r="B24" s="2173" t="s">
        <v>6554</v>
      </c>
      <c r="C24" s="2174"/>
      <c r="D24" s="2175"/>
      <c r="E24" s="2165">
        <f>$O$253</f>
        <v>2</v>
      </c>
      <c r="F24" s="4058" t="str">
        <f>$A$257</f>
        <v xml:space="preserve">Applicant commits to accept resident services coordination from an entity certified as a "3rd Party Resident Services Coordination Contractor" by CORES or other DCA approved program.  </v>
      </c>
      <c r="G24" s="4059"/>
      <c r="H24" s="4059"/>
      <c r="I24" s="4059"/>
      <c r="J24" s="4059"/>
      <c r="K24" s="4059"/>
      <c r="L24" s="4059"/>
      <c r="M24" s="4059"/>
      <c r="N24" s="4059"/>
      <c r="O24" s="4060"/>
      <c r="P24" s="2162"/>
      <c r="Q24" s="4064"/>
      <c r="R24" s="4004"/>
      <c r="S24" s="4004"/>
    </row>
    <row r="25" spans="1:35" s="2121" customFormat="1" ht="14.45" customHeight="1">
      <c r="A25" s="2151" t="s">
        <v>3372</v>
      </c>
      <c r="B25" s="2157" t="s">
        <v>3396</v>
      </c>
      <c r="C25" s="2158"/>
      <c r="D25" s="2159"/>
      <c r="E25" s="2170">
        <f>$O$271</f>
        <v>0</v>
      </c>
      <c r="F25" s="4037" t="str">
        <f>$A$275</f>
        <v>Not Applicable</v>
      </c>
      <c r="G25" s="3876"/>
      <c r="H25" s="3876"/>
      <c r="I25" s="3876"/>
      <c r="J25" s="3876"/>
      <c r="K25" s="3876"/>
      <c r="L25" s="3876"/>
      <c r="M25" s="3876"/>
      <c r="N25" s="3876"/>
      <c r="O25" s="4038"/>
      <c r="P25" s="2162"/>
      <c r="Q25" s="4064"/>
      <c r="R25" s="4004"/>
      <c r="S25" s="4004"/>
    </row>
    <row r="26" spans="1:35" s="2121" customFormat="1" ht="14.45" customHeight="1">
      <c r="A26" s="2151" t="s">
        <v>3375</v>
      </c>
      <c r="B26" s="2157" t="s">
        <v>3397</v>
      </c>
      <c r="C26" s="2158"/>
      <c r="D26" s="2159"/>
      <c r="E26" s="2170">
        <f>$O$280</f>
        <v>1</v>
      </c>
      <c r="F26" s="4037" t="str">
        <f>$A$307</f>
        <v xml:space="preserve">Hillmont Apartments qualifies for 1 point under favorable financing. The Housing Assistance Council has committed $430,000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v>
      </c>
      <c r="G26" s="3876"/>
      <c r="H26" s="3876"/>
      <c r="I26" s="3876"/>
      <c r="J26" s="3876"/>
      <c r="K26" s="3876"/>
      <c r="L26" s="3876"/>
      <c r="M26" s="3876"/>
      <c r="N26" s="3876"/>
      <c r="O26" s="4038"/>
      <c r="P26" s="2162"/>
      <c r="Q26" s="4064"/>
      <c r="R26" s="4004"/>
      <c r="S26" s="4004"/>
    </row>
    <row r="27" spans="1:35" s="2121" customFormat="1" ht="14.45" customHeight="1">
      <c r="A27" s="2151" t="s">
        <v>3376</v>
      </c>
      <c r="B27" s="2157" t="s">
        <v>3398</v>
      </c>
      <c r="C27" s="2158"/>
      <c r="D27" s="2159"/>
      <c r="E27" s="2169">
        <f>$O$312</f>
        <v>0</v>
      </c>
      <c r="F27" s="4037" t="str">
        <f>$A$318</f>
        <v>Not Applicable</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2</v>
      </c>
      <c r="F28" s="4065" t="str">
        <f>$A$340</f>
        <v xml:space="preserve">No additional comments.  </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6</v>
      </c>
      <c r="F29" s="4037" t="str">
        <f>$A$347</f>
        <v xml:space="preserve">Occupancy has been greater than 95% for 24 months therefore the property qualfies for 6 points.  Please see the rent rolls as well as occupancy table included with the application for verification.  </v>
      </c>
      <c r="G29" s="3876"/>
      <c r="H29" s="3876"/>
      <c r="I29" s="3876"/>
      <c r="J29" s="3876"/>
      <c r="K29" s="3876"/>
      <c r="L29" s="3876"/>
      <c r="M29" s="3876"/>
      <c r="N29" s="3876"/>
      <c r="O29" s="4038"/>
      <c r="P29" s="2162"/>
      <c r="Q29" s="2176"/>
      <c r="R29" s="2118"/>
      <c r="S29" s="2118"/>
    </row>
    <row r="30" spans="1:35" s="2121" customFormat="1" ht="14.45" customHeight="1">
      <c r="A30" s="2151" t="s">
        <v>3802</v>
      </c>
      <c r="B30" s="2157" t="s">
        <v>6552</v>
      </c>
      <c r="C30" s="2158"/>
      <c r="D30" s="2159"/>
      <c r="E30" s="2170">
        <f>$O$358</f>
        <v>2</v>
      </c>
      <c r="F30" s="4037" t="str">
        <f>$A$360</f>
        <v xml:space="preserve">Hillmont Apartments has Rental Assistance Agreement and USDA RD for 41 units.  </v>
      </c>
      <c r="G30" s="3876"/>
      <c r="H30" s="3876"/>
      <c r="I30" s="3876"/>
      <c r="J30" s="3876"/>
      <c r="K30" s="3876"/>
      <c r="L30" s="3876"/>
      <c r="M30" s="3876"/>
      <c r="N30" s="3876"/>
      <c r="O30" s="4038"/>
      <c r="P30" s="2162"/>
      <c r="Q30" s="2176"/>
    </row>
    <row r="31" spans="1:35" s="2121" customFormat="1" ht="14.45" customHeight="1">
      <c r="A31" s="2151" t="s">
        <v>6555</v>
      </c>
      <c r="B31" s="2157" t="s">
        <v>6553</v>
      </c>
      <c r="C31" s="2158"/>
      <c r="D31" s="2159"/>
      <c r="E31" s="2170">
        <f>$O$365</f>
        <v>4</v>
      </c>
      <c r="F31" s="4037" t="str">
        <f>$A$369</f>
        <v xml:space="preserve">The property was built in 1989.  Please see documentation confirming year built within tha application.  </v>
      </c>
      <c r="G31" s="3876"/>
      <c r="H31" s="3876"/>
      <c r="I31" s="3876"/>
      <c r="J31" s="3876"/>
      <c r="K31" s="3876"/>
      <c r="L31" s="3876"/>
      <c r="M31" s="3876"/>
      <c r="N31" s="3876"/>
      <c r="O31" s="4038"/>
      <c r="P31" s="2455"/>
      <c r="Q31" s="2176"/>
    </row>
    <row r="32" spans="1:35" s="2121" customFormat="1" ht="14.45" customHeight="1">
      <c r="A32" s="2456" t="s">
        <v>6917</v>
      </c>
      <c r="B32" s="2178" t="s">
        <v>6934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6948</v>
      </c>
      <c r="B34" s="3848"/>
      <c r="C34" s="3848"/>
      <c r="D34" s="3848"/>
      <c r="E34" s="4083" t="str">
        <f>IF(OR((C36-A36&gt;0),(D36-A36&gt;0)),"Points Exceed Max!","")</f>
        <v/>
      </c>
      <c r="F34" s="3918" t="s">
        <v>6881</v>
      </c>
      <c r="G34" s="3919"/>
      <c r="H34" s="3919"/>
      <c r="I34" s="3920"/>
      <c r="J34" s="4068" t="s">
        <v>6139</v>
      </c>
      <c r="K34" s="4069"/>
      <c r="L34" s="4069"/>
      <c r="M34" s="4070"/>
      <c r="O34" s="3924" t="s">
        <v>6882</v>
      </c>
      <c r="P34" s="3924"/>
      <c r="Q34" s="2185"/>
    </row>
    <row r="35" spans="1:35" ht="13.5" customHeight="1">
      <c r="A35" s="4088" t="s">
        <v>6907</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6505</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0" t="s">
        <v>6844</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6874</v>
      </c>
      <c r="B50" s="3922"/>
      <c r="C50" s="3922"/>
      <c r="D50" s="3922"/>
      <c r="E50" s="3922"/>
      <c r="F50" s="2216" t="s">
        <v>3178</v>
      </c>
      <c r="G50" s="3922" t="s">
        <v>6875</v>
      </c>
      <c r="H50" s="3922"/>
      <c r="I50" s="3922"/>
      <c r="J50" s="2216" t="s">
        <v>3178</v>
      </c>
      <c r="K50" s="4090" t="s">
        <v>6876</v>
      </c>
      <c r="L50" s="4090"/>
      <c r="M50" s="4090"/>
      <c r="N50" s="4090"/>
      <c r="O50" s="3858" t="s">
        <v>3178</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3812</v>
      </c>
      <c r="G69" s="2121" t="s">
        <v>3813</v>
      </c>
      <c r="I69" s="2238"/>
      <c r="J69" s="2239">
        <f>'Part V-Revenues &amp; Expenses'!$B$50</f>
        <v>57.674418604651166</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0.95348837209302328</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15.95" customHeight="1" thickTop="1" thickBot="1">
      <c r="A81" s="3867" t="s">
        <v>7055</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6" t="s">
        <v>3215</v>
      </c>
      <c r="G88" s="4016"/>
      <c r="H88" s="4016"/>
      <c r="I88" s="4016"/>
      <c r="J88" s="4016" t="s">
        <v>3216</v>
      </c>
      <c r="K88" s="4016"/>
      <c r="L88" s="4016"/>
      <c r="M88" s="4016"/>
      <c r="N88" s="2254"/>
      <c r="O88" s="3860" t="s">
        <v>6846</v>
      </c>
      <c r="P88" s="3860"/>
      <c r="R88" s="2157"/>
      <c r="S88" s="2275">
        <v>0.5</v>
      </c>
      <c r="T88" s="2275">
        <v>4.5</v>
      </c>
      <c r="U88" s="2267"/>
    </row>
    <row r="89" spans="1:21" ht="15.95" customHeight="1">
      <c r="B89" s="2272"/>
      <c r="C89" s="2420" t="s">
        <v>6847</v>
      </c>
      <c r="F89" s="4008"/>
      <c r="G89" s="4009"/>
      <c r="H89" s="4010"/>
      <c r="I89" s="4011"/>
      <c r="J89" s="4008"/>
      <c r="K89" s="4009"/>
      <c r="L89" s="4010"/>
      <c r="M89" s="4011"/>
      <c r="N89" s="2120"/>
      <c r="O89" s="3861"/>
      <c r="P89" s="3861"/>
      <c r="R89" s="2274" t="s">
        <v>6670</v>
      </c>
      <c r="S89" s="2280">
        <v>1</v>
      </c>
      <c r="T89" s="2280">
        <v>4</v>
      </c>
      <c r="U89" s="2267"/>
    </row>
    <row r="90" spans="1:21" ht="15.95" customHeight="1">
      <c r="A90" s="2272"/>
      <c r="B90" s="2158"/>
      <c r="C90" s="2420" t="s">
        <v>6848</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6886</v>
      </c>
      <c r="C91" s="4005"/>
      <c r="D91" s="4005"/>
      <c r="E91" s="4005"/>
      <c r="F91" s="2139" t="s">
        <v>6849</v>
      </c>
      <c r="G91" s="4007" t="s">
        <v>1672</v>
      </c>
      <c r="H91" s="4007"/>
      <c r="I91" s="4007"/>
      <c r="J91" s="4007" t="s">
        <v>6883</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6878</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6884</v>
      </c>
      <c r="D100" s="3876"/>
      <c r="E100" s="3876"/>
      <c r="F100" s="3876"/>
      <c r="G100" s="3876"/>
      <c r="H100" s="3876"/>
      <c r="I100" s="3876"/>
      <c r="J100" s="3876"/>
      <c r="K100" s="3876"/>
      <c r="L100" s="3876"/>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15.95" customHeight="1" thickTop="1" thickBot="1">
      <c r="A102" s="3867" t="s">
        <v>7055</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6909</v>
      </c>
      <c r="G107" s="3864"/>
      <c r="H107" s="3864" t="s">
        <v>6910</v>
      </c>
      <c r="I107" s="3864"/>
      <c r="J107" s="3998" t="s">
        <v>6935</v>
      </c>
      <c r="K107" s="3999"/>
      <c r="L107" s="3862" t="s">
        <v>6889</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6629</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67" t="s">
        <v>7055</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86" t="s">
        <v>6852</v>
      </c>
      <c r="N125" s="3987"/>
      <c r="O125" s="3987"/>
      <c r="P125" s="3988"/>
      <c r="S125" s="2118"/>
      <c r="T125" s="2118"/>
      <c r="U125" s="2118"/>
    </row>
    <row r="126" spans="1:21" s="2121" customFormat="1" ht="15.95" customHeight="1">
      <c r="B126" s="2254"/>
      <c r="C126" s="2121" t="s">
        <v>6853</v>
      </c>
      <c r="L126" s="2254"/>
      <c r="M126" s="3980" t="s">
        <v>6852</v>
      </c>
      <c r="N126" s="3981"/>
      <c r="O126" s="3981"/>
      <c r="P126" s="3982"/>
      <c r="S126" s="2118"/>
      <c r="T126" s="2118"/>
      <c r="U126" s="2118"/>
    </row>
    <row r="127" spans="1:21" s="2121" customFormat="1" ht="15.95" customHeight="1">
      <c r="B127" s="2254"/>
      <c r="C127" s="2121" t="s">
        <v>6854</v>
      </c>
      <c r="L127" s="2254"/>
      <c r="M127" s="3980" t="s">
        <v>6852</v>
      </c>
      <c r="N127" s="3981"/>
      <c r="O127" s="3981"/>
      <c r="P127" s="3982"/>
      <c r="Q127" s="2312">
        <f>IF(K127="Yes",1,0)</f>
        <v>0</v>
      </c>
      <c r="S127" s="2118"/>
      <c r="T127" s="2118"/>
      <c r="U127" s="2118"/>
    </row>
    <row r="128" spans="1:21" s="2121" customFormat="1" ht="15.95" customHeight="1">
      <c r="A128" s="2254"/>
      <c r="B128" s="2254"/>
      <c r="C128" s="2121" t="s">
        <v>6855</v>
      </c>
      <c r="L128" s="2254"/>
      <c r="M128" s="3980" t="s">
        <v>6852</v>
      </c>
      <c r="N128" s="3981"/>
      <c r="O128" s="3981"/>
      <c r="P128" s="3982"/>
      <c r="Q128" s="2312">
        <f>IF(K128="Yes",1,0)</f>
        <v>0</v>
      </c>
      <c r="S128" s="2118"/>
      <c r="T128" s="2118"/>
      <c r="U128" s="2118"/>
    </row>
    <row r="129" spans="1:22" s="2121" customFormat="1" ht="15.95" customHeight="1">
      <c r="A129" s="2254"/>
      <c r="B129" s="2254"/>
      <c r="C129" s="2121" t="s">
        <v>6892</v>
      </c>
      <c r="L129" s="2254"/>
      <c r="M129" s="3983" t="s">
        <v>6852</v>
      </c>
      <c r="N129" s="3984"/>
      <c r="O129" s="3984"/>
      <c r="P129" s="3985"/>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6856</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6900</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67" t="s">
        <v>7055</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6899</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7" t="s">
        <v>7055</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2" t="s">
        <v>3204</v>
      </c>
      <c r="K154" s="3973"/>
      <c r="L154" s="3974" t="s">
        <v>3204</v>
      </c>
      <c r="M154" s="3975"/>
      <c r="N154" s="2123"/>
      <c r="R154" s="2203"/>
      <c r="S154" s="2121"/>
    </row>
    <row r="155" spans="1:27" ht="15.95" customHeight="1">
      <c r="C155" s="2331" t="s">
        <v>6893</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79" t="s">
        <v>6218</v>
      </c>
      <c r="F158" s="3979"/>
      <c r="G158" s="3979"/>
      <c r="H158" s="3979"/>
      <c r="I158" s="2139" t="s">
        <v>6894</v>
      </c>
      <c r="J158" s="3979" t="s">
        <v>6218</v>
      </c>
      <c r="K158" s="3979"/>
      <c r="L158" s="3979"/>
      <c r="M158" s="3979"/>
      <c r="N158" s="2120"/>
      <c r="O158" s="2120"/>
      <c r="P158" s="2120"/>
    </row>
    <row r="159" spans="1:27" ht="15.95" customHeight="1">
      <c r="C159" s="2121" t="s">
        <v>6217</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6215</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67" t="s">
        <v>7055</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6"/>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7055</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7" t="s">
        <v>7055</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67" t="s">
        <v>7055</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7052</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7052</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6895</v>
      </c>
      <c r="C216" s="3941"/>
      <c r="D216" s="3941"/>
      <c r="E216" s="3941"/>
      <c r="F216" s="3941"/>
      <c r="G216" s="3941"/>
      <c r="H216" s="3941"/>
      <c r="I216" s="3941"/>
      <c r="J216" s="3941"/>
      <c r="K216" s="3941"/>
      <c r="L216" s="3941"/>
      <c r="M216" s="2123"/>
      <c r="N216" s="2254"/>
      <c r="O216" s="2358" t="s">
        <v>7052</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6896</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7055</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3942" t="s">
        <v>6898</v>
      </c>
      <c r="P234" s="3942" t="s">
        <v>3150</v>
      </c>
      <c r="Q234" s="2203"/>
      <c r="R234" s="2118"/>
      <c r="S234" s="2118"/>
      <c r="T234" s="2118"/>
      <c r="U234" s="2118"/>
      <c r="V234" s="2118"/>
      <c r="W234" s="2120"/>
      <c r="X234" s="2120"/>
    </row>
    <row r="235" spans="1:24" s="2121" customFormat="1" ht="15.95" customHeight="1">
      <c r="A235" s="2142"/>
      <c r="C235" s="2121" t="s">
        <v>6692</v>
      </c>
      <c r="I235" s="3932" t="s">
        <v>2852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6691</v>
      </c>
      <c r="I236" s="3934" t="s">
        <v>2852</v>
      </c>
      <c r="J236" s="3935"/>
      <c r="M236" s="2210"/>
      <c r="O236" s="3864"/>
      <c r="P236" s="3864"/>
      <c r="Q236" s="2203"/>
      <c r="R236" s="2118"/>
      <c r="S236" s="2118"/>
      <c r="T236" s="2118"/>
      <c r="U236" s="2118"/>
      <c r="V236" s="2118"/>
      <c r="W236" s="2120"/>
      <c r="X236" s="2120"/>
    </row>
    <row r="237" spans="1:24" s="2121" customFormat="1" ht="15.95" customHeight="1">
      <c r="A237" s="2142"/>
      <c r="C237" s="2121" t="s">
        <v>6693</v>
      </c>
      <c r="I237" s="3939" t="s">
        <v>7056</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6860</v>
      </c>
      <c r="D239" s="3941"/>
      <c r="E239" s="3941"/>
      <c r="F239" s="3941"/>
      <c r="G239" s="3941"/>
      <c r="H239" s="3941"/>
      <c r="I239" s="3941"/>
      <c r="J239" s="3941"/>
      <c r="K239" s="3941"/>
      <c r="L239" s="3941"/>
      <c r="M239" s="2121"/>
      <c r="N239" s="2254"/>
      <c r="O239" s="2246" t="s">
        <v>7052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6587</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6861</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t="s">
        <v>7052</v>
      </c>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t="s">
        <v>7052</v>
      </c>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30.6" customHeight="1" thickTop="1" thickBot="1">
      <c r="A248" s="3867" t="s">
        <v>7057</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6" t="s">
        <v>2813</v>
      </c>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33.6" customHeight="1" thickTop="1" thickBot="1">
      <c r="A257" s="3867" t="s">
        <v>7058</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t="s">
        <v>7052</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t="s">
        <v>7052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73" t="s">
        <v>6059</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67" t="s">
        <v>7059</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3347</v>
      </c>
      <c r="L281" s="2232" t="str">
        <f>IF(O281&lt;=M281,"","* * Check Score! * *")</f>
        <v/>
      </c>
      <c r="M281" s="2123">
        <v>3</v>
      </c>
      <c r="N281" s="2254"/>
      <c r="O281" s="2372">
        <v>1</v>
      </c>
      <c r="P281" s="2373"/>
      <c r="Q281" s="2320" t="str">
        <f>IF(O281&lt;=M281,"","*CHECK!*")</f>
        <v/>
      </c>
      <c r="R281" s="2136"/>
      <c r="S281" s="2136"/>
      <c r="T281" s="2119"/>
    </row>
    <row r="282" spans="1:20" ht="30.95" customHeight="1">
      <c r="A282" s="2313"/>
      <c r="B282" s="3929" t="s">
        <v>6863</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3155</v>
      </c>
      <c r="I285" s="2310"/>
      <c r="J285" s="3877"/>
      <c r="K285" s="3878"/>
      <c r="L285" s="2310"/>
      <c r="M285" s="3879"/>
      <c r="N285" s="3880"/>
      <c r="O285" s="3880"/>
      <c r="P285" s="3881"/>
      <c r="R285" s="2232"/>
    </row>
    <row r="286" spans="1:20" ht="15.95" customHeight="1">
      <c r="B286" s="2377" t="s">
        <v>2332</v>
      </c>
      <c r="C286" s="2121" t="s">
        <v>3953</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6232</v>
      </c>
      <c r="I290" s="2254"/>
      <c r="J290" s="3877"/>
      <c r="K290" s="3878"/>
      <c r="L290" s="2254"/>
      <c r="M290" s="2378"/>
      <c r="N290" s="2379"/>
      <c r="O290" s="2379"/>
      <c r="P290" s="2380"/>
      <c r="R290" s="2232"/>
    </row>
    <row r="291" spans="1:26" ht="15.95" customHeight="1">
      <c r="A291" s="2230"/>
      <c r="B291" s="2377" t="s">
        <v>474</v>
      </c>
      <c r="C291" s="2121" t="s">
        <v>3154</v>
      </c>
      <c r="I291" s="2254"/>
      <c r="J291" s="3877"/>
      <c r="K291" s="3878"/>
      <c r="L291" s="2254"/>
      <c r="M291" s="3879"/>
      <c r="N291" s="3880"/>
      <c r="O291" s="3880"/>
      <c r="P291" s="3881"/>
      <c r="R291" s="2232"/>
    </row>
    <row r="292" spans="1:26" ht="15.95" customHeight="1">
      <c r="B292" s="2377" t="s">
        <v>3888</v>
      </c>
      <c r="C292" s="2121" t="s">
        <v>6864</v>
      </c>
      <c r="I292" s="2254"/>
      <c r="J292" s="3877"/>
      <c r="K292" s="3878"/>
      <c r="L292" s="2254"/>
      <c r="M292" s="3879"/>
      <c r="N292" s="3880"/>
      <c r="O292" s="3880"/>
      <c r="P292" s="3881"/>
      <c r="R292" s="2232"/>
    </row>
    <row r="293" spans="1:26" ht="15.95" customHeight="1">
      <c r="B293" s="2377" t="s">
        <v>6865</v>
      </c>
      <c r="C293" s="2121" t="s">
        <v>6902</v>
      </c>
      <c r="I293" s="2254"/>
      <c r="J293" s="3877"/>
      <c r="K293" s="3878"/>
      <c r="L293" s="2254"/>
      <c r="M293" s="3879"/>
      <c r="N293" s="3880"/>
      <c r="O293" s="3880"/>
      <c r="P293" s="3881"/>
      <c r="R293" s="2232"/>
    </row>
    <row r="294" spans="1:26" ht="15.95" customHeight="1" thickBot="1">
      <c r="B294" s="2377" t="s">
        <v>6866</v>
      </c>
      <c r="C294" s="2121" t="s">
        <v>6903</v>
      </c>
      <c r="I294" s="2254"/>
      <c r="J294" s="3877">
        <v>430000</v>
      </c>
      <c r="K294" s="3878"/>
      <c r="L294" s="2254"/>
      <c r="M294" s="3905"/>
      <c r="N294" s="3906"/>
      <c r="O294" s="3906"/>
      <c r="P294" s="3907"/>
      <c r="R294" s="2232"/>
    </row>
    <row r="295" spans="1:26" ht="15.95" customHeight="1" thickBot="1">
      <c r="B295" s="2121"/>
      <c r="I295" s="2138" t="s">
        <v>2413</v>
      </c>
      <c r="J295" s="3908">
        <f>SUM(J284:K294)</f>
        <v>430000</v>
      </c>
      <c r="K295" s="3909"/>
      <c r="M295" s="3908">
        <f>SUM($M284:$M294)</f>
        <v>0</v>
      </c>
      <c r="N295" s="3910"/>
      <c r="O295" s="3910"/>
      <c r="P295" s="3909"/>
      <c r="R295" s="2232"/>
    </row>
    <row r="296" spans="1:26" ht="15.95" customHeight="1">
      <c r="M296" s="2136"/>
      <c r="N296" s="2136"/>
      <c r="O296" s="2120"/>
      <c r="P296" s="2136"/>
      <c r="U296" s="3848" t="s">
        <v>6908</v>
      </c>
      <c r="V296" s="3848"/>
      <c r="W296" s="3848"/>
      <c r="X296" s="3848"/>
      <c r="Y296" s="3848"/>
      <c r="Z296" s="3848"/>
    </row>
    <row r="297" spans="1:26" ht="15.95" customHeight="1">
      <c r="A297" s="2121"/>
      <c r="B297" s="2332"/>
      <c r="C297" s="2227" t="s">
        <v>2412</v>
      </c>
      <c r="D297" s="2255"/>
      <c r="E297" s="2255"/>
      <c r="I297" s="2254" t="s">
        <v>6235</v>
      </c>
      <c r="J297" s="3897">
        <f>'Part V-Revenues &amp; Expenses'!$P$67</f>
        <v>43</v>
      </c>
      <c r="K297" s="3898"/>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3911">
        <f>IF(J297=0,0,J295/J297)</f>
        <v>10000</v>
      </c>
      <c r="K298" s="3912"/>
      <c r="M298" s="3913">
        <f>IF(J297=0,0,M295/J297)</f>
        <v>0</v>
      </c>
      <c r="N298" s="3914"/>
      <c r="O298" s="3914"/>
      <c r="P298" s="3915"/>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3902">
        <f>IF(J298&gt;=$Y$299,$Y$300,IF(J298&gt;=$W$299,$W$300,IF(J298&gt;=$U$299,$U$300,0)))</f>
        <v>1</v>
      </c>
      <c r="K300" s="3903"/>
      <c r="L300" s="2136"/>
      <c r="M300" s="3902">
        <f>IF(M298&gt;=$Y$299,$Y$300,IF(M298&gt;=$W$299,$W$300,IF(M298&gt;=$U$299,$U$300,0)))</f>
        <v>0</v>
      </c>
      <c r="N300" s="3904"/>
      <c r="O300" s="3904"/>
      <c r="P300" s="3903"/>
      <c r="S300" s="2431" t="s">
        <v>6144</v>
      </c>
      <c r="U300" s="3858">
        <v>1</v>
      </c>
      <c r="V300" s="3859"/>
      <c r="W300" s="3858">
        <v>2</v>
      </c>
      <c r="X300" s="3859"/>
      <c r="Y300" s="3858">
        <v>3</v>
      </c>
      <c r="Z300" s="3859"/>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6868</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c r="P304" s="2270"/>
      <c r="V304" s="2355"/>
    </row>
    <row r="305" spans="1:19" ht="15.95" customHeight="1">
      <c r="B305" s="2313"/>
      <c r="C305" s="2120" t="s">
        <v>6870</v>
      </c>
      <c r="N305" s="2144"/>
      <c r="O305" s="2246"/>
      <c r="P305" s="2247"/>
    </row>
    <row r="306" spans="1:19" ht="15.95" customHeight="1" thickBot="1">
      <c r="B306" s="2260" t="s">
        <v>3240</v>
      </c>
    </row>
    <row r="307" spans="1:19" ht="108.6" customHeight="1" thickTop="1" thickBot="1">
      <c r="A307" s="3867" t="s">
        <v>7104</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3885</v>
      </c>
      <c r="H313" s="3874"/>
      <c r="I313" s="3874"/>
      <c r="J313" s="3874"/>
      <c r="K313" s="3874"/>
      <c r="L313" s="3875"/>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1" t="s">
        <v>3414</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7" t="s">
        <v>7059</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67" t="s">
        <v>7047</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34.15" customHeight="1" thickTop="1" thickBot="1">
      <c r="A347" s="3867" t="s">
        <v>7061</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v>2</v>
      </c>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7" t="s">
        <v>7060</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v>4</v>
      </c>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7" t="s">
        <v>7062</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6222</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7" t="s">
        <v>7059</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3891" t="s">
        <v>6925</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6926</v>
      </c>
      <c r="Q397" s="2320" t="str">
        <f>IF(OR($O397=$M397,$O397=0,$O397=""),"","*CHECK!*")</f>
        <v/>
      </c>
      <c r="R397" s="2305"/>
    </row>
    <row r="398" spans="1:19" ht="409.6" customHeight="1">
      <c r="A398" s="2345"/>
      <c r="B398" s="3891" t="s">
        <v>7105</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25.15" customHeight="1" thickTop="1" thickBot="1">
      <c r="A400" s="3867" t="s">
        <v>7095</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43</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6872</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t="s">
        <v>7113</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6562</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6563</v>
      </c>
      <c r="AZ416" s="3887"/>
      <c r="BA416" s="3887"/>
      <c r="BB416" s="3887"/>
      <c r="BC416" s="3887"/>
      <c r="BD416" s="3887"/>
      <c r="BE416" s="3888"/>
      <c r="BF416" s="3886" t="s">
        <v>6564</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9" t="s">
        <v>6124</v>
      </c>
      <c r="AH418" s="4040"/>
      <c r="AI418" s="3883" t="s">
        <v>6505</v>
      </c>
      <c r="AJ418" s="3884"/>
      <c r="AK418" s="3884"/>
      <c r="AL418" s="3884"/>
      <c r="AM418" s="3885"/>
      <c r="AN418" s="4041" t="s">
        <v>6137</v>
      </c>
      <c r="AO418" s="4041"/>
      <c r="AP418" s="4041"/>
      <c r="AQ418" s="4041"/>
      <c r="AR418" s="2397"/>
      <c r="AS418" s="2466"/>
      <c r="AT418" s="2465" t="s">
        <v>6136</v>
      </c>
      <c r="AU418" s="2466"/>
      <c r="AV418" s="2466"/>
      <c r="AW418" s="2466"/>
      <c r="AX418" s="2397"/>
      <c r="AY418" s="3883" t="s">
        <v>6124</v>
      </c>
      <c r="AZ418" s="3885"/>
      <c r="BA418" s="3883" t="s">
        <v>6505</v>
      </c>
      <c r="BB418" s="3884"/>
      <c r="BC418" s="3884"/>
      <c r="BD418" s="3884"/>
      <c r="BE418" s="3885"/>
      <c r="BF418" s="3889" t="s">
        <v>6124</v>
      </c>
      <c r="BG418" s="3889"/>
      <c r="BH418" s="3889" t="s">
        <v>6505</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6914</v>
      </c>
      <c r="AK419" s="2467" t="s">
        <v>6545</v>
      </c>
      <c r="AL419" s="2467" t="s">
        <v>6546</v>
      </c>
      <c r="AM419" s="2467" t="s">
        <v>6547</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6545</v>
      </c>
      <c r="BD419" s="2467" t="s">
        <v>6546</v>
      </c>
      <c r="BE419" s="2467" t="s">
        <v>6547</v>
      </c>
      <c r="BF419" s="2467">
        <v>0.09</v>
      </c>
      <c r="BG419" s="2467" t="s">
        <v>6945</v>
      </c>
      <c r="BH419" s="2467" t="s">
        <v>6945</v>
      </c>
      <c r="BI419" s="2467" t="s">
        <v>6929</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29" t="s">
        <v>6561</v>
      </c>
      <c r="AO425" s="4030"/>
      <c r="AP425" s="4030"/>
      <c r="AQ425" s="4030"/>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6947</v>
      </c>
      <c r="AQ430" s="2508" t="str">
        <f>IF('Part VII-Threshold Criteria'!$P$223="Agree","Yes","")</f>
        <v>Yes</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2</v>
      </c>
      <c r="BB445" s="2488">
        <f>O358</f>
        <v>2</v>
      </c>
      <c r="BC445" s="2488">
        <f>O358</f>
        <v>2</v>
      </c>
      <c r="BD445" s="2488">
        <f>O358</f>
        <v>2</v>
      </c>
      <c r="BE445" s="2489">
        <f>O358</f>
        <v>2</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31</v>
      </c>
      <c r="AZ449" s="2542">
        <f>IF(AND($O$36="4%",($C$36-$A$36)&gt;0),(SUM(AZ420:AZ447)-($C$36-$A$36)),SUM(AZ420:AZ447))</f>
        <v>29</v>
      </c>
      <c r="BA449" s="2542">
        <f t="shared" ref="BA449:BB449" si="3">IF(AND($O$36="4%",($C$36-$A$36)&gt;0),(SUM(BA420:BA447)-($C$36-$A$36)),SUM(BA420:BA447))</f>
        <v>41</v>
      </c>
      <c r="BB449" s="2542">
        <f t="shared" si="3"/>
        <v>41</v>
      </c>
      <c r="BC449" s="2542">
        <f t="shared" ref="BC449:BL449" si="4">SUM(BC420:BC447)</f>
        <v>43</v>
      </c>
      <c r="BD449" s="2542">
        <f t="shared" si="4"/>
        <v>43</v>
      </c>
      <c r="BE449" s="2542">
        <f t="shared" si="4"/>
        <v>43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Q12" sqref="Q12"/>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3188</v>
      </c>
      <c r="C13" s="4105"/>
      <c r="D13" s="4105"/>
      <c r="E13" s="4105"/>
      <c r="F13" s="4105"/>
      <c r="G13" s="4105"/>
      <c r="H13" s="4105"/>
      <c r="I13" s="4105"/>
      <c r="J13" s="4105"/>
      <c r="K13" s="4105"/>
      <c r="L13" s="4105"/>
      <c r="M13" s="4105"/>
      <c r="U13" s="809" t="s">
        <v>6270</v>
      </c>
    </row>
    <row r="14" spans="1:26" ht="47.25" customHeight="1">
      <c r="A14" s="815" t="s">
        <v>1615</v>
      </c>
      <c r="B14" s="4105" t="s">
        <v>3189</v>
      </c>
      <c r="C14" s="4105"/>
      <c r="D14" s="4105"/>
      <c r="E14" s="4105"/>
      <c r="F14" s="4105"/>
      <c r="G14" s="4105"/>
      <c r="H14" s="4105"/>
      <c r="I14" s="4105"/>
      <c r="J14" s="4105"/>
      <c r="K14" s="4105"/>
      <c r="L14" s="4105"/>
      <c r="M14" s="4105"/>
    </row>
    <row r="15" spans="1:26" ht="117" customHeight="1">
      <c r="A15" s="815" t="s">
        <v>1616</v>
      </c>
      <c r="B15" s="4105" t="s">
        <v>3190</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3191</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3087</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3088</v>
      </c>
      <c r="C25" s="4105"/>
      <c r="D25" s="4105"/>
      <c r="E25" s="4105"/>
      <c r="F25" s="4105"/>
      <c r="G25" s="4105"/>
      <c r="H25" s="4105"/>
      <c r="I25" s="4105"/>
      <c r="J25" s="4105"/>
      <c r="K25" s="4105"/>
      <c r="L25" s="4105"/>
      <c r="M25" s="4105"/>
    </row>
    <row r="26" spans="1:13" ht="31.5" customHeight="1">
      <c r="A26" s="815" t="s">
        <v>1375</v>
      </c>
      <c r="B26" s="4105" t="s">
        <v>3089</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6" t="str">
        <f>'Part I-Project Identification'!F25</f>
        <v>Hillmont Apartments</v>
      </c>
      <c r="E3" s="4167"/>
      <c r="F3" s="4167"/>
      <c r="G3" s="4167"/>
      <c r="H3" s="4167"/>
      <c r="I3" s="4167"/>
      <c r="J3" s="4168" t="s">
        <v>6170</v>
      </c>
      <c r="K3" s="4169"/>
    </row>
    <row r="4" spans="1:11" ht="15" customHeight="1">
      <c r="A4" s="1332" t="s">
        <v>3968</v>
      </c>
      <c r="B4" s="1333"/>
      <c r="C4" s="1334"/>
      <c r="D4" s="4170"/>
      <c r="E4" s="4171"/>
      <c r="F4" s="4171"/>
      <c r="G4" s="4171"/>
      <c r="H4" s="4171"/>
      <c r="I4" s="4171"/>
      <c r="J4" s="4172" t="s">
        <v>4009</v>
      </c>
      <c r="K4" s="4173"/>
    </row>
    <row r="5" spans="1:11" ht="15" customHeight="1" thickBot="1">
      <c r="A5" s="1335" t="s">
        <v>3969</v>
      </c>
      <c r="B5" s="1336"/>
      <c r="C5" s="1337"/>
      <c r="D5" s="4176"/>
      <c r="E5" s="4177"/>
      <c r="F5" s="4177"/>
      <c r="G5" s="4177"/>
      <c r="H5" s="4177"/>
      <c r="I5" s="4177"/>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567">
        <v>1</v>
      </c>
      <c r="D8" s="1352" t="s">
        <v>3972</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567">
        <v>2</v>
      </c>
      <c r="D11" s="1352" t="s">
        <v>3974</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568">
        <v>3</v>
      </c>
      <c r="D14" s="1356" t="s">
        <v>3976</v>
      </c>
      <c r="E14" s="1356"/>
      <c r="F14" s="1356"/>
      <c r="G14" s="1356"/>
      <c r="H14" s="1356"/>
      <c r="I14" s="1356"/>
      <c r="J14" s="4178"/>
      <c r="K14" s="4179"/>
    </row>
    <row r="15" spans="1:11" ht="14.25" customHeight="1">
      <c r="A15" s="1333"/>
      <c r="B15" s="1333"/>
      <c r="C15" s="1569">
        <v>4</v>
      </c>
      <c r="D15" s="1333" t="s">
        <v>3977</v>
      </c>
      <c r="E15" s="1333"/>
      <c r="F15" s="1333"/>
      <c r="G15" s="1333"/>
      <c r="H15" s="1333"/>
      <c r="I15" s="1333"/>
      <c r="J15" s="4119"/>
      <c r="K15" s="4120"/>
    </row>
    <row r="16" spans="1:11" ht="14.25" customHeight="1">
      <c r="A16" s="1333"/>
      <c r="B16" s="1333"/>
      <c r="C16" s="1569">
        <v>5</v>
      </c>
      <c r="D16" s="1333" t="s">
        <v>3978</v>
      </c>
      <c r="E16" s="1333"/>
      <c r="F16" s="1333"/>
      <c r="G16" s="1333"/>
      <c r="H16" s="1333"/>
      <c r="I16" s="1333"/>
      <c r="J16" s="4119"/>
      <c r="K16" s="4120"/>
    </row>
    <row r="17" spans="1:13" ht="14.25" customHeight="1">
      <c r="A17" s="1333"/>
      <c r="B17" s="1333"/>
      <c r="C17" s="1570">
        <v>6</v>
      </c>
      <c r="D17" s="1336" t="s">
        <v>3979</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3980</v>
      </c>
      <c r="E19" s="1356"/>
      <c r="F19" s="1356"/>
      <c r="G19" s="1356"/>
      <c r="H19" s="1356"/>
      <c r="I19" s="1356"/>
      <c r="J19" s="4115" t="str">
        <f>IF(J17="No",J14-J15,IF(J17="Yes",J14-J15-J16,"Error"))</f>
        <v>Error</v>
      </c>
      <c r="K19" s="4116"/>
    </row>
    <row r="20" spans="1:13" ht="14.25" customHeight="1">
      <c r="A20" s="1333"/>
      <c r="B20" s="1333"/>
      <c r="C20" s="1570">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157" t="s">
        <v>6170</v>
      </c>
      <c r="C31" s="4157"/>
      <c r="D31" s="4157"/>
      <c r="E31" s="4157"/>
      <c r="F31" s="4157"/>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138" t="s">
        <v>3996</v>
      </c>
      <c r="H57" s="4139"/>
      <c r="I57" s="4136" t="s">
        <v>4010</v>
      </c>
      <c r="J57" s="4137"/>
      <c r="K57" s="4140"/>
    </row>
    <row r="58" spans="1:13" ht="15" customHeight="1">
      <c r="A58" s="1465"/>
      <c r="B58" s="1381"/>
      <c r="C58" s="1359">
        <f>SUMIF(C33:C51, "0", H33:H51)</f>
        <v>0</v>
      </c>
      <c r="D58" s="1484">
        <f t="shared" ref="D58:D63" si="4">ROUNDUP(C58*1.1,0)</f>
        <v>0</v>
      </c>
      <c r="E58" s="4142" t="s">
        <v>3997</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3998</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3999</v>
      </c>
      <c r="F63" s="4134"/>
      <c r="G63" s="4130">
        <f>'DCA Underwriting Assumptions'!H133</f>
        <v>316236</v>
      </c>
      <c r="H63" s="4131"/>
      <c r="I63" s="4135">
        <f t="shared" si="5"/>
        <v>0</v>
      </c>
      <c r="J63" s="413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Hillmont Apartments, Lake Park, Lowndes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6530</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6529</v>
      </c>
      <c r="M5" s="1807" t="str">
        <f>'Part I-Project Identification'!$F$12</f>
        <v>9% Credit Competitive Round only</v>
      </c>
      <c r="N5" s="1808"/>
      <c r="O5" s="1809"/>
      <c r="P5" s="4322"/>
      <c r="Q5" s="4368"/>
      <c r="R5" s="1604"/>
      <c r="S5" s="1604"/>
    </row>
    <row r="6" spans="1:19" ht="17.25" customHeight="1">
      <c r="A6" s="96" t="s">
        <v>6528</v>
      </c>
      <c r="I6" s="490"/>
      <c r="J6" s="490"/>
      <c r="K6" s="4317" t="s">
        <v>3280</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199"/>
      <c r="Q27" s="4200"/>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6640</v>
      </c>
      <c r="C35" s="4"/>
      <c r="D35" s="4"/>
      <c r="E35" s="887"/>
      <c r="F35" s="887"/>
      <c r="H35" s="887"/>
      <c r="J35" s="3040" t="s">
        <v>6464</v>
      </c>
      <c r="K35" s="3041"/>
      <c r="L35" s="3042"/>
      <c r="M35" s="147" t="s">
        <v>1647</v>
      </c>
      <c r="N35" s="4190"/>
      <c r="O35" s="4191"/>
      <c r="P35" s="4191"/>
      <c r="Q35" s="4192"/>
    </row>
    <row r="36" spans="1:31" ht="12.75" customHeight="1">
      <c r="A36" s="2"/>
      <c r="B36" s="108" t="s">
        <v>6639</v>
      </c>
      <c r="C36" s="4"/>
      <c r="D36" s="4"/>
      <c r="E36" s="887"/>
      <c r="F36" s="887"/>
      <c r="G36" s="1664"/>
      <c r="H36" s="887"/>
      <c r="J36" s="3040" t="s">
        <v>6465</v>
      </c>
      <c r="K36" s="3041"/>
      <c r="L36" s="3042"/>
      <c r="M36" s="147" t="s">
        <v>1647</v>
      </c>
      <c r="N36" s="4190"/>
      <c r="O36" s="4191"/>
      <c r="P36" s="4191"/>
      <c r="Q36" s="4192"/>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199"/>
      <c r="Q40" s="4200"/>
    </row>
    <row r="41" spans="1:31" ht="1.5" customHeight="1"/>
    <row r="42" spans="1:31" ht="12" customHeight="1">
      <c r="A42" s="110" t="s">
        <v>1841</v>
      </c>
      <c r="B42" s="4193" t="s">
        <v>3783</v>
      </c>
      <c r="C42" s="4193"/>
      <c r="D42" s="4193"/>
      <c r="E42" s="4193"/>
      <c r="F42" s="4193"/>
      <c r="G42" s="4193"/>
      <c r="H42" s="4193"/>
      <c r="I42" s="4193"/>
      <c r="J42" s="4193"/>
      <c r="K42" s="115"/>
      <c r="L42" s="347" t="s">
        <v>2580</v>
      </c>
      <c r="M42" s="1203">
        <v>2</v>
      </c>
      <c r="N42" s="108" t="s">
        <v>4020</v>
      </c>
      <c r="P42" s="4345"/>
      <c r="Q42" s="4355"/>
    </row>
    <row r="43" spans="1:31" ht="12" customHeight="1">
      <c r="A43" s="110"/>
      <c r="B43" s="4193"/>
      <c r="C43" s="4193"/>
      <c r="D43" s="4193"/>
      <c r="E43" s="4193"/>
      <c r="F43" s="4193"/>
      <c r="G43" s="4193"/>
      <c r="H43" s="4193"/>
      <c r="I43" s="4193"/>
      <c r="J43" s="4193"/>
      <c r="K43" s="115"/>
      <c r="L43" s="347" t="s">
        <v>3787</v>
      </c>
      <c r="M43" s="1204">
        <v>4</v>
      </c>
      <c r="O43" s="111"/>
      <c r="P43" s="4346"/>
      <c r="Q43" s="4356"/>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6"/>
      <c r="M50" s="4217"/>
      <c r="N50" s="4217"/>
      <c r="O50" s="4217"/>
      <c r="P50" s="4217"/>
      <c r="Q50" s="4295"/>
    </row>
    <row r="51" spans="1:31" ht="12.75" customHeight="1">
      <c r="A51" s="112"/>
      <c r="B51" s="372" t="s">
        <v>1448</v>
      </c>
      <c r="C51" s="4193" t="s">
        <v>3793</v>
      </c>
      <c r="D51" s="4193"/>
      <c r="E51" s="4193"/>
      <c r="F51" s="4193"/>
      <c r="G51" s="4193"/>
      <c r="H51" s="4193"/>
      <c r="I51" s="4193"/>
      <c r="J51" s="4193"/>
      <c r="K51" s="4193"/>
      <c r="L51" s="4193"/>
      <c r="M51" s="413"/>
      <c r="N51" s="108" t="s">
        <v>4025</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3945</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3948</v>
      </c>
      <c r="D84" s="4193"/>
      <c r="E84" s="4193"/>
      <c r="F84" s="4193"/>
      <c r="G84" s="4193"/>
      <c r="H84" s="4193"/>
      <c r="I84" s="4193"/>
      <c r="J84" s="4193"/>
      <c r="K84" s="4193"/>
      <c r="L84" s="4193"/>
      <c r="M84" s="4193"/>
      <c r="N84" s="4193"/>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6531</v>
      </c>
      <c r="O92" s="101" t="s">
        <v>1731</v>
      </c>
      <c r="P92" s="4199"/>
      <c r="Q92" s="4200"/>
      <c r="R92" s="860" t="s">
        <v>6518</v>
      </c>
    </row>
    <row r="93" spans="1:31" ht="6.6" customHeight="1"/>
    <row r="94" spans="1:31">
      <c r="A94" s="40" t="s">
        <v>1841</v>
      </c>
      <c r="B94" s="29" t="s">
        <v>6185</v>
      </c>
      <c r="D94" s="103"/>
      <c r="E94" s="103"/>
      <c r="F94" s="103"/>
      <c r="G94" s="103"/>
      <c r="H94" s="103"/>
      <c r="I94" s="35"/>
      <c r="J94" s="35"/>
      <c r="K94" s="48" t="s">
        <v>1841</v>
      </c>
      <c r="L94" s="4238"/>
      <c r="M94" s="4238"/>
      <c r="N94" s="4238"/>
      <c r="O94" s="4238"/>
      <c r="P94" s="423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199"/>
      <c r="Q130" s="4200"/>
      <c r="R130" s="860" t="s">
        <v>6518</v>
      </c>
    </row>
    <row r="131" spans="1:31" ht="12" customHeight="1">
      <c r="A131" s="40" t="s">
        <v>1841</v>
      </c>
      <c r="B131" s="113" t="s">
        <v>1614</v>
      </c>
      <c r="C131" s="29" t="s">
        <v>6533</v>
      </c>
      <c r="D131" s="29"/>
      <c r="E131" s="29"/>
      <c r="F131" s="29"/>
      <c r="G131" s="29"/>
      <c r="K131" s="29" t="s">
        <v>2460</v>
      </c>
      <c r="M131" s="4302"/>
      <c r="N131" s="4303"/>
      <c r="O131" s="49" t="s">
        <v>1614</v>
      </c>
      <c r="P131" s="74"/>
      <c r="Q131" s="417"/>
    </row>
    <row r="132" spans="1:31" ht="12" customHeight="1">
      <c r="A132" s="40"/>
      <c r="B132" s="113" t="s">
        <v>1615</v>
      </c>
      <c r="C132" s="29" t="s">
        <v>4054</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6840</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6191</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3232</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3798</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3233</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3831</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6531</v>
      </c>
      <c r="O151" s="101" t="s">
        <v>1731</v>
      </c>
      <c r="P151" s="4199"/>
      <c r="Q151" s="4200"/>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3234</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3305</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199"/>
      <c r="Q169" s="4200"/>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3239</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199"/>
      <c r="Q177" s="4200"/>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6192</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43</v>
      </c>
      <c r="P197" s="4227" t="s">
        <v>3854</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3400</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6" t="s">
        <v>950</v>
      </c>
      <c r="D202" s="4287"/>
      <c r="E202" s="4287"/>
      <c r="F202" s="4287"/>
      <c r="G202" s="4288"/>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6743</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199"/>
      <c r="Q217" s="4200"/>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6114</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6194</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6205</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6206</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3244</v>
      </c>
      <c r="C246" s="4223"/>
      <c r="D246" s="4223"/>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6501</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4029</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4055</v>
      </c>
      <c r="D260" s="4193"/>
      <c r="E260" s="4193"/>
      <c r="F260" s="4193"/>
      <c r="G260" s="4193"/>
      <c r="H260" s="4193"/>
      <c r="I260" s="4193"/>
      <c r="J260" s="4193"/>
      <c r="K260" s="4193"/>
      <c r="L260" s="4193"/>
      <c r="M260" s="4193"/>
      <c r="N260" s="4193"/>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6119</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3846</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3336</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6655</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6656</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6200</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6203</v>
      </c>
      <c r="E288" s="4193"/>
      <c r="F288" s="4193"/>
      <c r="G288" s="4193"/>
      <c r="H288" s="4193"/>
      <c r="I288" s="108"/>
      <c r="J288" s="4201" t="s">
        <v>3265</v>
      </c>
      <c r="K288" s="4227"/>
      <c r="L288" s="4227"/>
      <c r="M288" s="4331" t="s">
        <v>3246</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6204</v>
      </c>
      <c r="E291" s="4193"/>
      <c r="F291" s="4193"/>
      <c r="G291" s="4193"/>
      <c r="H291" s="4193"/>
      <c r="I291" s="370" t="s">
        <v>3387</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6740</v>
      </c>
      <c r="D293" s="4193"/>
      <c r="E293" s="4193"/>
      <c r="F293" s="4193"/>
      <c r="G293" s="4193"/>
      <c r="H293" s="4193"/>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6718</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6657</v>
      </c>
      <c r="D299" s="4193"/>
      <c r="E299" s="4193"/>
      <c r="F299" s="4193"/>
      <c r="G299" s="4193"/>
      <c r="H299" s="4193"/>
      <c r="I299" s="4193"/>
      <c r="J299" s="4193"/>
      <c r="K299" s="4193"/>
      <c r="L299" s="4193"/>
      <c r="M299" s="4193"/>
      <c r="N299" s="4193"/>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3832</v>
      </c>
      <c r="D300" s="4193"/>
      <c r="E300" s="4193"/>
      <c r="F300" s="4193"/>
      <c r="G300" s="4193"/>
      <c r="H300" s="4193"/>
      <c r="I300" s="4193"/>
      <c r="J300" s="4193"/>
      <c r="K300" s="4193"/>
      <c r="L300" s="4193"/>
      <c r="M300" s="4193"/>
      <c r="N300" s="4193"/>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3168</v>
      </c>
      <c r="D301" s="4193"/>
      <c r="E301" s="4193"/>
      <c r="F301" s="4193"/>
      <c r="G301" s="4193"/>
      <c r="H301" s="4193"/>
      <c r="I301" s="4193"/>
      <c r="J301" s="4193"/>
      <c r="K301" s="4193"/>
      <c r="L301" s="4193"/>
      <c r="M301" s="4193"/>
      <c r="N301" s="4193"/>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3169</v>
      </c>
      <c r="D302" s="4193"/>
      <c r="E302" s="4193"/>
      <c r="F302" s="4193"/>
      <c r="G302" s="4193"/>
      <c r="H302" s="4193"/>
      <c r="I302" s="4193"/>
      <c r="J302" s="4193"/>
      <c r="K302" s="4193"/>
      <c r="L302" s="4193"/>
      <c r="M302" s="4193"/>
      <c r="N302" s="4193"/>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6667</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9" t="s">
        <v>6121</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6122</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199"/>
      <c r="Q326" s="4200"/>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8" t="s">
        <v>1646</v>
      </c>
      <c r="O329" s="4269"/>
      <c r="P329" s="4270" t="s">
        <v>1646</v>
      </c>
      <c r="Q329" s="4271"/>
    </row>
    <row r="330" spans="1:256" ht="11.65" customHeight="1">
      <c r="A330" s="40" t="s">
        <v>1962</v>
      </c>
      <c r="B330" s="44" t="s">
        <v>6536</v>
      </c>
      <c r="O330" s="48" t="s">
        <v>1962</v>
      </c>
      <c r="P330" s="1400"/>
      <c r="Q330" s="1399"/>
    </row>
    <row r="331" spans="1:256" ht="11.65" customHeight="1">
      <c r="A331" s="110" t="s">
        <v>1612</v>
      </c>
      <c r="B331" s="44" t="s">
        <v>6537</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3" t="s">
        <v>6685</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43</v>
      </c>
      <c r="F343" s="29" t="s">
        <v>3893</v>
      </c>
      <c r="G343" s="1541">
        <f>'Part V-Revenues &amp; Expenses'!$P$100</f>
        <v>41</v>
      </c>
      <c r="H343" s="72"/>
      <c r="I343" s="29" t="s">
        <v>832</v>
      </c>
      <c r="J343" s="72"/>
      <c r="K343" s="72"/>
      <c r="L343" s="1540">
        <f>'Part V-Revenues &amp; Expenses'!$P$111</f>
        <v>0</v>
      </c>
      <c r="M343" s="48" t="s">
        <v>6741</v>
      </c>
      <c r="N343" s="1539">
        <f>IF(E343=0,"",(G343+L343)/E343)</f>
        <v>0.95348837209302328</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6686</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43</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6687</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43</v>
      </c>
      <c r="F348" s="29" t="s">
        <v>3893</v>
      </c>
      <c r="G348" s="1541">
        <f>'Part V-Revenues &amp; Expenses'!$P$100</f>
        <v>41</v>
      </c>
      <c r="H348" s="72"/>
      <c r="I348" s="29" t="s">
        <v>832</v>
      </c>
      <c r="J348" s="72"/>
      <c r="K348" s="72"/>
      <c r="L348" s="1540">
        <f>'Part V-Revenues &amp; Expenses'!$P$111</f>
        <v>0</v>
      </c>
      <c r="M348" s="48" t="s">
        <v>6741</v>
      </c>
      <c r="N348" s="1539">
        <f>IF(E348=0,"",(G348+L348)/E348)</f>
        <v>0.95348837209302328</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3358</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3359</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3350</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3351</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3353</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3" t="s">
        <v>3355</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3356</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3201</v>
      </c>
      <c r="G374" s="889"/>
      <c r="H374" s="889"/>
      <c r="I374" s="889"/>
      <c r="J374" s="33" t="s">
        <v>3202</v>
      </c>
      <c r="L374" s="889"/>
      <c r="M374" s="4260">
        <f>'Part II-Sources of Funds'!I6</f>
        <v>0</v>
      </c>
      <c r="N374" s="4261"/>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3"/>
      <c r="Q391" s="4214"/>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3"/>
      <c r="Q395" s="4291"/>
    </row>
    <row r="396" spans="1:31" ht="12" customHeight="1">
      <c r="A396" s="40"/>
      <c r="D396" s="29" t="s">
        <v>6500</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6150</v>
      </c>
      <c r="D400" s="4193"/>
      <c r="E400" s="4193"/>
      <c r="F400" s="4193"/>
      <c r="G400" s="29" t="s">
        <v>3942</v>
      </c>
      <c r="J400" s="718"/>
      <c r="K400" s="426"/>
      <c r="M400" s="29" t="s">
        <v>6224</v>
      </c>
      <c r="P400" s="1760"/>
      <c r="Q400" s="1761"/>
    </row>
    <row r="401" spans="1:44" ht="12" customHeight="1">
      <c r="A401" s="40"/>
      <c r="C401" s="4193"/>
      <c r="D401" s="4193"/>
      <c r="E401" s="4193"/>
      <c r="F401" s="4193"/>
      <c r="G401" s="29" t="s">
        <v>6223</v>
      </c>
      <c r="J401" s="719"/>
      <c r="K401" s="427"/>
      <c r="M401" s="29" t="s">
        <v>6225</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6180</v>
      </c>
      <c r="J403" s="4201" t="s">
        <v>6181</v>
      </c>
      <c r="K403" s="4201" t="s">
        <v>6183</v>
      </c>
      <c r="L403" s="4201"/>
      <c r="M403" s="4201"/>
      <c r="N403" s="4240" t="s">
        <v>6182</v>
      </c>
      <c r="O403" s="48"/>
      <c r="P403" s="4364" t="s">
        <v>6697</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6294</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6295</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8" t="s">
        <v>6228</v>
      </c>
      <c r="E416" s="352" t="s">
        <v>2263</v>
      </c>
      <c r="F416" s="44" t="s">
        <v>3287</v>
      </c>
      <c r="G416" s="4194"/>
      <c r="H416" s="4195"/>
      <c r="I416" s="4195"/>
      <c r="J416" s="4195"/>
      <c r="K416" s="4196"/>
      <c r="L416" s="352"/>
    </row>
    <row r="417" spans="1:31" ht="12" customHeight="1">
      <c r="B417" s="115"/>
      <c r="D417" s="4198"/>
      <c r="E417" s="352" t="s">
        <v>3939</v>
      </c>
      <c r="F417" s="44" t="s">
        <v>3940</v>
      </c>
      <c r="G417" s="4251" t="s">
        <v>3204</v>
      </c>
      <c r="H417" s="4252"/>
      <c r="I417" s="4253"/>
      <c r="J417" s="44" t="s">
        <v>3801</v>
      </c>
      <c r="K417" s="115"/>
      <c r="M417" s="4194"/>
      <c r="N417" s="4195"/>
      <c r="O417" s="4195"/>
      <c r="P417" s="4195"/>
      <c r="Q417" s="419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4033</v>
      </c>
      <c r="C421" s="4193"/>
      <c r="D421" s="4193"/>
      <c r="E421" s="4193"/>
      <c r="F421" s="4193"/>
      <c r="G421" s="4193"/>
      <c r="H421" s="4193"/>
      <c r="I421" s="4193"/>
      <c r="J421" s="4193"/>
      <c r="K421" s="4193"/>
      <c r="L421" s="4193"/>
      <c r="M421" s="4193"/>
      <c r="N421" s="4193"/>
    </row>
    <row r="422" spans="1:31" s="115" customFormat="1" ht="45" customHeight="1">
      <c r="B422" s="4193" t="s">
        <v>6542</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3239</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199"/>
      <c r="Q428" s="4200"/>
    </row>
    <row r="429" spans="1:31" ht="14.1" customHeight="1">
      <c r="B429" s="66" t="s">
        <v>3896</v>
      </c>
      <c r="C429" s="4"/>
      <c r="D429" s="66"/>
      <c r="E429" s="887"/>
      <c r="F429" s="887"/>
      <c r="G429" s="887"/>
      <c r="H429" s="887"/>
    </row>
    <row r="430" spans="1:31" s="102" customFormat="1" ht="21.75" customHeight="1">
      <c r="A430" s="110" t="s">
        <v>1841</v>
      </c>
      <c r="B430" s="4193" t="s">
        <v>3311</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3310</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3866</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3868</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3869</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3312</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3917</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3918</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3951</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6523</v>
      </c>
      <c r="B2" s="4397"/>
      <c r="C2" s="147"/>
      <c r="D2" s="795">
        <v>2021</v>
      </c>
      <c r="E2" s="144"/>
      <c r="F2" s="4391" t="s">
        <v>2999</v>
      </c>
      <c r="G2" s="4392"/>
      <c r="H2" s="4392"/>
      <c r="I2" s="4392"/>
      <c r="J2" s="4393"/>
      <c r="K2" s="234"/>
      <c r="L2" s="443" t="s">
        <v>3141</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3164</v>
      </c>
      <c r="L45" s="4423"/>
      <c r="M45" s="4423"/>
      <c r="N45" s="4424"/>
    </row>
    <row r="46" spans="1:295" s="28" customFormat="1" ht="11.25" customHeight="1">
      <c r="A46" s="4407"/>
      <c r="B46" s="4407"/>
      <c r="C46" s="4407"/>
      <c r="D46" s="4407"/>
      <c r="E46" s="4407"/>
      <c r="F46" s="1245"/>
      <c r="G46" s="4425" t="s">
        <v>333</v>
      </c>
      <c r="H46" s="4426"/>
      <c r="I46" s="66"/>
      <c r="J46" s="35"/>
      <c r="K46" s="4400" t="s">
        <v>3165</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3935</v>
      </c>
      <c r="Q47" s="4405"/>
    </row>
    <row r="48" spans="1:295" s="62" customFormat="1" ht="10.5" customHeight="1">
      <c r="D48" s="491" t="s">
        <v>2464</v>
      </c>
      <c r="E48" s="28"/>
      <c r="F48" s="492" t="s">
        <v>3067</v>
      </c>
      <c r="G48" s="4395" t="s">
        <v>3892</v>
      </c>
      <c r="H48" s="4395"/>
      <c r="I48" s="4395"/>
      <c r="J48" s="28"/>
      <c r="K48" s="492" t="s">
        <v>3067</v>
      </c>
      <c r="L48" s="4395" t="s">
        <v>3891</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12" t="str">
        <f>IF('Part I-Project Identification'!$F$26="","",VLOOKUP('Part I-Project Identification'!$J$26,'DCA Underwriting Assumptions'!$G$141:$N$300,8,FALSE))</f>
        <v>Valdosta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364" t="s">
        <v>3936</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03">
        <f>'Part III-A-Uses of Funds'!$G$146</f>
        <v>8102254</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3927</v>
      </c>
      <c r="Q54" s="4364"/>
      <c r="R54" s="4394" t="s">
        <v>6299</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7834042</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16"/>
      <c r="Q58" s="4417"/>
      <c r="R58" s="328"/>
      <c r="S58" s="4377" t="s">
        <v>3930</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98" t="s">
        <v>3160</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38 units = </v>
      </c>
      <c r="I64" s="1244">
        <f>IF(F64="","",F64*G64)</f>
        <v>6164409.3999999994</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98" t="s">
        <v>3161</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5 units = </v>
      </c>
      <c r="I65" s="1244">
        <f>IF(F65="","",F65*G65)</f>
        <v>1025604.5</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43</v>
      </c>
      <c r="G68" s="493"/>
      <c r="H68" s="871"/>
      <c r="I68" s="872">
        <f>SUM(I63:I67)</f>
        <v>7190013.8999999994</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7190013.8999999994</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86" t="s">
        <v>3448</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43</v>
      </c>
      <c r="G77" s="258"/>
      <c r="H77" s="4396">
        <f>I54+I61+I68+I75</f>
        <v>7190013.8999999994</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Hillmont Apartments, Lake Park, Lowndes County</v>
      </c>
      <c r="B1" s="3324"/>
      <c r="C1" s="3324"/>
      <c r="D1" s="3324"/>
      <c r="E1" s="3324"/>
      <c r="F1" s="3324"/>
      <c r="G1" s="3324"/>
      <c r="H1" s="3324"/>
      <c r="I1" s="3324"/>
      <c r="J1" s="3324"/>
      <c r="K1" s="3324"/>
      <c r="L1" s="3324"/>
      <c r="M1" s="3324"/>
      <c r="N1" s="3324"/>
      <c r="O1" s="3324"/>
      <c r="P1" s="3325"/>
      <c r="Q1" s="4428" t="s">
        <v>6644</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6658</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1" t="s">
        <v>6495</v>
      </c>
      <c r="G12" s="4571"/>
      <c r="H12" s="4571"/>
      <c r="I12" s="4571"/>
      <c r="J12" s="4571"/>
      <c r="K12" s="4571"/>
      <c r="L12" s="4571"/>
      <c r="M12" s="4571"/>
      <c r="N12" s="4571"/>
      <c r="O12" s="1201" t="s">
        <v>3809</v>
      </c>
      <c r="P12" s="1202">
        <f>SUM(P13:P31)</f>
        <v>0</v>
      </c>
      <c r="Q12" s="4427" t="s">
        <v>6544</v>
      </c>
      <c r="R12" s="4427"/>
      <c r="S12" s="4427"/>
      <c r="T12" s="4427"/>
      <c r="U12" s="4427"/>
      <c r="V12" s="1179"/>
    </row>
    <row r="13" spans="1:25" s="35" customFormat="1" ht="10.5" customHeight="1">
      <c r="A13" s="924" t="s">
        <v>1668</v>
      </c>
      <c r="B13" s="921" t="s">
        <v>3393</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4037</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3338</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3394</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3395</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4038</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4040</v>
      </c>
      <c r="B19" s="751" t="s">
        <v>3261</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4052</v>
      </c>
      <c r="B20" s="751" t="s">
        <v>4041</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6242</v>
      </c>
      <c r="B21" s="931" t="s">
        <v>4042</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6636</v>
      </c>
      <c r="B22" s="751" t="s">
        <v>6548</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6638</v>
      </c>
      <c r="B23" s="751" t="s">
        <v>6637</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3368</v>
      </c>
      <c r="B24" s="1887" t="s">
        <v>6554</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3372</v>
      </c>
      <c r="B25" s="751" t="s">
        <v>3396</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3375</v>
      </c>
      <c r="B26" s="751" t="s">
        <v>3397</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3376</v>
      </c>
      <c r="B27" s="751" t="s">
        <v>3398</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3802</v>
      </c>
      <c r="B30" s="751" t="s">
        <v>6552</v>
      </c>
      <c r="C30" s="866"/>
      <c r="D30" s="925"/>
      <c r="E30" s="1196">
        <f>$O$428</f>
        <v>0</v>
      </c>
      <c r="F30" s="4447">
        <f>$A$430</f>
        <v>0</v>
      </c>
      <c r="G30" s="4448"/>
      <c r="H30" s="4448"/>
      <c r="I30" s="4448"/>
      <c r="J30" s="4448"/>
      <c r="K30" s="4448"/>
      <c r="L30" s="4448"/>
      <c r="M30" s="4448"/>
      <c r="N30" s="4448"/>
      <c r="O30" s="4449"/>
      <c r="P30" s="1209"/>
      <c r="Q30" s="1964"/>
      <c r="R30" s="1628"/>
      <c r="S30" s="1628"/>
      <c r="AA30" s="3591" t="s">
        <v>6562</v>
      </c>
      <c r="AB30" s="3591"/>
      <c r="AC30" s="3591"/>
      <c r="AD30" s="3591"/>
      <c r="AE30" s="3591"/>
      <c r="AF30" s="3591"/>
    </row>
    <row r="31" spans="1:35" s="35" customFormat="1" ht="10.5" customHeight="1">
      <c r="A31" s="926" t="s">
        <v>6555</v>
      </c>
      <c r="B31" s="927" t="s">
        <v>6553</v>
      </c>
      <c r="C31" s="928"/>
      <c r="D31" s="929"/>
      <c r="E31" s="1624">
        <f>$O$434</f>
        <v>0</v>
      </c>
      <c r="F31" s="4462">
        <f>$A$438</f>
        <v>0</v>
      </c>
      <c r="G31" s="4463"/>
      <c r="H31" s="4463"/>
      <c r="I31" s="4463"/>
      <c r="J31" s="4463"/>
      <c r="K31" s="4463"/>
      <c r="L31" s="4463"/>
      <c r="M31" s="4463"/>
      <c r="N31" s="4463"/>
      <c r="O31" s="4464"/>
      <c r="P31" s="1210"/>
      <c r="Q31" s="1964"/>
      <c r="R31" s="1628"/>
      <c r="S31" s="1628"/>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4" t="s">
        <v>6124</v>
      </c>
      <c r="H33" s="4514"/>
      <c r="I33" s="4508" t="s">
        <v>6505</v>
      </c>
      <c r="J33" s="4509"/>
      <c r="K33" s="4509"/>
      <c r="L33" s="4510"/>
      <c r="M33" s="4575" t="s">
        <v>6137</v>
      </c>
      <c r="N33" s="4575"/>
      <c r="O33" s="4575"/>
      <c r="P33" s="4575"/>
      <c r="Q33" s="436"/>
      <c r="R33" s="436"/>
      <c r="S33" s="83" t="s">
        <v>6136</v>
      </c>
      <c r="T33" s="436"/>
      <c r="U33" s="436"/>
      <c r="V33" s="436"/>
      <c r="X33" s="4494" t="s">
        <v>6124</v>
      </c>
      <c r="Y33" s="4496"/>
      <c r="Z33" s="4494" t="s">
        <v>6505</v>
      </c>
      <c r="AA33" s="4495"/>
      <c r="AB33" s="4495"/>
      <c r="AC33" s="4496"/>
      <c r="AD33" s="4503" t="s">
        <v>6124</v>
      </c>
      <c r="AE33" s="4504"/>
      <c r="AF33" s="4505" t="s">
        <v>6505</v>
      </c>
      <c r="AG33" s="4503"/>
      <c r="AH33" s="4503"/>
      <c r="AI33" s="4504"/>
    </row>
    <row r="34" spans="1:46" s="115" customFormat="1" ht="11.25" customHeight="1">
      <c r="A34" s="44"/>
      <c r="B34" s="29"/>
      <c r="C34" s="44"/>
      <c r="D34" s="44"/>
      <c r="E34" s="44"/>
      <c r="F34" s="44"/>
      <c r="G34" s="1723">
        <v>0.09</v>
      </c>
      <c r="H34" s="1723">
        <v>0.04</v>
      </c>
      <c r="I34" s="1723">
        <v>0.04</v>
      </c>
      <c r="J34" s="1723" t="s">
        <v>6545</v>
      </c>
      <c r="K34" s="1723" t="s">
        <v>6546</v>
      </c>
      <c r="L34" s="1723" t="s">
        <v>6547</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6" t="s">
        <v>6561</v>
      </c>
      <c r="N40" s="4577"/>
      <c r="O40" s="4577"/>
      <c r="P40" s="4577"/>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6"/>
      <c r="N41" s="4577"/>
      <c r="O41" s="4577"/>
      <c r="P41" s="4577"/>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43</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0" t="s">
        <v>6736</v>
      </c>
      <c r="N52" s="4711"/>
      <c r="O52" s="4711"/>
      <c r="P52" s="4711"/>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0"/>
      <c r="N53" s="4711"/>
      <c r="O53" s="4711"/>
      <c r="P53" s="4711"/>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2"/>
      <c r="N54" s="4713"/>
      <c r="O54" s="4713"/>
      <c r="P54" s="4713"/>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8" t="s">
        <v>6711</v>
      </c>
      <c r="N55" s="4579"/>
      <c r="O55" s="4579"/>
      <c r="P55" s="4580"/>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1"/>
      <c r="N56" s="4582"/>
      <c r="O56" s="4582"/>
      <c r="P56" s="4583"/>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6" t="s">
        <v>6139</v>
      </c>
      <c r="N58" s="4577"/>
      <c r="O58" s="4577"/>
      <c r="P58" s="4577"/>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8"/>
      <c r="N59" s="4709"/>
      <c r="O59" s="4709"/>
      <c r="P59" s="4709"/>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9" t="s">
        <v>6712</v>
      </c>
      <c r="N60" s="4440"/>
      <c r="O60" s="4440"/>
      <c r="P60" s="444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2"/>
      <c r="N61" s="4443"/>
      <c r="O61" s="4443"/>
      <c r="P61" s="444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1" t="s">
        <v>3894</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5" t="s">
        <v>6072</v>
      </c>
      <c r="B74" s="4405"/>
      <c r="C74" s="4405"/>
      <c r="D74" s="4405"/>
      <c r="E74" s="4405"/>
      <c r="F74" s="1176" t="s">
        <v>3390</v>
      </c>
      <c r="G74" s="4563" t="s">
        <v>6074</v>
      </c>
      <c r="H74" s="4563"/>
      <c r="I74" s="4563"/>
      <c r="J74" s="1176" t="s">
        <v>3390</v>
      </c>
      <c r="K74" s="4567" t="s">
        <v>6073</v>
      </c>
      <c r="L74" s="4567"/>
      <c r="M74" s="4567"/>
      <c r="N74" s="4567"/>
      <c r="O74" s="4561" t="s">
        <v>3390</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3808</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3144</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3145</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3146</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3147</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3811</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57.674418604651166</v>
      </c>
      <c r="L94" s="4654"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4"/>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5" t="s">
        <v>3815</v>
      </c>
      <c r="I97" s="445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43</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5" t="s">
        <v>4043</v>
      </c>
      <c r="J106" s="4476"/>
      <c r="K106" s="4476"/>
      <c r="L106" s="4477"/>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8"/>
      <c r="J107" s="4479"/>
      <c r="K107" s="4479"/>
      <c r="L107" s="4480"/>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7" t="s">
        <v>3215</v>
      </c>
      <c r="G123" s="4537"/>
      <c r="H123" s="4537"/>
      <c r="I123" s="4537"/>
      <c r="J123" s="4537" t="s">
        <v>3216</v>
      </c>
      <c r="K123" s="4537"/>
      <c r="L123" s="4537"/>
      <c r="M123" s="4537"/>
      <c r="N123" s="48"/>
      <c r="O123" s="4538" t="s">
        <v>3884</v>
      </c>
      <c r="P123" s="4539"/>
      <c r="Q123" s="86"/>
      <c r="R123" s="879"/>
      <c r="S123" s="879"/>
      <c r="T123" s="879"/>
      <c r="U123" s="879"/>
    </row>
    <row r="124" spans="1:21" s="36" customFormat="1" ht="12" customHeight="1">
      <c r="B124" s="1839"/>
      <c r="C124" s="1182" t="s">
        <v>6570</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6146</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6679</v>
      </c>
      <c r="B126" s="4668"/>
      <c r="C126" s="1182" t="s">
        <v>6569</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3365</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6" t="s">
        <v>6677</v>
      </c>
      <c r="D133" s="4536"/>
      <c r="E133" s="4536"/>
      <c r="F133" s="4536"/>
      <c r="G133" s="4536"/>
      <c r="H133" s="4536"/>
      <c r="I133" s="4536"/>
      <c r="J133" s="4536"/>
      <c r="K133" s="4536"/>
      <c r="L133" s="4536"/>
      <c r="M133" s="1848">
        <v>6</v>
      </c>
      <c r="N133" s="374" t="s">
        <v>1844</v>
      </c>
      <c r="O133" s="1910"/>
      <c r="P133" s="1911"/>
      <c r="Q133" s="1212"/>
      <c r="R133" s="795" t="s">
        <v>4058</v>
      </c>
    </row>
    <row r="134" spans="1:21" s="332" customFormat="1" ht="12" customHeight="1">
      <c r="A134" s="456" t="s">
        <v>1275</v>
      </c>
      <c r="B134" s="350" t="s">
        <v>1846</v>
      </c>
      <c r="C134" s="3576" t="s">
        <v>6678</v>
      </c>
      <c r="D134" s="3576"/>
      <c r="E134" s="3576"/>
      <c r="F134" s="3576"/>
      <c r="G134" s="866"/>
      <c r="J134" s="4540" t="s">
        <v>6674</v>
      </c>
      <c r="K134" s="4541"/>
      <c r="L134" s="4542"/>
      <c r="M134" s="458">
        <v>5</v>
      </c>
      <c r="N134" s="348" t="s">
        <v>1846</v>
      </c>
      <c r="O134" s="1923"/>
      <c r="P134" s="1924"/>
      <c r="Q134" s="1810" t="s">
        <v>6670</v>
      </c>
      <c r="R134" s="1176" t="s">
        <v>6263</v>
      </c>
      <c r="S134" s="1176" t="s">
        <v>6144</v>
      </c>
    </row>
    <row r="135" spans="1:21" s="332" customFormat="1" ht="12" customHeight="1">
      <c r="B135" s="350"/>
      <c r="C135" s="3576"/>
      <c r="D135" s="3576"/>
      <c r="E135" s="3576"/>
      <c r="F135" s="3576"/>
      <c r="G135" s="866"/>
      <c r="H135" s="3368" t="s">
        <v>6672</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3238</v>
      </c>
      <c r="C138" s="503"/>
      <c r="D138" s="503"/>
      <c r="F138" s="1902" t="s">
        <v>6669</v>
      </c>
      <c r="J138" s="4465" t="s">
        <v>3235</v>
      </c>
      <c r="K138" s="446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6" t="s">
        <v>6684</v>
      </c>
      <c r="D139" s="3576"/>
      <c r="E139" s="3576"/>
      <c r="F139" s="3576"/>
      <c r="G139" s="866"/>
      <c r="H139" s="3368" t="s">
        <v>6673</v>
      </c>
      <c r="I139" s="3368"/>
      <c r="J139" s="4467" t="s">
        <v>6689</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6565</v>
      </c>
      <c r="K140" s="4691"/>
      <c r="L140" s="4692"/>
      <c r="M140" s="70"/>
      <c r="O140" s="4704"/>
      <c r="P140" s="4707"/>
      <c r="Q140" s="86"/>
      <c r="R140" s="1550">
        <v>1</v>
      </c>
      <c r="S140" s="1550">
        <v>1</v>
      </c>
      <c r="U140" s="332"/>
    </row>
    <row r="141" spans="1:21" s="36" customFormat="1" ht="11.25" customHeight="1">
      <c r="A141" s="456" t="s">
        <v>1275</v>
      </c>
      <c r="B141" s="1632" t="s">
        <v>1846</v>
      </c>
      <c r="C141" s="3576" t="s">
        <v>6676</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6675</v>
      </c>
      <c r="D143" s="3576"/>
      <c r="E143" s="3576"/>
      <c r="F143" s="3576"/>
      <c r="G143" s="3576"/>
      <c r="H143" s="3576"/>
      <c r="I143" s="4702"/>
      <c r="J143" s="4690" t="s">
        <v>6566</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7" t="s">
        <v>6890</v>
      </c>
      <c r="K154" s="4688"/>
      <c r="L154" s="4688"/>
      <c r="M154" s="4689"/>
      <c r="N154"/>
      <c r="O154"/>
      <c r="P154"/>
    </row>
    <row r="155" spans="1:19" ht="12.75" customHeight="1">
      <c r="B155" s="430"/>
      <c r="C155" s="430"/>
      <c r="D155" s="430"/>
      <c r="F155" s="4201" t="s">
        <v>6627</v>
      </c>
      <c r="G155" s="4201"/>
      <c r="H155" s="4201" t="s">
        <v>6269</v>
      </c>
      <c r="I155" s="4201"/>
      <c r="J155" s="4675" t="s">
        <v>6628</v>
      </c>
      <c r="K155" s="4676"/>
      <c r="L155" s="4678" t="s">
        <v>6889</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6629</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3" t="s">
        <v>6680</v>
      </c>
      <c r="D173" s="4193"/>
      <c r="E173" s="4193"/>
      <c r="F173" s="4193"/>
      <c r="G173" s="4193"/>
      <c r="H173" s="4193"/>
      <c r="I173" s="4193"/>
      <c r="J173" s="4193"/>
      <c r="K173" s="4193"/>
      <c r="L173" s="128"/>
      <c r="M173" s="4659" t="s">
        <v>6090</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3286</v>
      </c>
      <c r="N174" s="4652"/>
      <c r="O174" s="4652"/>
      <c r="P174" s="4653"/>
      <c r="S174" s="1628"/>
      <c r="T174" s="1628"/>
      <c r="U174" s="1628"/>
    </row>
    <row r="175" spans="1:26" s="26" customFormat="1" ht="12.75" customHeight="1">
      <c r="B175" s="49" t="s">
        <v>2241</v>
      </c>
      <c r="C175" s="29" t="s">
        <v>3956</v>
      </c>
      <c r="D175" s="29"/>
      <c r="E175" s="29"/>
      <c r="F175" s="29"/>
      <c r="G175" s="29"/>
      <c r="H175" s="29"/>
      <c r="L175" s="49" t="s">
        <v>2241</v>
      </c>
      <c r="M175" s="4467" t="s">
        <v>3286</v>
      </c>
      <c r="N175" s="4468"/>
      <c r="O175" s="4468"/>
      <c r="P175" s="446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7" t="s">
        <v>3286</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6" t="s">
        <v>3286</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3" t="s">
        <v>6178</v>
      </c>
      <c r="D180" s="4193"/>
      <c r="E180" s="4193"/>
      <c r="F180" s="4193"/>
      <c r="G180" s="4193"/>
      <c r="H180" s="4193"/>
      <c r="I180" s="4193"/>
      <c r="J180" s="4193"/>
      <c r="K180" s="4193"/>
      <c r="L180" s="4193"/>
      <c r="M180" s="1848">
        <v>1</v>
      </c>
      <c r="N180" s="128" t="s">
        <v>4076</v>
      </c>
      <c r="O180" s="1636"/>
      <c r="P180" s="1640"/>
      <c r="Q180" s="1212" t="str">
        <f>IF(OR($O180=$M180,$O180=0,$O180=""),"","*CHECK!*")</f>
        <v/>
      </c>
      <c r="R180" s="795" t="s">
        <v>4058</v>
      </c>
    </row>
    <row r="181" spans="1:26" ht="36.75" customHeight="1">
      <c r="A181" s="396"/>
      <c r="B181" s="117" t="s">
        <v>2241</v>
      </c>
      <c r="C181" s="4193" t="s">
        <v>6179</v>
      </c>
      <c r="D181" s="4193"/>
      <c r="E181" s="4193"/>
      <c r="F181" s="4193"/>
      <c r="G181" s="4193"/>
      <c r="H181" s="4193"/>
      <c r="I181" s="4193"/>
      <c r="J181" s="4193"/>
      <c r="K181" s="4193"/>
      <c r="L181" s="4193"/>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3" t="s">
        <v>6207</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6211</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3" t="s">
        <v>6212</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6253</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0" t="s">
        <v>3204</v>
      </c>
      <c r="K208" s="4631"/>
      <c r="L208" s="4632"/>
      <c r="M208" s="4633"/>
      <c r="N208" s="53"/>
      <c r="R208" s="86"/>
      <c r="S208" s="70"/>
    </row>
    <row r="209" spans="1:27" ht="12.75" customHeight="1">
      <c r="C209" s="685" t="s">
        <v>6255</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5" t="s">
        <v>6218</v>
      </c>
      <c r="F212" s="4435"/>
      <c r="G212" s="4435"/>
      <c r="H212" s="4435"/>
      <c r="I212" s="1203" t="s">
        <v>6245</v>
      </c>
      <c r="J212" s="4435" t="s">
        <v>6218</v>
      </c>
      <c r="K212" s="4435"/>
      <c r="L212" s="4435"/>
      <c r="M212" s="4435"/>
      <c r="N212"/>
      <c r="O212"/>
      <c r="P212"/>
    </row>
    <row r="213" spans="1:27" ht="13.5" customHeight="1">
      <c r="B213" s="400"/>
      <c r="C213" s="29" t="s">
        <v>6216</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6217</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6214</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6215</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5" t="str">
        <f>'Part V-Revenues &amp; Expenses'!$O$53</f>
        <v>40% of Units at 60% of AMI</v>
      </c>
      <c r="L226" s="4596"/>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0"/>
      <c r="J244" s="4460"/>
      <c r="L244" s="1662" t="s">
        <v>6259</v>
      </c>
      <c r="M244" s="4461"/>
      <c r="N244" s="4461"/>
    </row>
    <row r="245" spans="1:27" s="32" customFormat="1" ht="11.25" customHeight="1">
      <c r="A245" s="306"/>
      <c r="B245" s="350" t="s">
        <v>1846</v>
      </c>
      <c r="C245" s="29" t="s">
        <v>6258</v>
      </c>
      <c r="E245" s="33" t="s">
        <v>3309</v>
      </c>
      <c r="G245" s="1644"/>
      <c r="H245" s="48" t="s">
        <v>574</v>
      </c>
      <c r="I245" s="4590"/>
      <c r="J245" s="4590"/>
      <c r="L245" s="1662" t="s">
        <v>6259</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6615</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6616</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6230</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6691</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6693</v>
      </c>
      <c r="G289" s="147"/>
      <c r="I289" s="4645" t="s">
        <v>6694</v>
      </c>
      <c r="J289" s="4646"/>
      <c r="K289" s="4647"/>
      <c r="L289" s="4648"/>
      <c r="M289" s="456"/>
      <c r="O289" s="4649" t="s">
        <v>3149</v>
      </c>
      <c r="P289" s="4649" t="s">
        <v>3150</v>
      </c>
      <c r="Q289" s="86"/>
      <c r="R289" s="1630"/>
      <c r="S289" s="1630"/>
      <c r="T289" s="1630"/>
      <c r="U289" s="1630"/>
      <c r="V289" s="1630"/>
      <c r="W289" s="36"/>
      <c r="X289" s="36"/>
    </row>
    <row r="290" spans="1:24" s="36" customFormat="1" ht="11.25" customHeight="1">
      <c r="A290" s="120"/>
      <c r="B290" s="29" t="s">
        <v>6581</v>
      </c>
      <c r="D290" s="34"/>
      <c r="H290" s="141"/>
      <c r="M290" s="119"/>
      <c r="N290" s="48"/>
      <c r="O290" s="4650"/>
      <c r="P290" s="4650"/>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6587</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6588</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6590</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6591</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6594</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3274</v>
      </c>
      <c r="L345" s="4588"/>
      <c r="M345" s="4588"/>
      <c r="N345" s="49" t="s">
        <v>2241</v>
      </c>
      <c r="O345" s="299"/>
      <c r="P345" s="420"/>
      <c r="R345" s="4584"/>
      <c r="S345" s="4584"/>
    </row>
    <row r="346" spans="1:20" s="79" customFormat="1" ht="12.75" customHeight="1">
      <c r="B346" s="49" t="s">
        <v>2242</v>
      </c>
      <c r="C346" s="29" t="s">
        <v>3273</v>
      </c>
      <c r="L346" s="4588"/>
      <c r="M346" s="4588"/>
      <c r="N346" s="49" t="s">
        <v>2242</v>
      </c>
      <c r="O346" s="299"/>
      <c r="P346" s="420"/>
      <c r="R346" s="4584"/>
      <c r="S346" s="4584"/>
    </row>
    <row r="347" spans="1:20" s="79" customFormat="1" ht="33.75" customHeight="1">
      <c r="B347" s="117" t="s">
        <v>2243</v>
      </c>
      <c r="C347" s="4193" t="s">
        <v>6596</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6598</v>
      </c>
      <c r="C352" s="29" t="s">
        <v>1388</v>
      </c>
      <c r="I352" s="49" t="s">
        <v>2240</v>
      </c>
      <c r="J352" s="4523"/>
      <c r="K352" s="4524"/>
      <c r="L352" s="49" t="s">
        <v>2240</v>
      </c>
      <c r="M352" s="4627"/>
      <c r="N352" s="4628"/>
      <c r="O352" s="4628"/>
      <c r="P352" s="4629"/>
      <c r="R352" s="307"/>
    </row>
    <row r="353" spans="1:18" ht="12.75" customHeight="1">
      <c r="A353" s="152"/>
      <c r="B353" s="117" t="s">
        <v>2241</v>
      </c>
      <c r="C353" s="29" t="s">
        <v>3155</v>
      </c>
      <c r="I353" s="117" t="s">
        <v>2241</v>
      </c>
      <c r="J353" s="4528"/>
      <c r="K353" s="4529"/>
      <c r="L353" s="117" t="s">
        <v>2241</v>
      </c>
      <c r="M353" s="4530"/>
      <c r="N353" s="4531"/>
      <c r="O353" s="4531"/>
      <c r="P353" s="4532"/>
      <c r="R353" s="307"/>
    </row>
    <row r="354" spans="1:18" ht="12.75" customHeight="1">
      <c r="B354" s="49" t="s">
        <v>2242</v>
      </c>
      <c r="C354" s="29" t="s">
        <v>3953</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6232</v>
      </c>
      <c r="I358" s="49" t="s">
        <v>2261</v>
      </c>
      <c r="J358" s="4528"/>
      <c r="K358" s="4529"/>
      <c r="L358" s="49" t="s">
        <v>2261</v>
      </c>
      <c r="M358" s="1601"/>
      <c r="N358" s="1602"/>
      <c r="O358" s="1602"/>
      <c r="P358" s="1603"/>
      <c r="R358" s="307"/>
    </row>
    <row r="359" spans="1:18" ht="12.75" customHeight="1">
      <c r="A359" s="152"/>
      <c r="B359" s="48" t="s">
        <v>2262</v>
      </c>
      <c r="C359" s="29" t="s">
        <v>3154</v>
      </c>
      <c r="I359" s="48" t="s">
        <v>2262</v>
      </c>
      <c r="J359" s="4528"/>
      <c r="K359" s="4529"/>
      <c r="L359" s="48" t="s">
        <v>2262</v>
      </c>
      <c r="M359" s="4530"/>
      <c r="N359" s="4531"/>
      <c r="O359" s="4531"/>
      <c r="P359" s="4532"/>
      <c r="R359" s="307"/>
    </row>
    <row r="360" spans="1:18" ht="12.75" customHeight="1">
      <c r="B360" s="48" t="s">
        <v>2263</v>
      </c>
      <c r="C360" s="29" t="s">
        <v>6599</v>
      </c>
      <c r="I360" s="48" t="s">
        <v>2263</v>
      </c>
      <c r="J360" s="4528"/>
      <c r="K360" s="4529"/>
      <c r="L360" s="48" t="s">
        <v>2263</v>
      </c>
      <c r="M360" s="4530"/>
      <c r="N360" s="4531"/>
      <c r="O360" s="4531"/>
      <c r="P360" s="4532"/>
      <c r="R360" s="307"/>
    </row>
    <row r="361" spans="1:18" ht="12.75" customHeight="1">
      <c r="B361" s="48" t="s">
        <v>3156</v>
      </c>
      <c r="C361" s="29" t="s">
        <v>3825</v>
      </c>
      <c r="I361" s="48" t="s">
        <v>3156</v>
      </c>
      <c r="J361" s="4528"/>
      <c r="K361" s="4529"/>
      <c r="L361" s="48" t="s">
        <v>3156</v>
      </c>
      <c r="M361" s="4530"/>
      <c r="N361" s="4531"/>
      <c r="O361" s="4531"/>
      <c r="P361" s="4532"/>
      <c r="R361" s="307"/>
    </row>
    <row r="362" spans="1:18" ht="12.75" customHeight="1" thickBot="1">
      <c r="B362" s="48" t="s">
        <v>6233</v>
      </c>
      <c r="C362" s="29" t="s">
        <v>6234</v>
      </c>
      <c r="I362" s="48" t="s">
        <v>6233</v>
      </c>
      <c r="J362" s="4528"/>
      <c r="K362" s="4529"/>
      <c r="L362" s="48" t="s">
        <v>6233</v>
      </c>
      <c r="M362" s="4618"/>
      <c r="N362" s="4619"/>
      <c r="O362" s="4619"/>
      <c r="P362" s="4620"/>
      <c r="R362" s="307"/>
    </row>
    <row r="363" spans="1:18" ht="12.75" customHeight="1" thickBot="1">
      <c r="B363" s="919" t="s">
        <v>6600</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7">
        <f>'Part V-Revenues &amp; Expenses'!$P$67</f>
        <v>43</v>
      </c>
      <c r="K365" s="4638"/>
      <c r="L365" s="430"/>
      <c r="M365" s="393"/>
      <c r="N365" s="393"/>
      <c r="O365" s="881"/>
      <c r="P365" s="393"/>
    </row>
    <row r="366" spans="1:18" ht="13.5" customHeight="1">
      <c r="C366" s="230"/>
      <c r="D366" s="230"/>
      <c r="E366" s="230"/>
      <c r="F366" s="349" t="s">
        <v>6236</v>
      </c>
      <c r="J366" s="4635">
        <f>IF(J365=0,0,J363/J365)</f>
        <v>0</v>
      </c>
      <c r="K366" s="4636"/>
      <c r="M366" s="4525">
        <f>IF($J365=0,0,$M363/$J365)</f>
        <v>0</v>
      </c>
      <c r="N366" s="4526"/>
      <c r="O366" s="4526"/>
      <c r="P366" s="4527"/>
    </row>
    <row r="367" spans="1:18" s="36" customFormat="1" ht="12.75" customHeight="1">
      <c r="C367" s="230"/>
      <c r="D367" s="230"/>
      <c r="E367" s="230"/>
      <c r="F367" s="44" t="s">
        <v>6237</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3" t="s">
        <v>6601</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5" t="s">
        <v>6602</v>
      </c>
      <c r="C383" s="4215"/>
      <c r="D383" s="4215"/>
      <c r="E383" s="4215"/>
      <c r="F383" s="4215"/>
      <c r="G383" s="4215"/>
      <c r="H383" s="4215"/>
      <c r="I383" s="4215"/>
      <c r="J383" s="4215"/>
      <c r="K383" s="4215"/>
      <c r="L383" s="4215"/>
      <c r="M383" s="4617" t="s">
        <v>3886</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43</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3414</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43</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6744</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6698</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Hillmont Apartments</v>
      </c>
      <c r="B2" s="4726"/>
      <c r="C2" s="4726"/>
      <c r="D2" s="4726"/>
      <c r="E2" s="4726"/>
      <c r="F2" s="4726"/>
      <c r="G2" s="4726"/>
      <c r="H2" s="4726"/>
      <c r="I2" s="4726"/>
      <c r="J2" s="4726"/>
    </row>
    <row r="3" spans="1:16" ht="15.75">
      <c r="A3" s="4726" t="str">
        <f>'Subsidy Layering Memo'!F14</f>
        <v>Lake Park, Lowndes</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30"/>
      <c r="N7" s="4730"/>
      <c r="O7" s="4730"/>
      <c r="P7" s="4730"/>
    </row>
    <row r="8" spans="1:16" ht="57" customHeight="1">
      <c r="A8" s="4731" t="s">
        <v>6151</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Lake Park, Lowndes County, Georgia, with the development of 43 units set aside for &lt;&lt; Select PROPOSED Tenancy &gt;&gt;.</v>
      </c>
      <c r="B9" s="4731"/>
      <c r="C9" s="4731"/>
      <c r="D9" s="4731"/>
      <c r="E9" s="4731"/>
      <c r="F9" s="4731"/>
      <c r="G9" s="4731"/>
      <c r="H9" s="4731"/>
      <c r="I9" s="4731"/>
      <c r="J9" s="4731"/>
      <c r="K9" s="508"/>
    </row>
    <row r="10" spans="1:16" ht="15.75">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2585</v>
      </c>
      <c r="B14" s="510"/>
    </row>
    <row r="15" spans="1:16">
      <c r="A15" s="507" t="s">
        <v>2586</v>
      </c>
      <c r="D15" s="1020" t="s">
        <v>2587</v>
      </c>
    </row>
    <row r="16" spans="1:16">
      <c r="A16" s="507" t="s">
        <v>2588</v>
      </c>
      <c r="D16" s="1254">
        <f>'Sensitivity Analysis'!C25</f>
        <v>858647</v>
      </c>
    </row>
    <row r="17" spans="1:11">
      <c r="A17" s="511" t="s">
        <v>2589</v>
      </c>
      <c r="D17" s="1255">
        <f>'Sensitivity Analysis'!C13</f>
        <v>43</v>
      </c>
    </row>
    <row r="18" spans="1:11" ht="14.25" customHeight="1"/>
    <row r="19" spans="1:11" ht="15.75">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4108085 via the syndication of the 2021 Federal LIHTC allocation of 500000 per annum. will make a capital contribution totaling 2641080 via the syndication of the 2021 State LIHTC allocation of 500000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1.35 (0.83 Federal tax credit and 0.52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6152</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R4" sqref="R4"/>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Hillmont Apartments, Lake Park, Lowndes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6911</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500000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7036</v>
      </c>
      <c r="G12" s="3041"/>
      <c r="H12" s="3042"/>
      <c r="I12" s="1789" t="s">
        <v>6517</v>
      </c>
      <c r="J12" s="393" t="s">
        <v>6944</v>
      </c>
      <c r="K12" s="243"/>
      <c r="L12" s="248"/>
      <c r="O12" s="3043" t="s">
        <v>7037</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7038</v>
      </c>
      <c r="G15" s="3017"/>
      <c r="H15" s="3018"/>
      <c r="I15" s="2444" t="s">
        <v>1670</v>
      </c>
      <c r="J15" s="3019" t="s">
        <v>7039</v>
      </c>
      <c r="K15" s="3020"/>
      <c r="L15" s="3021"/>
      <c r="M15" s="1898" t="s">
        <v>1839</v>
      </c>
      <c r="N15" s="3016" t="s">
        <v>7040</v>
      </c>
      <c r="O15" s="3017"/>
      <c r="P15" s="3018"/>
      <c r="Q15" s="3050"/>
      <c r="R15" s="3051"/>
      <c r="S15" s="3052"/>
      <c r="Z15" s="1706">
        <v>15</v>
      </c>
    </row>
    <row r="16" spans="1:26" s="144" customFormat="1" ht="12.75" customHeight="1">
      <c r="B16" s="246" t="s">
        <v>1599</v>
      </c>
      <c r="F16" s="3013">
        <v>7706350157</v>
      </c>
      <c r="G16" s="3014"/>
      <c r="H16" s="3015"/>
      <c r="I16" s="2445" t="s">
        <v>1598</v>
      </c>
      <c r="J16" s="823"/>
      <c r="M16" s="246" t="s">
        <v>1600</v>
      </c>
      <c r="N16" s="3013">
        <v>7706350157</v>
      </c>
      <c r="O16" s="3014"/>
      <c r="P16" s="3015"/>
      <c r="Q16" s="3050"/>
      <c r="R16" s="3051"/>
      <c r="S16" s="3052"/>
      <c r="V16" s="751"/>
      <c r="W16" s="751"/>
      <c r="X16" s="751"/>
      <c r="Z16" s="1706">
        <v>18</v>
      </c>
    </row>
    <row r="17" spans="1:26" s="144" customFormat="1">
      <c r="B17" s="246" t="s">
        <v>1842</v>
      </c>
      <c r="F17" s="3022" t="s">
        <v>7109</v>
      </c>
      <c r="G17" s="3023"/>
      <c r="H17" s="3023"/>
      <c r="I17" s="3020"/>
      <c r="J17" s="3023"/>
      <c r="K17" s="3020"/>
      <c r="L17" s="3021"/>
      <c r="M17" s="246" t="s">
        <v>1838</v>
      </c>
      <c r="N17" s="3024">
        <v>4042340004</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7041</v>
      </c>
      <c r="G19" s="3017"/>
      <c r="H19" s="3018"/>
      <c r="I19" s="2444" t="s">
        <v>1670</v>
      </c>
      <c r="J19" s="3019" t="s">
        <v>7042</v>
      </c>
      <c r="K19" s="3020"/>
      <c r="L19" s="3021"/>
      <c r="M19" s="1898" t="s">
        <v>1839</v>
      </c>
      <c r="N19" s="3016" t="s">
        <v>7043</v>
      </c>
      <c r="O19" s="3017"/>
      <c r="P19" s="3018"/>
      <c r="Q19" s="3050"/>
      <c r="R19" s="3051"/>
      <c r="S19" s="3052"/>
      <c r="Z19" s="1706">
        <v>21</v>
      </c>
    </row>
    <row r="20" spans="1:26" s="144" customFormat="1">
      <c r="B20" s="246" t="s">
        <v>1599</v>
      </c>
      <c r="F20" s="3013">
        <v>2295480296</v>
      </c>
      <c r="G20" s="3014"/>
      <c r="H20" s="3015"/>
      <c r="I20" s="2445" t="s">
        <v>1598</v>
      </c>
      <c r="J20" s="823"/>
      <c r="M20" s="246" t="s">
        <v>1600</v>
      </c>
      <c r="N20" s="3013">
        <v>2295480296</v>
      </c>
      <c r="O20" s="3014"/>
      <c r="P20" s="3015"/>
      <c r="Q20" s="3050"/>
      <c r="R20" s="3051"/>
      <c r="S20" s="3052"/>
      <c r="U20" s="230"/>
      <c r="V20" s="230"/>
      <c r="W20" s="230"/>
      <c r="X20" s="230"/>
      <c r="Z20" s="1706">
        <v>24</v>
      </c>
    </row>
    <row r="21" spans="1:26" s="144" customFormat="1">
      <c r="B21" s="246" t="s">
        <v>1842</v>
      </c>
      <c r="F21" s="3022" t="s">
        <v>7044</v>
      </c>
      <c r="G21" s="3023"/>
      <c r="H21" s="3023"/>
      <c r="I21" s="3020"/>
      <c r="J21" s="3023"/>
      <c r="K21" s="3020"/>
      <c r="L21" s="3021"/>
      <c r="M21" s="246" t="s">
        <v>1838</v>
      </c>
      <c r="N21" s="3024">
        <v>2295480296</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7045</v>
      </c>
      <c r="G25" s="3027"/>
      <c r="H25" s="3027"/>
      <c r="I25" s="3020"/>
      <c r="J25" s="3027"/>
      <c r="K25" s="3028"/>
      <c r="M25" s="246" t="s">
        <v>425</v>
      </c>
      <c r="P25" s="1899" t="s">
        <v>2652</v>
      </c>
      <c r="Q25" s="3050"/>
      <c r="R25" s="3051"/>
      <c r="S25" s="3052"/>
      <c r="Z25" s="1706">
        <v>29</v>
      </c>
    </row>
    <row r="26" spans="1:26" s="144" customFormat="1">
      <c r="A26" s="375"/>
      <c r="B26" s="144" t="s">
        <v>575</v>
      </c>
      <c r="F26" s="3058" t="s">
        <v>73</v>
      </c>
      <c r="G26" s="3071"/>
      <c r="H26" s="3072"/>
      <c r="I26" s="257" t="s">
        <v>576</v>
      </c>
      <c r="J26" s="3029" t="str">
        <f>IF(F26="","",VLOOKUP(F26,'DCA Underwriting Assumptions'!$T$141:$U$770,2,FALSE))</f>
        <v>Lowndes</v>
      </c>
      <c r="K26" s="3030"/>
      <c r="M26" s="246" t="s">
        <v>426</v>
      </c>
      <c r="P26" s="1956" t="s">
        <v>2652</v>
      </c>
      <c r="Q26" s="3050"/>
      <c r="R26" s="3051"/>
      <c r="S26" s="3052"/>
      <c r="U26" s="375"/>
      <c r="Z26" s="1706">
        <v>30</v>
      </c>
    </row>
    <row r="27" spans="1:26" s="144" customFormat="1" ht="13.5">
      <c r="A27" s="375"/>
      <c r="B27" s="144" t="s">
        <v>3906</v>
      </c>
      <c r="C27" s="251"/>
      <c r="D27" s="252"/>
      <c r="E27" s="252"/>
      <c r="F27" s="3058" t="s">
        <v>7046</v>
      </c>
      <c r="G27" s="3059"/>
      <c r="H27" s="3060"/>
      <c r="I27" s="248"/>
      <c r="J27" s="392" t="s">
        <v>6723</v>
      </c>
      <c r="K27" s="248"/>
      <c r="M27" s="246" t="s">
        <v>6666</v>
      </c>
      <c r="O27" s="3011">
        <v>3.5</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MSA</v>
      </c>
      <c r="O28" s="3029" t="str">
        <f>IF($F$26="","",VLOOKUP($J$26,'DCA Underwriting Assumptions'!$G$141:$L$300,3,FALSE))</f>
        <v>Valdosta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7047</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Hillmont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2647</v>
      </c>
      <c r="B8" s="576"/>
      <c r="C8" s="4737" t="str">
        <f>'Part I-Project Identification'!$F$25</f>
        <v>Hillmont Apartments</v>
      </c>
      <c r="D8" s="4737"/>
      <c r="E8" s="1978" t="str">
        <f>'Part I-Project Identification'!$O$7</f>
        <v>2023-0</v>
      </c>
      <c r="F8" s="576" t="s">
        <v>2648</v>
      </c>
      <c r="G8" s="567"/>
      <c r="H8" s="4737" t="str">
        <f>CONCATENATE('Part I-Project Identification'!$F$26,", ",'Part I-Project Identification'!$J$26)</f>
        <v>Lake Park, Lowndes</v>
      </c>
      <c r="I8" s="4737"/>
      <c r="J8" s="4737"/>
      <c r="K8" s="4737"/>
      <c r="L8" s="567"/>
      <c r="M8" s="545"/>
    </row>
    <row r="9" spans="1:14" ht="15.75">
      <c r="A9" s="576" t="s">
        <v>2650</v>
      </c>
      <c r="B9" s="576"/>
      <c r="C9" s="4737" t="s">
        <v>1646</v>
      </c>
      <c r="D9" s="4737"/>
      <c r="E9" s="567"/>
      <c r="F9" s="576" t="s">
        <v>2651</v>
      </c>
      <c r="G9" s="567"/>
      <c r="H9" s="4738"/>
      <c r="I9" s="4738"/>
      <c r="J9" s="4738"/>
      <c r="K9" s="4738"/>
      <c r="L9" s="4738"/>
      <c r="M9" s="545"/>
    </row>
    <row r="10" spans="1:14" ht="15.75">
      <c r="A10" s="576" t="s">
        <v>2653</v>
      </c>
      <c r="B10" s="567"/>
      <c r="C10" s="4739"/>
      <c r="D10" s="4739"/>
      <c r="E10" s="567"/>
      <c r="F10" s="576" t="s">
        <v>3131</v>
      </c>
      <c r="G10" s="567"/>
      <c r="H10" s="4736"/>
      <c r="I10" s="4736"/>
      <c r="J10" s="4736"/>
      <c r="K10" s="4736"/>
      <c r="L10" s="4736"/>
    </row>
    <row r="11" spans="1:14" ht="15.75">
      <c r="A11" s="576" t="s">
        <v>2654</v>
      </c>
      <c r="B11" s="567"/>
      <c r="C11" s="4740"/>
      <c r="D11" s="4740"/>
      <c r="E11" s="1992"/>
      <c r="F11" s="576" t="s">
        <v>606</v>
      </c>
      <c r="G11" s="567"/>
      <c r="H11" s="4736"/>
      <c r="I11" s="4736"/>
      <c r="J11" s="4736"/>
      <c r="K11" s="4736"/>
      <c r="L11" s="4736"/>
      <c r="M11" s="4741"/>
      <c r="N11" s="4742"/>
    </row>
    <row r="12" spans="1:14" ht="15.75">
      <c r="A12" s="576" t="s">
        <v>2655</v>
      </c>
      <c r="B12" s="567"/>
      <c r="C12" s="4740"/>
      <c r="D12" s="4740"/>
      <c r="E12" s="567"/>
      <c r="F12" s="576" t="s">
        <v>2656</v>
      </c>
      <c r="G12" s="567"/>
      <c r="H12" s="4740"/>
      <c r="I12" s="4740"/>
      <c r="J12" s="4740"/>
      <c r="K12" s="4740"/>
      <c r="L12" s="4740"/>
      <c r="M12" s="507"/>
    </row>
    <row r="13" spans="1:14" ht="15.75">
      <c r="A13" s="576" t="s">
        <v>2657</v>
      </c>
      <c r="B13" s="576"/>
      <c r="C13" s="1979">
        <f>'Part V-Revenues &amp; Expenses'!$P$67</f>
        <v>43</v>
      </c>
      <c r="D13" s="26"/>
      <c r="E13" s="1980">
        <f>'Part V-Revenues &amp; Expenses'!$P$63</f>
        <v>43</v>
      </c>
      <c r="F13" s="576" t="s">
        <v>3451</v>
      </c>
      <c r="G13" s="567"/>
      <c r="H13" s="1990"/>
      <c r="I13" s="1982"/>
      <c r="J13" s="1982"/>
      <c r="K13" s="1981">
        <f>'Part V-Revenues &amp; Expenses'!$K$175</f>
        <v>30902</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3099</v>
      </c>
      <c r="I14" s="4743"/>
      <c r="J14" s="4743"/>
      <c r="K14" s="4743" t="s">
        <v>3099</v>
      </c>
      <c r="L14" s="4743"/>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8102254</v>
      </c>
      <c r="D18" s="1986">
        <f>IF(C18=0,"",$C$29/C18)</f>
        <v>0.10597631227063481</v>
      </c>
      <c r="E18" s="567" t="s">
        <v>2953</v>
      </c>
      <c r="F18" s="576" t="s">
        <v>6749</v>
      </c>
      <c r="G18" s="567"/>
      <c r="H18" s="4744">
        <f>'Part III-A-Uses of Funds'!$C$49</f>
        <v>3828850</v>
      </c>
      <c r="I18" s="4744"/>
      <c r="J18" s="1987">
        <f>IF(H18=0,"",$C$29/H18)</f>
        <v>0.22425715293103674</v>
      </c>
      <c r="K18" s="4737" t="s">
        <v>2955</v>
      </c>
      <c r="L18" s="4737"/>
      <c r="M18" s="507"/>
    </row>
    <row r="19" spans="1:13" ht="15.75">
      <c r="A19" s="576" t="s">
        <v>2660</v>
      </c>
      <c r="B19" s="567"/>
      <c r="C19" s="1988">
        <f>C18/C13</f>
        <v>188424.51162790696</v>
      </c>
      <c r="D19" s="567"/>
      <c r="E19" s="567"/>
      <c r="F19" s="576" t="s">
        <v>2660</v>
      </c>
      <c r="G19" s="567"/>
      <c r="H19" s="4745">
        <f>H18/C13</f>
        <v>89043.023255813954</v>
      </c>
      <c r="I19" s="4745"/>
      <c r="J19" s="567"/>
      <c r="K19" s="567"/>
      <c r="L19" s="567"/>
      <c r="M19" s="507"/>
    </row>
    <row r="20" spans="1:13" ht="15.75">
      <c r="A20" s="576" t="s">
        <v>2661</v>
      </c>
      <c r="B20" s="567"/>
      <c r="C20" s="1978">
        <f>C18/K13</f>
        <v>262.19189696459779</v>
      </c>
      <c r="D20" s="1989"/>
      <c r="E20" s="1989"/>
      <c r="F20" s="576" t="s">
        <v>2661</v>
      </c>
      <c r="G20" s="567"/>
      <c r="H20" s="4737">
        <f>H18/K13</f>
        <v>123.9029836256553</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USDA Rural Development</v>
      </c>
      <c r="C25" s="553">
        <f>'Part II-Sources of Funds'!I40</f>
        <v>858647</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858647</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6749165</v>
      </c>
      <c r="D30" s="507"/>
      <c r="E30" s="507"/>
      <c r="F30" s="507"/>
      <c r="G30" s="507"/>
      <c r="H30" s="507"/>
      <c r="I30" s="507"/>
      <c r="K30" s="559"/>
      <c r="L30" s="507"/>
      <c r="M30" s="507"/>
    </row>
    <row r="31" spans="1:13" ht="15">
      <c r="A31" s="560" t="s">
        <v>2672</v>
      </c>
      <c r="B31" s="552" t="str">
        <f>'Part II-Sources of Funds'!E41</f>
        <v>Housing Assisstance Council</v>
      </c>
      <c r="C31" s="553">
        <f>'Part II-Sources of Funds'!I41</f>
        <v>430000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430000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1288647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0.15904796369010402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0.33656241430194445</v>
      </c>
      <c r="D40" s="507"/>
      <c r="E40" s="507"/>
      <c r="F40" s="510"/>
      <c r="G40" s="510" t="s">
        <v>2681</v>
      </c>
      <c r="H40" s="507"/>
      <c r="I40" s="507"/>
      <c r="K40" s="555">
        <f>C30/C18</f>
        <v>0.832998447098795</v>
      </c>
      <c r="L40" s="507"/>
      <c r="M40" s="507"/>
    </row>
    <row r="46" spans="1:13" ht="15.75">
      <c r="A46" s="550" t="s">
        <v>2682</v>
      </c>
      <c r="B46" s="540"/>
      <c r="C46" s="540"/>
      <c r="D46" s="540"/>
      <c r="E46" s="540"/>
      <c r="F46" s="540"/>
      <c r="G46" s="540"/>
      <c r="H46" s="540"/>
      <c r="I46" s="540"/>
      <c r="J46" s="540"/>
      <c r="K46" s="540"/>
      <c r="L46" s="540"/>
      <c r="M46" s="507"/>
    </row>
    <row r="47" spans="1:13" ht="15.75">
      <c r="A47" s="550" t="str">
        <f>C8</f>
        <v>Hillmont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268704</v>
      </c>
      <c r="D52" s="568"/>
      <c r="E52" s="568">
        <f>$C$52</f>
        <v>268704</v>
      </c>
      <c r="F52" s="568"/>
      <c r="G52" s="568">
        <f>$C$52</f>
        <v>268704</v>
      </c>
      <c r="H52" s="568"/>
      <c r="I52" s="568">
        <f>$C$52</f>
        <v>268704</v>
      </c>
      <c r="J52" s="568"/>
      <c r="K52" s="568">
        <f>$C$52</f>
        <v>268704</v>
      </c>
      <c r="L52" s="569"/>
      <c r="M52"/>
      <c r="N52"/>
    </row>
    <row r="53" spans="1:14" s="507" customFormat="1" ht="18.75" customHeight="1">
      <c r="B53" s="567" t="s">
        <v>2689</v>
      </c>
      <c r="C53" s="568">
        <f>'Part VI-Pro Forma'!B16</f>
        <v>5374.08</v>
      </c>
      <c r="D53" s="568"/>
      <c r="E53" s="568">
        <f>$C$53</f>
        <v>5374.08</v>
      </c>
      <c r="F53" s="568"/>
      <c r="G53" s="568">
        <f>$C$53</f>
        <v>5374.08</v>
      </c>
      <c r="H53" s="568"/>
      <c r="I53" s="568">
        <f>$C$53</f>
        <v>5374.08</v>
      </c>
      <c r="J53" s="568"/>
      <c r="K53" s="568">
        <f>$C$53</f>
        <v>5374.08</v>
      </c>
      <c r="L53" s="569"/>
      <c r="M53"/>
      <c r="N53"/>
    </row>
    <row r="54" spans="1:14" s="507" customFormat="1" ht="18.75" customHeight="1">
      <c r="B54" s="567" t="s">
        <v>2687</v>
      </c>
      <c r="C54" s="568">
        <f>'Part VI-Pro Forma'!B17</f>
        <v>-19185.465600000003</v>
      </c>
      <c r="D54" s="568"/>
      <c r="E54" s="568">
        <f>-($C$52+E53)*F50</f>
        <v>-27407.808000000005</v>
      </c>
      <c r="F54" s="570"/>
      <c r="G54" s="568">
        <f>-($C$52+G53)*0.07</f>
        <v>-19185.465600000003</v>
      </c>
      <c r="H54" s="568"/>
      <c r="I54" s="568">
        <f>-($C$52+I53)*0.07</f>
        <v>-19185.465600000003</v>
      </c>
      <c r="J54" s="568"/>
      <c r="K54" s="568">
        <f>-($C$52+K53)*L54</f>
        <v>-27407.808000000005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254892.61440000002</v>
      </c>
      <c r="D56" s="568"/>
      <c r="E56" s="574">
        <f>SUM(E52:E55)</f>
        <v>246670.272</v>
      </c>
      <c r="F56" s="568"/>
      <c r="G56" s="574">
        <f>SUM(G52:G55)</f>
        <v>254892.61440000002</v>
      </c>
      <c r="H56" s="568"/>
      <c r="I56" s="574">
        <f>SUM(I52:I55)</f>
        <v>254892.61440000002</v>
      </c>
      <c r="J56" s="568"/>
      <c r="K56" s="574">
        <f>SUM(K52:K55)</f>
        <v>246670.272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11000</v>
      </c>
      <c r="D58" s="568"/>
      <c r="E58" s="568">
        <f>$C$58</f>
        <v>11000</v>
      </c>
      <c r="F58" s="568"/>
      <c r="G58" s="568">
        <f>$C$58</f>
        <v>11000</v>
      </c>
      <c r="H58" s="568"/>
      <c r="I58" s="568">
        <f>$C$58</f>
        <v>11000</v>
      </c>
      <c r="J58" s="568"/>
      <c r="K58" s="568">
        <f>$C$58</f>
        <v>11000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1250</v>
      </c>
      <c r="D60" s="568"/>
      <c r="E60" s="568">
        <f>$C$60</f>
        <v>1250</v>
      </c>
      <c r="F60" s="568"/>
      <c r="G60" s="568">
        <f>$C$60</f>
        <v>1250</v>
      </c>
      <c r="H60" s="568"/>
      <c r="I60" s="568">
        <f>$C$60*(1+$J$50)</f>
        <v>1287.5</v>
      </c>
      <c r="J60" s="570"/>
      <c r="K60" s="568">
        <f>$C$60*(1+$J$50)</f>
        <v>1287.5</v>
      </c>
      <c r="L60" s="571">
        <v>0.03</v>
      </c>
      <c r="M60"/>
      <c r="N60"/>
    </row>
    <row r="61" spans="1:14" s="507" customFormat="1" ht="18.75" customHeight="1">
      <c r="B61" s="567" t="s">
        <v>1298</v>
      </c>
      <c r="C61" s="568">
        <f>+'Part V-Revenues &amp; Expenses'!L244</f>
        <v>16869</v>
      </c>
      <c r="D61" s="568"/>
      <c r="E61" s="568">
        <f>$C$61</f>
        <v>16869</v>
      </c>
      <c r="F61" s="568"/>
      <c r="G61" s="568">
        <f>$C$61*(1+H50)</f>
        <v>17712.45</v>
      </c>
      <c r="H61" s="570"/>
      <c r="I61" s="568">
        <f>$C$61</f>
        <v>16869</v>
      </c>
      <c r="J61" s="568"/>
      <c r="K61" s="568">
        <f>$C$61*(1+$L$61)</f>
        <v>17712.45</v>
      </c>
      <c r="L61" s="571">
        <v>0.05</v>
      </c>
      <c r="M61"/>
      <c r="N61"/>
    </row>
    <row r="62" spans="1:14" s="507" customFormat="1" ht="18.75" customHeight="1">
      <c r="B62" s="573" t="s">
        <v>2693</v>
      </c>
      <c r="C62" s="574">
        <f>SUM(C58:C61)</f>
        <v>29119</v>
      </c>
      <c r="D62" s="568"/>
      <c r="E62" s="574">
        <f>SUM(E58:E61)</f>
        <v>29119</v>
      </c>
      <c r="F62" s="568"/>
      <c r="G62" s="574">
        <f>SUM(G58:G61)</f>
        <v>29962.45</v>
      </c>
      <c r="H62" s="568"/>
      <c r="I62" s="574">
        <f>SUM(I58:I61)</f>
        <v>29156.5</v>
      </c>
      <c r="J62" s="568"/>
      <c r="K62" s="574">
        <f>SUM(K58:K61)</f>
        <v>29999.95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225773.61440000002</v>
      </c>
      <c r="D64" s="577"/>
      <c r="E64" s="577">
        <f>E56-E62</f>
        <v>217551.272</v>
      </c>
      <c r="F64" s="577"/>
      <c r="G64" s="577">
        <f>G56-G62</f>
        <v>224930.16440000001</v>
      </c>
      <c r="H64" s="577"/>
      <c r="I64" s="577">
        <f>I56-I62</f>
        <v>225736.11440000002</v>
      </c>
      <c r="J64" s="577"/>
      <c r="K64" s="577">
        <f>K56-K62</f>
        <v>216670.32199999999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225773.61440000002</v>
      </c>
      <c r="D70" s="577"/>
      <c r="E70" s="580">
        <f>E64-E66-E68</f>
        <v>217551.272</v>
      </c>
      <c r="F70" s="577"/>
      <c r="G70" s="580">
        <f>G64-G66-G68</f>
        <v>224930.16440000001</v>
      </c>
      <c r="H70" s="577"/>
      <c r="I70" s="580">
        <f>I64-I66-I68</f>
        <v>225736.11440000002</v>
      </c>
      <c r="J70" s="577"/>
      <c r="K70" s="580">
        <f>K64-K66-K68</f>
        <v>216670.32199999999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4.9660430591446447</v>
      </c>
      <c r="D72" s="581"/>
      <c r="E72" s="1004">
        <f>-E70/E75</f>
        <v>4.7851870874938198</v>
      </c>
      <c r="F72" s="581"/>
      <c r="G72" s="1004">
        <f>-G70/G75</f>
        <v>4.9474908070164814</v>
      </c>
      <c r="H72" s="581"/>
      <c r="I72" s="1004">
        <f>-I70/I75</f>
        <v>4.9652182213299483</v>
      </c>
      <c r="J72" s="581"/>
      <c r="K72" s="1004">
        <f>-K70/K75</f>
        <v>4.7658099975509591</v>
      </c>
      <c r="L72" s="4"/>
      <c r="M72" s="10"/>
      <c r="N72" s="10"/>
    </row>
    <row r="73" spans="1:14" s="507" customFormat="1" ht="18.75" customHeight="1">
      <c r="A73"/>
      <c r="B73" s="567" t="s">
        <v>2699</v>
      </c>
      <c r="C73" s="1005">
        <f>C76/C62</f>
        <v>6.1921814402644353</v>
      </c>
      <c r="D73" s="582"/>
      <c r="E73" s="1005">
        <f>E76/E62</f>
        <v>5.9098110841395677</v>
      </c>
      <c r="F73" s="582"/>
      <c r="G73" s="1005">
        <f>G76/G62</f>
        <v>5.9897198446408781</v>
      </c>
      <c r="H73" s="582"/>
      <c r="I73" s="1005">
        <f>I76/I62</f>
        <v>6.182931125445787</v>
      </c>
      <c r="J73" s="582"/>
      <c r="K73" s="1005">
        <f>K76/K62</f>
        <v>5.7069041434755743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-45463.483040939929</v>
      </c>
      <c r="D75" s="568"/>
      <c r="E75" s="568">
        <f>$C$75</f>
        <v>-45463.483040939929</v>
      </c>
      <c r="F75" s="568"/>
      <c r="G75" s="568">
        <f>$C$75</f>
        <v>-45463.483040939929</v>
      </c>
      <c r="H75" s="568"/>
      <c r="I75" s="568">
        <f>$C$75</f>
        <v>-45463.483040939929</v>
      </c>
      <c r="J75" s="568"/>
      <c r="K75" s="568">
        <f>$C$75</f>
        <v>-45463.483040939929</v>
      </c>
      <c r="L75" s="26"/>
      <c r="M75"/>
      <c r="N75"/>
    </row>
    <row r="76" spans="1:14" s="507" customFormat="1" ht="18.75" customHeight="1">
      <c r="A76"/>
      <c r="B76" s="567" t="s">
        <v>1096</v>
      </c>
      <c r="C76" s="568">
        <f>C70+C75</f>
        <v>180310.13135906009</v>
      </c>
      <c r="D76" s="568"/>
      <c r="E76" s="568">
        <f>E70+E75</f>
        <v>172087.78895906007</v>
      </c>
      <c r="F76" s="568"/>
      <c r="G76" s="568">
        <f>G70+G75</f>
        <v>179466.68135906008</v>
      </c>
      <c r="H76" s="568"/>
      <c r="I76" s="568">
        <f>I70+I75</f>
        <v>180272.63135906009</v>
      </c>
      <c r="J76" s="568"/>
      <c r="K76" s="568">
        <f>K70+K75</f>
        <v>171206.83895906006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Hillmont Apartments</v>
      </c>
    </row>
    <row r="13" spans="1:10" ht="15">
      <c r="A13" s="517"/>
      <c r="D13" s="516" t="s">
        <v>2604</v>
      </c>
      <c r="F13" s="1024" t="str">
        <f>'Sensitivity Analysis'!E8</f>
        <v>2023-0</v>
      </c>
    </row>
    <row r="14" spans="1:10" ht="15">
      <c r="A14" s="517"/>
      <c r="D14" s="516" t="s">
        <v>2605</v>
      </c>
      <c r="F14" s="1024" t="str">
        <f>'Sensitivity Analysis'!H8</f>
        <v>Lake Park, Lowndes</v>
      </c>
    </row>
    <row r="15" spans="1:10" ht="15">
      <c r="A15" s="517"/>
      <c r="D15" s="516" t="s">
        <v>2946</v>
      </c>
      <c r="F15" s="4757">
        <f>'Sensitivity Analysis'!$C$25</f>
        <v>858647</v>
      </c>
      <c r="G15" s="4757"/>
      <c r="H15" s="4757"/>
    </row>
    <row r="16" spans="1:10" ht="15">
      <c r="A16" s="517"/>
      <c r="D16" s="519" t="s">
        <v>2606</v>
      </c>
      <c r="F16" s="520">
        <f>'Sensitivity Analysis'!C13</f>
        <v>43</v>
      </c>
      <c r="G16" s="521" t="s">
        <v>2947</v>
      </c>
      <c r="H16" s="972">
        <f>'Sensitivity Analysis'!E13</f>
        <v>43</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49" t="s">
        <v>3098</v>
      </c>
      <c r="B22" s="4749"/>
      <c r="C22" s="4749"/>
      <c r="D22" s="4749"/>
      <c r="E22" s="4749"/>
      <c r="F22" s="4749"/>
      <c r="G22" s="4749"/>
      <c r="H22" s="4749"/>
      <c r="I22" s="4749"/>
      <c r="J22" s="4749"/>
      <c r="K22" s="4748" t="s">
        <v>3897</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6153</v>
      </c>
    </row>
    <row r="27" spans="1:18" ht="14.25" customHeight="1">
      <c r="A27" s="4751" t="s">
        <v>6155</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6156</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2607</v>
      </c>
    </row>
    <row r="47" spans="1:10" ht="135" customHeight="1">
      <c r="A47" s="4735" t="s">
        <v>6157</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2608</v>
      </c>
    </row>
    <row r="50" spans="1:12" ht="33" customHeight="1">
      <c r="A50" s="4731" t="s">
        <v>3452</v>
      </c>
      <c r="B50" s="4733"/>
      <c r="C50" s="4733"/>
      <c r="D50" s="4733"/>
      <c r="E50" s="4733"/>
      <c r="F50" s="4733"/>
      <c r="G50" s="4733"/>
      <c r="H50" s="4733"/>
      <c r="I50" s="4733"/>
      <c r="J50" s="4731"/>
    </row>
    <row r="51" spans="1:12" ht="3" customHeight="1"/>
    <row r="52" spans="1:12" ht="72.75" customHeight="1">
      <c r="A52" s="4731" t="s">
        <v>3453</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3454</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3455</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3456</v>
      </c>
      <c r="B60" s="4731"/>
      <c r="C60" s="4731"/>
      <c r="D60" s="4731"/>
      <c r="E60" s="4731"/>
      <c r="F60" s="4731"/>
      <c r="G60" s="4731"/>
      <c r="H60" s="4731"/>
      <c r="I60" s="4731"/>
      <c r="J60" s="4731"/>
    </row>
    <row r="61" spans="1:12" ht="3" customHeight="1"/>
    <row r="62" spans="1:12" ht="73.5" customHeight="1">
      <c r="A62" s="4731" t="s">
        <v>3457</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49" t="s">
        <v>2610</v>
      </c>
      <c r="B65" s="4749"/>
      <c r="C65" s="4749"/>
      <c r="D65" s="4749"/>
      <c r="E65" s="4749"/>
      <c r="F65" s="4749"/>
      <c r="G65" s="4749"/>
      <c r="H65" s="4749"/>
      <c r="I65" s="4749"/>
      <c r="J65" s="4749"/>
      <c r="L65" s="524">
        <f>'Closing term sheet'!C135</f>
        <v>545279</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4108085 via the syndication of the 2021 Federal LIHTC allocation of 500000 per annum. will make a capital contribution totaling 2641080 via the syndication of the 2021 State LIHTC allocation of 500000 per annum.</v>
      </c>
      <c r="B67" s="4731"/>
      <c r="C67" s="4731"/>
      <c r="D67" s="4731"/>
      <c r="E67" s="4731"/>
      <c r="F67" s="4731"/>
      <c r="G67" s="4731"/>
      <c r="H67" s="4731"/>
      <c r="I67" s="4731"/>
      <c r="J67" s="529"/>
      <c r="L67" s="530">
        <f>'Part II-Sources of Funds'!I51</f>
        <v>4108085</v>
      </c>
      <c r="M67" s="531">
        <f>'Part III-A-Uses of Funds'!$J$191</f>
        <v>500000</v>
      </c>
      <c r="N67" s="532">
        <f>'Part III-A-Uses of Funds'!N182</f>
        <v>0.83</v>
      </c>
      <c r="O67" s="530">
        <f>'Part II-Sources of Funds'!I52</f>
        <v>2641080</v>
      </c>
      <c r="P67" s="531">
        <f>M67</f>
        <v>500000</v>
      </c>
      <c r="Q67" s="532">
        <f>'Part III-A-Uses of Funds'!Q182</f>
        <v>0.52</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6158</v>
      </c>
      <c r="B70" s="4731"/>
      <c r="C70" s="4731"/>
      <c r="D70" s="4731"/>
      <c r="E70" s="4731"/>
      <c r="F70" s="4731"/>
      <c r="G70" s="4731"/>
      <c r="H70" s="4731"/>
      <c r="I70" s="4731"/>
      <c r="J70" s="4731"/>
      <c r="L70" s="534">
        <f>'Part VI-Pro Forma'!K72</f>
        <v>565578.04003258771</v>
      </c>
      <c r="M70" s="4756" t="s">
        <v>3097</v>
      </c>
      <c r="N70" s="4748"/>
    </row>
    <row r="71" spans="1:17" ht="6" customHeight="1">
      <c r="A71" s="522"/>
    </row>
    <row r="72" spans="1:17" ht="15">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5">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5">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3659</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6159</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5">
      <c r="A99" s="522" t="s">
        <v>2632</v>
      </c>
    </row>
    <row r="100" spans="1:14" ht="110.65" customHeight="1">
      <c r="A100" s="4749" t="s">
        <v>2633</v>
      </c>
      <c r="B100" s="4749"/>
      <c r="C100" s="4749"/>
      <c r="D100" s="4749"/>
      <c r="E100" s="4749"/>
      <c r="F100" s="4749"/>
      <c r="G100" s="4749"/>
      <c r="H100" s="4749"/>
      <c r="I100" s="4749"/>
      <c r="J100" s="4749"/>
      <c r="L100" s="975">
        <f>'Part VI-Pro Forma'!K72</f>
        <v>565578.04003258771</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5">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8" t="s">
        <v>6064</v>
      </c>
      <c r="B120" s="4758"/>
      <c r="C120" s="4758"/>
      <c r="D120" s="4758"/>
      <c r="E120" s="4759"/>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Hillmont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2647</v>
      </c>
      <c r="B8" s="510"/>
      <c r="C8" s="4763" t="str">
        <f>'Part I-Project Identification'!F25</f>
        <v>Hillmont Apartments</v>
      </c>
      <c r="D8" s="4763"/>
      <c r="E8" s="1020" t="str">
        <f>'Part I-Project Identification'!O7</f>
        <v>2023-0</v>
      </c>
      <c r="F8" s="510" t="s">
        <v>2648</v>
      </c>
      <c r="G8" s="507"/>
      <c r="H8" s="4763" t="str">
        <f>CONCATENATE('Part I-Project Identification'!F26,", ",'Part I-Project Identification'!J26)</f>
        <v>Lake Park, Lowndes</v>
      </c>
      <c r="I8" s="4763"/>
      <c r="J8" s="4763"/>
      <c r="K8" s="4763"/>
      <c r="L8" s="507"/>
      <c r="M8" s="545"/>
    </row>
    <row r="9" spans="1:14" ht="15.7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75">
      <c r="A10" s="510" t="s">
        <v>2653</v>
      </c>
      <c r="B10" s="507"/>
      <c r="C10" s="1020">
        <f>'Part II-Development Team'!H15</f>
        <v>0</v>
      </c>
      <c r="D10" s="507"/>
      <c r="E10" s="507"/>
      <c r="F10" s="510" t="s">
        <v>3131</v>
      </c>
      <c r="G10" s="507"/>
      <c r="H10" s="4763">
        <f>'Part II-Development Team'!H34</f>
        <v>0</v>
      </c>
      <c r="I10" s="4763"/>
      <c r="J10" s="4763"/>
      <c r="K10" s="4763">
        <f>'Part II-Development Team'!H40</f>
        <v>0</v>
      </c>
      <c r="L10" s="476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75">
      <c r="A13" s="510" t="s">
        <v>2657</v>
      </c>
      <c r="B13" s="510"/>
      <c r="C13" s="506">
        <f>'Part V-Revenues &amp; Expenses'!$P$67</f>
        <v>43</v>
      </c>
      <c r="E13" s="970">
        <f>'Part V-Revenues &amp; Expenses'!$P$63</f>
        <v>43</v>
      </c>
      <c r="F13" s="510" t="s">
        <v>3451</v>
      </c>
      <c r="G13" s="507"/>
      <c r="H13" s="1021" t="e">
        <f>'Part I-Project Identification'!#REF!</f>
        <v>#REF!</v>
      </c>
      <c r="I13" s="971"/>
      <c r="J13" s="971"/>
      <c r="K13" s="1021">
        <f>'Part V-Revenues &amp; Expenses'!K175</f>
        <v>30902</v>
      </c>
      <c r="L13" s="507"/>
      <c r="M13" s="507"/>
    </row>
    <row r="14" spans="1:14" ht="15.75">
      <c r="A14" s="510" t="s">
        <v>2949</v>
      </c>
      <c r="B14" s="507"/>
      <c r="C14" s="1021" t="e">
        <f>'Part I-Project Identification'!#REF!</f>
        <v>#REF!</v>
      </c>
      <c r="D14" s="4763" t="e">
        <f>IF('Part V-Revenues &amp; Expenses'!#REF!=0,"",'Part V-Revenues &amp; Expenses'!#REF!)</f>
        <v>#REF!</v>
      </c>
      <c r="E14" s="4763"/>
      <c r="F14" s="510" t="s">
        <v>2658</v>
      </c>
      <c r="G14" s="507"/>
      <c r="H14" s="4743" t="s">
        <v>3099</v>
      </c>
      <c r="I14" s="4743"/>
      <c r="J14" s="4743"/>
      <c r="K14" s="4743" t="s">
        <v>3099</v>
      </c>
      <c r="L14" s="4743"/>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8102254</v>
      </c>
      <c r="D18" s="1003">
        <f>IF(C18=0,"",$C$29/C18)</f>
        <v>0.10597631227063481</v>
      </c>
      <c r="E18" s="507" t="s">
        <v>2953</v>
      </c>
      <c r="F18" s="510" t="s">
        <v>2954</v>
      </c>
      <c r="G18" s="507"/>
      <c r="H18" s="4764">
        <f>'Part III-A-Uses of Funds'!C49</f>
        <v>3828850</v>
      </c>
      <c r="I18" s="4764"/>
      <c r="J18" s="1002">
        <f>IF(H18=0,"",$C$29/H18)</f>
        <v>0.22425715293103674</v>
      </c>
      <c r="K18" s="4763" t="s">
        <v>2955</v>
      </c>
      <c r="L18" s="4763"/>
      <c r="M18" s="507"/>
    </row>
    <row r="19" spans="1:13" ht="15.75">
      <c r="A19" s="510" t="s">
        <v>2660</v>
      </c>
      <c r="B19" s="507"/>
      <c r="C19" s="1022">
        <f>C18/C13</f>
        <v>188424.51162790696</v>
      </c>
      <c r="D19" s="507"/>
      <c r="E19" s="507"/>
      <c r="F19" s="510" t="s">
        <v>2660</v>
      </c>
      <c r="G19" s="507"/>
      <c r="H19" s="4765">
        <f>H18/C13</f>
        <v>89043.023255813954</v>
      </c>
      <c r="I19" s="4765"/>
      <c r="J19" s="507"/>
      <c r="K19" s="507"/>
      <c r="L19" s="507"/>
      <c r="M19" s="507"/>
    </row>
    <row r="20" spans="1:13" ht="15.75">
      <c r="A20" s="510" t="s">
        <v>2661</v>
      </c>
      <c r="B20" s="507"/>
      <c r="C20" s="1020">
        <f>C18/K13</f>
        <v>262.19189696459779</v>
      </c>
      <c r="D20" s="548"/>
      <c r="E20" s="548"/>
      <c r="F20" s="510" t="s">
        <v>2661</v>
      </c>
      <c r="G20" s="507"/>
      <c r="H20" s="4763">
        <f>H18/K13</f>
        <v>123.9029836256553</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USDA Rural Development</v>
      </c>
      <c r="C25" s="553">
        <f>'Part II-Sources of Funds'!I40</f>
        <v>858647</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858647</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6749165</v>
      </c>
      <c r="D30" s="507"/>
      <c r="E30" s="507"/>
      <c r="F30" s="507"/>
      <c r="G30" s="507"/>
      <c r="H30" s="507"/>
      <c r="I30" s="507"/>
      <c r="K30" s="559"/>
      <c r="L30" s="507"/>
      <c r="M30" s="507"/>
    </row>
    <row r="31" spans="1:13" ht="15">
      <c r="A31" s="560" t="s">
        <v>2672</v>
      </c>
      <c r="B31" s="552" t="str">
        <f>'Part II-Sources of Funds'!E41</f>
        <v>Housing Assisstance Council</v>
      </c>
      <c r="C31" s="553">
        <f>'Part II-Sources of Funds'!I41</f>
        <v>430000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430000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1288647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0.15904796369010402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0.33656241430194445</v>
      </c>
      <c r="D40" s="507"/>
      <c r="E40" s="507"/>
      <c r="F40" s="510"/>
      <c r="G40" s="510" t="s">
        <v>2681</v>
      </c>
      <c r="H40" s="507"/>
      <c r="I40" s="507"/>
      <c r="K40" s="555">
        <f>C30/C18</f>
        <v>0.832998447098795</v>
      </c>
      <c r="L40" s="507"/>
      <c r="M40" s="507"/>
    </row>
    <row r="46" spans="1:13" ht="15.75">
      <c r="A46" s="550" t="s">
        <v>2682</v>
      </c>
      <c r="B46" s="540"/>
      <c r="C46" s="540"/>
      <c r="D46" s="540"/>
      <c r="E46" s="540"/>
      <c r="F46" s="540"/>
      <c r="G46" s="540"/>
      <c r="H46" s="540"/>
      <c r="I46" s="540"/>
      <c r="J46" s="540"/>
      <c r="K46" s="540"/>
      <c r="L46" s="540"/>
      <c r="M46" s="507"/>
    </row>
    <row r="47" spans="1:13" ht="15.75">
      <c r="A47" s="550" t="str">
        <f>C8</f>
        <v>Hillmont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268704</v>
      </c>
      <c r="D52" s="568"/>
      <c r="E52" s="568">
        <f>$C$52</f>
        <v>268704</v>
      </c>
      <c r="F52" s="568"/>
      <c r="G52" s="568">
        <f>$C$52</f>
        <v>268704</v>
      </c>
      <c r="H52" s="568"/>
      <c r="I52" s="568">
        <f>$C$52</f>
        <v>268704</v>
      </c>
      <c r="J52" s="568"/>
      <c r="K52" s="568">
        <f>$C$52</f>
        <v>268704</v>
      </c>
      <c r="L52" s="569"/>
      <c r="M52"/>
      <c r="N52"/>
    </row>
    <row r="53" spans="1:14" s="507" customFormat="1" ht="18.75" customHeight="1">
      <c r="B53" s="567" t="s">
        <v>2689</v>
      </c>
      <c r="C53" s="568">
        <f>'Part VI-Pro Forma'!B16</f>
        <v>5374.08</v>
      </c>
      <c r="D53" s="568"/>
      <c r="E53" s="568">
        <f>$C$53</f>
        <v>5374.08</v>
      </c>
      <c r="F53" s="568"/>
      <c r="G53" s="568">
        <f>$C$53</f>
        <v>5374.08</v>
      </c>
      <c r="H53" s="568"/>
      <c r="I53" s="568">
        <f>$C$53</f>
        <v>5374.08</v>
      </c>
      <c r="J53" s="568"/>
      <c r="K53" s="568">
        <f>$C$53</f>
        <v>5374.08</v>
      </c>
      <c r="L53" s="569"/>
      <c r="M53"/>
      <c r="N53"/>
    </row>
    <row r="54" spans="1:14" s="507" customFormat="1" ht="18.75" customHeight="1">
      <c r="B54" s="567" t="s">
        <v>2687</v>
      </c>
      <c r="C54" s="568">
        <f>'Part VI-Pro Forma'!B17</f>
        <v>-19185.465600000003</v>
      </c>
      <c r="D54" s="568"/>
      <c r="E54" s="568">
        <f>-($C$52+E53)*F50</f>
        <v>-27407.808000000005</v>
      </c>
      <c r="F54" s="570"/>
      <c r="G54" s="568">
        <f>-($C$52+G53)*0.07</f>
        <v>-19185.465600000003</v>
      </c>
      <c r="H54" s="568"/>
      <c r="I54" s="568">
        <f>-($C$52+I53)*0.07</f>
        <v>-19185.465600000003</v>
      </c>
      <c r="J54" s="568"/>
      <c r="K54" s="568">
        <f>-($C$52+K53)*L54</f>
        <v>-27407.808000000005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254892.61440000002</v>
      </c>
      <c r="D56" s="568"/>
      <c r="E56" s="574">
        <f>SUM(E52:E55)</f>
        <v>246670.272</v>
      </c>
      <c r="F56" s="568"/>
      <c r="G56" s="574">
        <f>SUM(G52:G55)</f>
        <v>254892.61440000002</v>
      </c>
      <c r="H56" s="568"/>
      <c r="I56" s="574">
        <f>SUM(I52:I55)</f>
        <v>254892.61440000002</v>
      </c>
      <c r="J56" s="568"/>
      <c r="K56" s="574">
        <f>SUM(K52:K55)</f>
        <v>246670.272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69850</v>
      </c>
      <c r="D58" s="568"/>
      <c r="E58" s="568">
        <f>$C$58</f>
        <v>69850</v>
      </c>
      <c r="F58" s="568"/>
      <c r="G58" s="568">
        <f>$C$58</f>
        <v>69850</v>
      </c>
      <c r="H58" s="568"/>
      <c r="I58" s="568">
        <f>$C$58</f>
        <v>69850</v>
      </c>
      <c r="J58" s="568"/>
      <c r="K58" s="568">
        <f>$C$58</f>
        <v>69850</v>
      </c>
      <c r="L58" s="569"/>
      <c r="M58"/>
      <c r="N58"/>
    </row>
    <row r="59" spans="1:14" s="507" customFormat="1" ht="18.75" customHeight="1">
      <c r="B59" s="567" t="s">
        <v>2692</v>
      </c>
      <c r="C59" s="568">
        <f>+'Part V-Revenues &amp; Expenses'!F247</f>
        <v>25500</v>
      </c>
      <c r="D59" s="568"/>
      <c r="E59" s="568">
        <f>$C$59</f>
        <v>25500</v>
      </c>
      <c r="F59" s="568"/>
      <c r="G59" s="568">
        <f>$C$59</f>
        <v>25500</v>
      </c>
      <c r="H59" s="568"/>
      <c r="I59" s="568">
        <f>$C$59</f>
        <v>25500</v>
      </c>
      <c r="J59" s="568"/>
      <c r="K59" s="568">
        <f>$C$59*(1+$L$59)</f>
        <v>26520</v>
      </c>
      <c r="L59" s="575">
        <v>0.04</v>
      </c>
      <c r="M59"/>
      <c r="N59"/>
    </row>
    <row r="60" spans="1:14" s="507" customFormat="1" ht="18.75" customHeight="1">
      <c r="B60" s="567" t="s">
        <v>1297</v>
      </c>
      <c r="C60" s="568">
        <f>+'Part V-Revenues &amp; Expenses'!L241</f>
        <v>16350</v>
      </c>
      <c r="D60" s="568"/>
      <c r="E60" s="568">
        <f>$C$60</f>
        <v>16350</v>
      </c>
      <c r="F60" s="568"/>
      <c r="G60" s="568">
        <f>$C$60</f>
        <v>16350</v>
      </c>
      <c r="H60" s="568"/>
      <c r="I60" s="568">
        <f>$C$60*(1+$J$50)</f>
        <v>16840.5</v>
      </c>
      <c r="J60" s="570"/>
      <c r="K60" s="568">
        <f>$C$60*(1+$J$50)</f>
        <v>16840.5</v>
      </c>
      <c r="L60" s="571">
        <v>0.03</v>
      </c>
      <c r="M60"/>
      <c r="N60"/>
    </row>
    <row r="61" spans="1:14" s="507" customFormat="1" ht="18.75" customHeight="1">
      <c r="B61" s="567" t="s">
        <v>1298</v>
      </c>
      <c r="C61" s="568">
        <f>+'Part V-Revenues &amp; Expenses'!L247</f>
        <v>41869</v>
      </c>
      <c r="D61" s="568"/>
      <c r="E61" s="568">
        <f>$C$61</f>
        <v>41869</v>
      </c>
      <c r="F61" s="568"/>
      <c r="G61" s="568">
        <f>$C$61*(1+H50)</f>
        <v>43962.450000000004</v>
      </c>
      <c r="H61" s="570"/>
      <c r="I61" s="568">
        <f>$C$61</f>
        <v>41869</v>
      </c>
      <c r="J61" s="568"/>
      <c r="K61" s="568">
        <f>$C$61*(1+$L$61)</f>
        <v>43962.450000000004</v>
      </c>
      <c r="L61" s="571">
        <v>0.05</v>
      </c>
      <c r="M61"/>
      <c r="N61"/>
    </row>
    <row r="62" spans="1:14" s="507" customFormat="1" ht="18.75" customHeight="1">
      <c r="B62" s="573" t="s">
        <v>2693</v>
      </c>
      <c r="C62" s="574">
        <f>SUM(C58:C61)</f>
        <v>153569</v>
      </c>
      <c r="D62" s="568"/>
      <c r="E62" s="574">
        <f>SUM(E58:E61)</f>
        <v>153569</v>
      </c>
      <c r="F62" s="568"/>
      <c r="G62" s="574">
        <f>SUM(G58:G61)</f>
        <v>155662.45000000001</v>
      </c>
      <c r="H62" s="568"/>
      <c r="I62" s="574">
        <f>SUM(I58:I61)</f>
        <v>154059.5</v>
      </c>
      <c r="J62" s="568"/>
      <c r="K62" s="574">
        <f>SUM(K58:K61)</f>
        <v>157172.95000000001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101323.61440000002</v>
      </c>
      <c r="D64" s="577"/>
      <c r="E64" s="577">
        <f>E56-E62</f>
        <v>93101.271999999997</v>
      </c>
      <c r="F64" s="577"/>
      <c r="G64" s="577">
        <f>G56-G62</f>
        <v>99230.164400000009</v>
      </c>
      <c r="H64" s="577"/>
      <c r="I64" s="577">
        <f>I56-I62</f>
        <v>100833.11440000002</v>
      </c>
      <c r="J64" s="577"/>
      <c r="K64" s="577">
        <f>K56-K62</f>
        <v>89497.321999999986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15050</v>
      </c>
      <c r="D66" s="568"/>
      <c r="E66" s="568">
        <f>$C$66</f>
        <v>15050</v>
      </c>
      <c r="F66" s="568"/>
      <c r="G66" s="568">
        <f>$C$66</f>
        <v>15050</v>
      </c>
      <c r="H66" s="568"/>
      <c r="I66" s="568">
        <f>$C$66</f>
        <v>15050</v>
      </c>
      <c r="J66" s="568"/>
      <c r="K66" s="568">
        <f>$C$66</f>
        <v>15050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15294</v>
      </c>
      <c r="D68" s="568"/>
      <c r="E68" s="568">
        <f>$C$68</f>
        <v>15294</v>
      </c>
      <c r="F68" s="568"/>
      <c r="G68" s="568">
        <f>$C$68</f>
        <v>15294</v>
      </c>
      <c r="H68" s="568"/>
      <c r="I68" s="568">
        <f>$C$68</f>
        <v>15294</v>
      </c>
      <c r="J68" s="568"/>
      <c r="K68" s="568">
        <f>$C$68</f>
        <v>15294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70979.61440000002</v>
      </c>
      <c r="D70" s="577"/>
      <c r="E70" s="580">
        <f>E64-E66-E68</f>
        <v>62757.271999999997</v>
      </c>
      <c r="F70" s="577"/>
      <c r="G70" s="580">
        <f>G64-G66-G68</f>
        <v>68886.164400000009</v>
      </c>
      <c r="H70" s="577"/>
      <c r="I70" s="580">
        <f>I64-I66-I68</f>
        <v>70489.11440000002</v>
      </c>
      <c r="J70" s="577"/>
      <c r="K70" s="580">
        <f>K64-K66-K68</f>
        <v>59153.321999999986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1.5612445341260541</v>
      </c>
      <c r="D72" s="581"/>
      <c r="E72" s="1004">
        <f>-E70/E75</f>
        <v>1.3803885624752286</v>
      </c>
      <c r="F72" s="581"/>
      <c r="G72" s="1004">
        <f>-G70/G75</f>
        <v>1.5151976881746592</v>
      </c>
      <c r="H72" s="581"/>
      <c r="I72" s="1004">
        <f>-I70/I75</f>
        <v>1.5504556555098181</v>
      </c>
      <c r="J72" s="581"/>
      <c r="K72" s="1004">
        <f>-K70/K75</f>
        <v>1.3011172493478411</v>
      </c>
      <c r="L72" s="4"/>
      <c r="M72" s="10"/>
      <c r="N72" s="10"/>
    </row>
    <row r="73" spans="1:14" s="507" customFormat="1" ht="18.75" customHeight="1">
      <c r="A73"/>
      <c r="B73" s="567" t="s">
        <v>2699</v>
      </c>
      <c r="C73" s="1005">
        <f>C76/C62</f>
        <v>0.16615418059022388</v>
      </c>
      <c r="D73" s="582"/>
      <c r="E73" s="1005">
        <f>E76/E62</f>
        <v>0.11261249965201355</v>
      </c>
      <c r="F73" s="582"/>
      <c r="G73" s="1005">
        <f>G76/G62</f>
        <v>0.15047097973249218</v>
      </c>
      <c r="H73" s="582"/>
      <c r="I73" s="1005">
        <f>I76/I62</f>
        <v>0.16244133830799198</v>
      </c>
      <c r="J73" s="582"/>
      <c r="K73" s="1005">
        <f>K76/K62</f>
        <v>8.7100477270802987E-2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-45463.483040939929</v>
      </c>
      <c r="D75" s="568"/>
      <c r="E75" s="568">
        <f>$C$75</f>
        <v>-45463.483040939929</v>
      </c>
      <c r="F75" s="568"/>
      <c r="G75" s="568">
        <f>$C$75</f>
        <v>-45463.483040939929</v>
      </c>
      <c r="H75" s="568"/>
      <c r="I75" s="568">
        <f>$C$75</f>
        <v>-45463.483040939929</v>
      </c>
      <c r="J75" s="568"/>
      <c r="K75" s="568">
        <f>$C$75</f>
        <v>-45463.483040939929</v>
      </c>
      <c r="L75" s="26"/>
      <c r="M75"/>
      <c r="N75"/>
    </row>
    <row r="76" spans="1:14" s="507" customFormat="1" ht="18.75" customHeight="1">
      <c r="A76"/>
      <c r="B76" s="567" t="s">
        <v>1096</v>
      </c>
      <c r="C76" s="568">
        <f>C70+C75</f>
        <v>25516.131359060091</v>
      </c>
      <c r="D76" s="568"/>
      <c r="E76" s="568">
        <f>E70+E75</f>
        <v>17293.788959060068</v>
      </c>
      <c r="F76" s="568"/>
      <c r="G76" s="568">
        <f>G70+G75</f>
        <v>23422.68135906008</v>
      </c>
      <c r="H76" s="568"/>
      <c r="I76" s="568">
        <f>I70+I75</f>
        <v>25025.631359060091</v>
      </c>
      <c r="J76" s="568"/>
      <c r="K76" s="568">
        <f>K70+K75</f>
        <v>13689.838959060056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8102254</v>
      </c>
    </row>
    <row r="5" spans="1:7">
      <c r="A5" s="953" t="s">
        <v>3447</v>
      </c>
      <c r="B5" s="954">
        <f>+B18+B26+B38</f>
        <v>1426601.0711398092</v>
      </c>
    </row>
    <row r="6" spans="1:7">
      <c r="A6" s="953" t="s">
        <v>3417</v>
      </c>
      <c r="B6" s="955">
        <f>+B5-B4</f>
        <v>-6675652.9288601913</v>
      </c>
    </row>
    <row r="7" spans="1:7">
      <c r="A7" s="953" t="s">
        <v>3418</v>
      </c>
      <c r="B7" s="956">
        <f>+B6/B4</f>
        <v>-0.82392540752982946</v>
      </c>
    </row>
    <row r="8" spans="1:7" ht="9" customHeight="1"/>
    <row r="9" spans="1:7">
      <c r="A9" s="953" t="s">
        <v>3419</v>
      </c>
      <c r="B9" s="954">
        <f>+B18+B26+B33</f>
        <v>1426601.0711398092</v>
      </c>
    </row>
    <row r="10" spans="1:7">
      <c r="A10" s="953" t="s">
        <v>3417</v>
      </c>
      <c r="B10" s="955">
        <f>+B9-B4</f>
        <v>-6675652.9288601913</v>
      </c>
    </row>
    <row r="11" spans="1:7">
      <c r="A11" s="953" t="s">
        <v>3418</v>
      </c>
      <c r="B11" s="956">
        <f>+B10/B4</f>
        <v>-0.82392540752982946</v>
      </c>
    </row>
    <row r="12" spans="1:7" ht="24" customHeight="1"/>
    <row r="13" spans="1:7">
      <c r="A13" s="952" t="s">
        <v>3420</v>
      </c>
      <c r="D13" s="1010" t="s">
        <v>3664</v>
      </c>
      <c r="E13" s="1011"/>
    </row>
    <row r="14" spans="1:7">
      <c r="A14" s="953" t="s">
        <v>3421</v>
      </c>
      <c r="B14" s="957">
        <f>+SUM('Part II-Sources of Funds'!L51:M52)</f>
        <v>6750000</v>
      </c>
      <c r="D14" s="1011"/>
      <c r="E14" s="1011"/>
    </row>
    <row r="15" spans="1:7">
      <c r="A15" s="953" t="s">
        <v>3422</v>
      </c>
      <c r="B15" s="958">
        <f>+'Part III-A-Uses of Funds'!J180</f>
        <v>681360.7</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-6750000</v>
      </c>
      <c r="D20" s="1011" t="s">
        <v>3669</v>
      </c>
      <c r="G20" s="1014">
        <f>+B14-G19</f>
        <v>6750000</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1288647</v>
      </c>
    </row>
    <row r="25" spans="1:7">
      <c r="A25" s="953" t="s">
        <v>3429</v>
      </c>
      <c r="B25" s="961">
        <f>IF('Part II-Sources of Funds'!E6="Yes","N/A",MAX(B46:P46))</f>
        <v>-9814.6167774341302</v>
      </c>
    </row>
    <row r="26" spans="1:7">
      <c r="A26" s="953" t="s">
        <v>3430</v>
      </c>
      <c r="B26" s="951">
        <f>IFERROR(PV('Part II-Sources of Funds'!K40,'Part II-Sources of Funds'!L40,B25+B45),B24)</f>
        <v>1426601.0711398092</v>
      </c>
    </row>
    <row r="27" spans="1:7" ht="9" customHeight="1">
      <c r="B27" s="951"/>
    </row>
    <row r="28" spans="1:7">
      <c r="A28" s="953" t="s">
        <v>3431</v>
      </c>
      <c r="B28" s="962">
        <f>+B26-B24</f>
        <v>137954.07113980921</v>
      </c>
      <c r="C28" s="963"/>
    </row>
    <row r="29" spans="1:7">
      <c r="A29" s="953" t="s">
        <v>3426</v>
      </c>
      <c r="B29" s="964">
        <f>+B28/B24</f>
        <v>0.10705342203086587</v>
      </c>
    </row>
    <row r="30" spans="1:7" ht="24" customHeight="1"/>
    <row r="31" spans="1:7">
      <c r="A31" s="952" t="s">
        <v>3361</v>
      </c>
    </row>
    <row r="32" spans="1:7">
      <c r="A32" s="953" t="s">
        <v>3432</v>
      </c>
      <c r="B32" s="965">
        <f>+'Part II-Sources of Funds'!I45</f>
        <v>64442</v>
      </c>
    </row>
    <row r="33" spans="1:11">
      <c r="A33" s="953" t="s">
        <v>3433</v>
      </c>
      <c r="B33" s="951"/>
    </row>
    <row r="34" spans="1:11" ht="9" customHeight="1">
      <c r="B34" s="951"/>
    </row>
    <row r="35" spans="1:11">
      <c r="A35" s="953" t="s">
        <v>3434</v>
      </c>
      <c r="B35" s="965">
        <f>+B33-B32</f>
        <v>-64442</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70979.61440000002</v>
      </c>
      <c r="C44" s="954">
        <f>+'Part VI-Pro Forma'!C25</f>
        <v>70713.896688000008</v>
      </c>
      <c r="D44" s="954">
        <f>+'Part VI-Pro Forma'!D25</f>
        <v>70391.37892175997</v>
      </c>
      <c r="E44" s="954">
        <f>+'Part VI-Pro Forma'!E25</f>
        <v>70009.547529195159</v>
      </c>
      <c r="F44" s="954">
        <f>+'Part VI-Pro Forma'!F25</f>
        <v>69567.793139649119</v>
      </c>
      <c r="G44" s="954">
        <f>+'Part VI-Pro Forma'!G25</f>
        <v>69061.407302108171</v>
      </c>
      <c r="H44" s="954">
        <f>+'Part VI-Pro Forma'!H25</f>
        <v>68487.579096806527</v>
      </c>
      <c r="I44" s="954">
        <f>+'Part VI-Pro Forma'!I25</f>
        <v>67844.391636858301</v>
      </c>
      <c r="J44" s="954">
        <f>+'Part VI-Pro Forma'!J25</f>
        <v>67126.818456454712</v>
      </c>
      <c r="K44" s="954">
        <f>+'Part VI-Pro Forma'!K25</f>
        <v>66333.719782048865</v>
      </c>
    </row>
    <row r="45" spans="1:11">
      <c r="A45" s="953" t="s">
        <v>3438</v>
      </c>
      <c r="B45" s="954">
        <f>SUM('Part VI-Pro Forma'!B26:B29)</f>
        <v>-45463.483040939929</v>
      </c>
      <c r="C45" s="954">
        <f>SUM('Part VI-Pro Forma'!C26:C29)</f>
        <v>-45463.483040939929</v>
      </c>
      <c r="D45" s="954">
        <f>SUM('Part VI-Pro Forma'!D26:D29)</f>
        <v>-45463.483040939929</v>
      </c>
      <c r="E45" s="954">
        <f>SUM('Part VI-Pro Forma'!E26:E29)</f>
        <v>-45463.483040939929</v>
      </c>
      <c r="F45" s="954">
        <f>SUM('Part VI-Pro Forma'!F26:F29)</f>
        <v>-45463.483040939929</v>
      </c>
      <c r="G45" s="954">
        <f>SUM('Part VI-Pro Forma'!G26:G29)</f>
        <v>-45463.483040939929</v>
      </c>
      <c r="H45" s="954">
        <f>SUM('Part VI-Pro Forma'!H26:H29)</f>
        <v>-45463.483040939929</v>
      </c>
      <c r="I45" s="954">
        <f>SUM('Part VI-Pro Forma'!I26:I29)</f>
        <v>-45463.483040939929</v>
      </c>
      <c r="J45" s="954">
        <f>SUM('Part VI-Pro Forma'!J26:J29)</f>
        <v>-45463.483040939929</v>
      </c>
      <c r="K45" s="954">
        <f>SUM('Part VI-Pro Forma'!K26:K29)</f>
        <v>-45463.483040939929</v>
      </c>
    </row>
    <row r="46" spans="1:11">
      <c r="A46" s="953" t="s">
        <v>3439</v>
      </c>
      <c r="B46" s="955">
        <f t="shared" ref="B46:K46" si="0">-B44/B48-B45</f>
        <v>-13686.195625726759</v>
      </c>
      <c r="C46" s="955">
        <f t="shared" si="0"/>
        <v>-13464.764199060082</v>
      </c>
      <c r="D46" s="955">
        <f t="shared" si="0"/>
        <v>-13195.999393860046</v>
      </c>
      <c r="E46" s="955">
        <f t="shared" si="0"/>
        <v>-12877.806566722706</v>
      </c>
      <c r="F46" s="955">
        <f t="shared" si="0"/>
        <v>-12509.67790876767</v>
      </c>
      <c r="G46" s="955">
        <f t="shared" si="0"/>
        <v>-12087.689710816885</v>
      </c>
      <c r="H46" s="955">
        <f t="shared" si="0"/>
        <v>-11609.499539732176</v>
      </c>
      <c r="I46" s="955">
        <f t="shared" si="0"/>
        <v>-11073.509989775324</v>
      </c>
      <c r="J46" s="955">
        <f t="shared" si="0"/>
        <v>-10475.532339439</v>
      </c>
      <c r="K46" s="955">
        <f t="shared" si="0"/>
        <v>-9814.6167774341302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70979.61440000002</v>
      </c>
      <c r="C51" s="955">
        <f t="shared" ref="C51:K51" si="2">+C44</f>
        <v>70713.896688000008</v>
      </c>
      <c r="D51" s="955">
        <f t="shared" si="2"/>
        <v>70391.37892175997</v>
      </c>
      <c r="E51" s="955">
        <f t="shared" si="2"/>
        <v>70009.547529195159</v>
      </c>
      <c r="F51" s="955">
        <f t="shared" si="2"/>
        <v>69567.793139649119</v>
      </c>
      <c r="G51" s="955">
        <f t="shared" si="2"/>
        <v>69061.407302108171</v>
      </c>
      <c r="H51" s="955">
        <f t="shared" si="2"/>
        <v>68487.579096806527</v>
      </c>
      <c r="I51" s="955">
        <f t="shared" si="2"/>
        <v>67844.391636858301</v>
      </c>
      <c r="J51" s="955">
        <f t="shared" si="2"/>
        <v>67126.818456454712</v>
      </c>
      <c r="K51" s="955">
        <f t="shared" si="2"/>
        <v>66333.719782048865</v>
      </c>
    </row>
    <row r="52" spans="1:17">
      <c r="A52" s="953" t="s">
        <v>3441</v>
      </c>
      <c r="B52" s="955">
        <f>IF($B$25="N/A",B45,B45+$B$25)</f>
        <v>-55278.099818374059</v>
      </c>
      <c r="C52" s="955">
        <f t="shared" ref="C52:K52" si="3">IF($B$25="N/A",C45,C45+$B$25)</f>
        <v>-55278.099818374059</v>
      </c>
      <c r="D52" s="955">
        <f t="shared" si="3"/>
        <v>-55278.099818374059</v>
      </c>
      <c r="E52" s="955">
        <f t="shared" si="3"/>
        <v>-55278.099818374059</v>
      </c>
      <c r="F52" s="955">
        <f t="shared" si="3"/>
        <v>-55278.099818374059</v>
      </c>
      <c r="G52" s="955">
        <f t="shared" si="3"/>
        <v>-55278.099818374059</v>
      </c>
      <c r="H52" s="955">
        <f t="shared" si="3"/>
        <v>-55278.099818374059</v>
      </c>
      <c r="I52" s="955">
        <f t="shared" si="3"/>
        <v>-55278.099818374059</v>
      </c>
      <c r="J52" s="955">
        <f t="shared" si="3"/>
        <v>-55278.099818374059</v>
      </c>
      <c r="K52" s="955">
        <f t="shared" si="3"/>
        <v>-55278.099818374059</v>
      </c>
    </row>
    <row r="53" spans="1:17">
      <c r="A53" s="953" t="s">
        <v>3442</v>
      </c>
      <c r="B53" s="954">
        <f>+'Part VI-Pro Forma'!B31</f>
        <v>-3000</v>
      </c>
      <c r="C53" s="954">
        <f>+'Part VI-Pro Forma'!C31</f>
        <v>-3000</v>
      </c>
      <c r="D53" s="954">
        <f>+'Part VI-Pro Forma'!D31</f>
        <v>-3000</v>
      </c>
      <c r="E53" s="954">
        <f>+'Part VI-Pro Forma'!E31</f>
        <v>-3000</v>
      </c>
      <c r="F53" s="954">
        <f>+'Part VI-Pro Forma'!F31</f>
        <v>-3000</v>
      </c>
      <c r="G53" s="954">
        <f>+'Part VI-Pro Forma'!G31</f>
        <v>-3000</v>
      </c>
      <c r="H53" s="954">
        <f>+'Part VI-Pro Forma'!H31</f>
        <v>-3000</v>
      </c>
      <c r="I53" s="954">
        <f>+'Part VI-Pro Forma'!I31</f>
        <v>-3000</v>
      </c>
      <c r="J53" s="954">
        <f>+'Part VI-Pro Forma'!J31</f>
        <v>-3000</v>
      </c>
      <c r="K53" s="954">
        <f>+'Part VI-Pro Forma'!K31</f>
        <v>-3000</v>
      </c>
    </row>
    <row r="54" spans="1:17">
      <c r="A54" s="953" t="s">
        <v>3443</v>
      </c>
      <c r="B54" s="955">
        <f>+SUM(B51:B53)</f>
        <v>12701.514581625961</v>
      </c>
      <c r="C54" s="955">
        <f t="shared" ref="C54:K54" si="4">+SUM(C51:C53)</f>
        <v>12435.796869625949</v>
      </c>
      <c r="D54" s="955">
        <f t="shared" si="4"/>
        <v>12113.27910338591</v>
      </c>
      <c r="E54" s="955">
        <f t="shared" si="4"/>
        <v>11731.447710821099</v>
      </c>
      <c r="F54" s="955">
        <f t="shared" si="4"/>
        <v>11289.693321275059</v>
      </c>
      <c r="G54" s="955">
        <f t="shared" si="4"/>
        <v>10783.307483734112</v>
      </c>
      <c r="H54" s="955">
        <f t="shared" si="4"/>
        <v>10209.479278432467</v>
      </c>
      <c r="I54" s="955">
        <f t="shared" si="4"/>
        <v>9566.291818484242</v>
      </c>
      <c r="J54" s="955">
        <f t="shared" si="4"/>
        <v>8848.7186380806525</v>
      </c>
      <c r="K54" s="955">
        <f t="shared" si="4"/>
        <v>8055.6199636748061</v>
      </c>
    </row>
    <row r="55" spans="1:17">
      <c r="A55" s="953" t="s">
        <v>3361</v>
      </c>
      <c r="B55" s="955">
        <f>-B54</f>
        <v>-12701.514581625961</v>
      </c>
      <c r="C55" s="955">
        <f t="shared" ref="C55:K55" si="5">-C54</f>
        <v>-12435.796869625949</v>
      </c>
      <c r="D55" s="955">
        <f t="shared" si="5"/>
        <v>-12113.27910338591</v>
      </c>
      <c r="E55" s="955">
        <f t="shared" si="5"/>
        <v>-11731.447710821099</v>
      </c>
      <c r="F55" s="955">
        <f t="shared" si="5"/>
        <v>-11289.693321275059</v>
      </c>
      <c r="G55" s="955">
        <f t="shared" si="5"/>
        <v>-10783.307483734112</v>
      </c>
      <c r="H55" s="955">
        <f t="shared" si="5"/>
        <v>-10209.479278432467</v>
      </c>
      <c r="I55" s="955">
        <f t="shared" si="5"/>
        <v>-9566.291818484242</v>
      </c>
      <c r="J55" s="955">
        <f t="shared" si="5"/>
        <v>-8848.7186380806525</v>
      </c>
      <c r="K55" s="955">
        <f t="shared" si="5"/>
        <v>-8055.6199636748061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1385400.4868327847</v>
      </c>
      <c r="C58" s="954">
        <f>IF($B$26="","",-FV('Part II-Sources of Funds'!$K$40/12,12,C52/12,B58))</f>
        <v>1343786.003067283</v>
      </c>
      <c r="D58" s="954">
        <f>IF($B$26="","",-FV('Part II-Sources of Funds'!$K$40/12,12,D52/12,C58))</f>
        <v>1301753.4618255326</v>
      </c>
      <c r="E58" s="954">
        <f>IF($B$26="","",-FV('Part II-Sources of Funds'!$K$40/12,12,E52/12,D58))</f>
        <v>1259298.663318479</v>
      </c>
      <c r="F58" s="954">
        <f>IF($B$26="","",-FV('Part II-Sources of Funds'!$K$40/12,12,F52/12,E58))</f>
        <v>1216417.3655661503</v>
      </c>
      <c r="G58" s="954">
        <f>IF($B$26="","",-FV('Part II-Sources of Funds'!$K$40/12,12,G52/12,F58))</f>
        <v>1173105.2839738103</v>
      </c>
      <c r="H58" s="954">
        <f>IF($B$26="","",-FV('Part II-Sources of Funds'!$K$40/12,12,H52/12,G58))</f>
        <v>1129358.0909038512</v>
      </c>
      <c r="I58" s="954">
        <f>IF($B$26="","",-FV('Part II-Sources of Funds'!$K$40/12,12,I52/12,H58))</f>
        <v>1085171.4152433872</v>
      </c>
      <c r="J58" s="954">
        <f>IF($B$26="","",-FV('Part II-Sources of Funds'!$K$40/12,12,J52/12,I58))</f>
        <v>1040540.8419675038</v>
      </c>
      <c r="K58" s="954">
        <f>IF($B$26="","",-FV('Part II-Sources of Funds'!$K$40/12,12,K52/12,J58))</f>
        <v>995461.91169811832</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65459.8386828488</v>
      </c>
      <c r="C64" s="954">
        <f>+'Part VI-Pro Forma'!C57</f>
        <v>64502.797096819442</v>
      </c>
      <c r="D64" s="954">
        <f>+'Part VI-Pro Forma'!D57</f>
        <v>63459.091728279061</v>
      </c>
      <c r="E64" s="954">
        <f>+'Part VI-Pro Forma'!E57</f>
        <v>62324.089813053448</v>
      </c>
      <c r="F64" s="954">
        <f>+'Part VI-Pro Forma'!F57</f>
        <v>61094.024747029645</v>
      </c>
      <c r="G64" s="954">
        <f>+'Part VI-Pro Forma'!G57</f>
        <v>59765.991573816704</v>
      </c>
      <c r="H64" s="954">
        <f>+'Part VI-Pro Forma'!H57</f>
        <v>58333.942327095145</v>
      </c>
      <c r="I64" s="954">
        <f>+'Part VI-Pro Forma'!I57</f>
        <v>56794.681223093045</v>
      </c>
      <c r="J64" s="954">
        <f>+'Part VI-Pro Forma'!J57</f>
        <v>55143.859698494554</v>
      </c>
      <c r="K64" s="954">
        <f>+'Part VI-Pro Forma'!K57</f>
        <v>53375.971288932313</v>
      </c>
    </row>
    <row r="65" spans="1:11">
      <c r="A65" s="953" t="s">
        <v>3438</v>
      </c>
      <c r="B65" s="954">
        <f>SUM('Part VI-Pro Forma'!B58:B61)</f>
        <v>-45463.483040939929</v>
      </c>
      <c r="C65" s="954">
        <f>SUM('Part VI-Pro Forma'!C58:C61)</f>
        <v>-45463.483040939929</v>
      </c>
      <c r="D65" s="954">
        <f>SUM('Part VI-Pro Forma'!D58:D61)</f>
        <v>-45463.483040939929</v>
      </c>
      <c r="E65" s="954">
        <f>SUM('Part VI-Pro Forma'!E58:E61)</f>
        <v>-45463.483040939929</v>
      </c>
      <c r="F65" s="954">
        <f>SUM('Part VI-Pro Forma'!F58:F61)</f>
        <v>-45463.483040939929</v>
      </c>
      <c r="G65" s="954">
        <f>SUM('Part VI-Pro Forma'!G58:G61)</f>
        <v>-45463.483040939929</v>
      </c>
      <c r="H65" s="954">
        <f>SUM('Part VI-Pro Forma'!H58:H61)</f>
        <v>-45463.483040939929</v>
      </c>
      <c r="I65" s="954">
        <f>SUM('Part VI-Pro Forma'!I58:I61)</f>
        <v>-45463.483040939929</v>
      </c>
      <c r="J65" s="954">
        <f>SUM('Part VI-Pro Forma'!J58:J61)</f>
        <v>-45463.483040939929</v>
      </c>
      <c r="K65" s="954">
        <f>SUM('Part VI-Pro Forma'!K58:K61)</f>
        <v>-45463.483040939929</v>
      </c>
    </row>
    <row r="66" spans="1:11">
      <c r="A66" s="953" t="s">
        <v>3439</v>
      </c>
      <c r="B66" s="955">
        <f t="shared" ref="B66:K66" si="7">-B64/B68-B65</f>
        <v>-9086.3825281007375</v>
      </c>
      <c r="C66" s="955">
        <f t="shared" si="7"/>
        <v>-8288.8478730762727</v>
      </c>
      <c r="D66" s="955">
        <f t="shared" si="7"/>
        <v>-7419.0933992926221</v>
      </c>
      <c r="E66" s="955">
        <f t="shared" si="7"/>
        <v>-6473.258469937944</v>
      </c>
      <c r="F66" s="955">
        <f t="shared" si="7"/>
        <v>-5448.2042482514444</v>
      </c>
      <c r="G66" s="955">
        <f t="shared" si="7"/>
        <v>-4341.5099372406621</v>
      </c>
      <c r="H66" s="955">
        <f t="shared" si="7"/>
        <v>-3148.1355649726902</v>
      </c>
      <c r="I66" s="955">
        <f t="shared" si="7"/>
        <v>-1865.4179783042782</v>
      </c>
      <c r="J66" s="955">
        <f t="shared" si="7"/>
        <v>-489.73337447219819</v>
      </c>
      <c r="K66" s="955">
        <f t="shared" si="7"/>
        <v>983.50696682966372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65459.8386828488</v>
      </c>
      <c r="C71" s="955">
        <f t="shared" si="9"/>
        <v>64502.797096819442</v>
      </c>
      <c r="D71" s="955">
        <f t="shared" si="9"/>
        <v>63459.091728279061</v>
      </c>
      <c r="E71" s="955">
        <f t="shared" si="9"/>
        <v>62324.089813053448</v>
      </c>
      <c r="F71" s="955">
        <f t="shared" si="9"/>
        <v>61094.024747029645</v>
      </c>
      <c r="G71" s="955">
        <f t="shared" si="9"/>
        <v>59765.991573816704</v>
      </c>
      <c r="H71" s="955">
        <f>+H64</f>
        <v>58333.942327095145</v>
      </c>
      <c r="I71" s="955">
        <f>+I64</f>
        <v>56794.681223093045</v>
      </c>
      <c r="J71" s="955">
        <f>+J64</f>
        <v>55143.859698494554</v>
      </c>
      <c r="K71" s="955">
        <f>+K64</f>
        <v>53375.971288932313</v>
      </c>
    </row>
    <row r="72" spans="1:11">
      <c r="A72" s="953" t="s">
        <v>3441</v>
      </c>
      <c r="B72" s="955">
        <f t="shared" ref="B72:G72" si="10">IF($B$25="N/A",B65,B65+$B$25)</f>
        <v>-55278.099818374059</v>
      </c>
      <c r="C72" s="955">
        <f t="shared" si="10"/>
        <v>-55278.099818374059</v>
      </c>
      <c r="D72" s="955">
        <f t="shared" si="10"/>
        <v>-55278.099818374059</v>
      </c>
      <c r="E72" s="955">
        <f t="shared" si="10"/>
        <v>-55278.099818374059</v>
      </c>
      <c r="F72" s="955">
        <f t="shared" si="10"/>
        <v>-55278.099818374059</v>
      </c>
      <c r="G72" s="955">
        <f t="shared" si="10"/>
        <v>-55278.099818374059</v>
      </c>
      <c r="H72" s="955">
        <f>IF($B$25="N/A",H65,H65+$B$25)</f>
        <v>-55278.099818374059</v>
      </c>
      <c r="I72" s="955">
        <f>IF($B$25="N/A",I65,I65+$B$25)</f>
        <v>-55278.099818374059</v>
      </c>
      <c r="J72" s="955">
        <f>IF($B$25="N/A",J65,J65+$B$25)</f>
        <v>-55278.099818374059</v>
      </c>
      <c r="K72" s="955">
        <f>IF($B$25="N/A",K65,K65+$B$25)</f>
        <v>-55278.099818374059</v>
      </c>
    </row>
    <row r="73" spans="1:11">
      <c r="A73" s="953" t="s">
        <v>3442</v>
      </c>
      <c r="B73" s="954">
        <f>+'Part VI-Pro Forma'!B63</f>
        <v>-3000</v>
      </c>
      <c r="C73" s="954">
        <f>+'Part VI-Pro Forma'!C63</f>
        <v>-3000</v>
      </c>
      <c r="D73" s="954">
        <f>+'Part VI-Pro Forma'!D63</f>
        <v>-3000</v>
      </c>
      <c r="E73" s="954">
        <f>+'Part VI-Pro Forma'!E63</f>
        <v>-3000</v>
      </c>
      <c r="F73" s="954">
        <f>+'Part VI-Pro Forma'!F63</f>
        <v>-3000</v>
      </c>
      <c r="G73" s="954">
        <f>+'Part VI-Pro Forma'!G63</f>
        <v>-3000</v>
      </c>
      <c r="H73" s="954">
        <f>+'Part VI-Pro Forma'!H63</f>
        <v>-3000</v>
      </c>
      <c r="I73" s="954">
        <f>+'Part VI-Pro Forma'!I63</f>
        <v>-3000</v>
      </c>
      <c r="J73" s="954">
        <f>+'Part VI-Pro Forma'!J63</f>
        <v>-3000</v>
      </c>
      <c r="K73" s="954">
        <f>+'Part VI-Pro Forma'!K63</f>
        <v>-3000</v>
      </c>
    </row>
    <row r="74" spans="1:11">
      <c r="A74" s="953" t="s">
        <v>3443</v>
      </c>
      <c r="B74" s="955">
        <f t="shared" ref="B74:G74" si="11">+SUM(B71:B73)</f>
        <v>7181.7388644747407</v>
      </c>
      <c r="C74" s="955">
        <f t="shared" si="11"/>
        <v>6224.6972784453828</v>
      </c>
      <c r="D74" s="955">
        <f t="shared" si="11"/>
        <v>5180.9919099050021</v>
      </c>
      <c r="E74" s="955">
        <f t="shared" si="11"/>
        <v>4045.9899946793885</v>
      </c>
      <c r="F74" s="955">
        <f t="shared" si="11"/>
        <v>2815.924928655586</v>
      </c>
      <c r="G74" s="955">
        <f t="shared" si="11"/>
        <v>1487.8917554426444</v>
      </c>
      <c r="H74" s="955">
        <f>+SUM(H71:H73)</f>
        <v>55.842508721085323</v>
      </c>
      <c r="I74" s="955">
        <f>+SUM(I71:I73)</f>
        <v>-1483.4185952810149</v>
      </c>
      <c r="J74" s="955">
        <f>+SUM(J71:J73)</f>
        <v>-3134.2401198795051</v>
      </c>
      <c r="K74" s="955">
        <f>+SUM(K71:K73)</f>
        <v>-4902.1285294417467</v>
      </c>
    </row>
    <row r="75" spans="1:11">
      <c r="A75" s="953" t="s">
        <v>3361</v>
      </c>
      <c r="B75" s="955">
        <f t="shared" ref="B75:G75" si="12">-B74</f>
        <v>-7181.7388644747407</v>
      </c>
      <c r="C75" s="955">
        <f t="shared" si="12"/>
        <v>-6224.6972784453828</v>
      </c>
      <c r="D75" s="955">
        <f t="shared" si="12"/>
        <v>-5180.9919099050021</v>
      </c>
      <c r="E75" s="955">
        <f t="shared" si="12"/>
        <v>-4045.9899946793885</v>
      </c>
      <c r="F75" s="955">
        <f t="shared" si="12"/>
        <v>-2815.924928655586</v>
      </c>
      <c r="G75" s="955">
        <f t="shared" si="12"/>
        <v>-1487.8917554426444</v>
      </c>
      <c r="H75" s="955">
        <f>-H74</f>
        <v>-55.842508721085323</v>
      </c>
      <c r="I75" s="955">
        <f>-I74</f>
        <v>1483.4185952810149</v>
      </c>
      <c r="J75" s="955">
        <f>-J74</f>
        <v>3134.2401198795051</v>
      </c>
      <c r="K75" s="955">
        <f>-K74</f>
        <v>4902.1285294417467</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949930.12025841069</v>
      </c>
      <c r="C78" s="954">
        <f>IF($B$26="","",-FV('Part II-Sources of Funds'!$K$40/12,12,C72/12,B78))</f>
        <v>903940.9182227765</v>
      </c>
      <c r="D78" s="954">
        <f>IF($B$26="","",-FV('Part II-Sources of Funds'!$K$40/12,12,D72/12,C78))</f>
        <v>857489.71046225971</v>
      </c>
      <c r="E78" s="954">
        <f>IF($B$26="","",-FV('Part II-Sources of Funds'!$K$40/12,12,E72/12,D78))</f>
        <v>810571.85568541847</v>
      </c>
      <c r="F78" s="954">
        <f>IF($B$26="","",-FV('Part II-Sources of Funds'!$K$40/12,12,F72/12,E78))</f>
        <v>763182.6659745787</v>
      </c>
      <c r="G78" s="954">
        <f>IF($B$26="","",-FV('Part II-Sources of Funds'!$K$40/12,12,G72/12,F78))</f>
        <v>715317.40631742869</v>
      </c>
      <c r="H78" s="954">
        <f>IF($B$26="","",-FV('Part II-Sources of Funds'!$K$40/12,12,H72/12,G78))</f>
        <v>666971.29413390812</v>
      </c>
      <c r="I78" s="954">
        <f>IF($B$26="","",-FV('Part II-Sources of Funds'!$K$40/12,12,I72/12,H78))</f>
        <v>618139.49879834463</v>
      </c>
      <c r="J78" s="954">
        <f>IF($B$26="","",-FV('Part II-Sources of Funds'!$K$40/12,12,J72/12,I78))</f>
        <v>568817.14115678926</v>
      </c>
      <c r="K78" s="954">
        <f>IF($B$26="","",-FV('Part II-Sources of Funds'!$K$40/12,12,K72/12,J78))</f>
        <v>518999.29303950333</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Hillmont Apartments</v>
      </c>
    </row>
    <row r="2" spans="1:15" ht="13.5" customHeight="1"/>
    <row r="3" spans="1:15" ht="13.5" customHeight="1">
      <c r="A3" s="517" t="s">
        <v>2706</v>
      </c>
      <c r="C3" s="516" t="s">
        <v>2707</v>
      </c>
      <c r="E3" s="586">
        <f>SUM('Part III-A-Uses of Funds'!J162,'Part III-A-Uses of Funds'!M162,'Part III-A-Uses of Funds'!P162)</f>
        <v>7426264</v>
      </c>
      <c r="F3" s="1024" t="s">
        <v>2708</v>
      </c>
      <c r="H3" s="1006">
        <v>27.5</v>
      </c>
      <c r="I3" s="516" t="s">
        <v>2273</v>
      </c>
      <c r="K3" s="521" t="s">
        <v>2729</v>
      </c>
      <c r="M3" s="1024"/>
      <c r="O3" s="587"/>
    </row>
    <row r="4" spans="1:15" ht="13.5" customHeight="1">
      <c r="C4" s="516" t="s">
        <v>3127</v>
      </c>
      <c r="E4" s="586">
        <f>SUM('Part III-A-Uses of Funds'!G97:H101)</f>
        <v>20000</v>
      </c>
      <c r="F4" s="1024" t="s">
        <v>3661</v>
      </c>
      <c r="H4" s="517">
        <f>'Part II-Sources of Funds'!M40</f>
        <v>50</v>
      </c>
      <c r="I4" s="516" t="s">
        <v>2273</v>
      </c>
      <c r="K4" s="588" t="s">
        <v>2957</v>
      </c>
      <c r="M4" s="1024"/>
    </row>
    <row r="5" spans="1:15" ht="13.5" customHeight="1">
      <c r="C5" s="516" t="s">
        <v>3128</v>
      </c>
      <c r="E5" s="586">
        <f>SUM('Part III-A-Uses of Funds'!G105:H111)</f>
        <v>97900</v>
      </c>
      <c r="F5" s="1024" t="s">
        <v>3660</v>
      </c>
      <c r="H5" s="1006">
        <v>15</v>
      </c>
      <c r="I5" s="516" t="s">
        <v>2273</v>
      </c>
      <c r="K5" s="587">
        <f>-E6</f>
        <v>-6749165</v>
      </c>
    </row>
    <row r="6" spans="1:15" ht="13.5" customHeight="1">
      <c r="C6" s="516" t="s">
        <v>2709</v>
      </c>
      <c r="E6" s="589">
        <f>'Part II-Sources of Funds'!$I$51+'Part II-Sources of Funds'!$I$52</f>
        <v>6749165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0.13135906009483733</v>
      </c>
      <c r="D9" s="594">
        <f>'Part VI-Pro Forma'!C33</f>
        <v>0.41364706008243957</v>
      </c>
      <c r="E9" s="594">
        <f>'Part VI-Pro Forma'!D33</f>
        <v>2251.8958808200441</v>
      </c>
      <c r="F9" s="594">
        <f>'Part VI-Pro Forma'!E33</f>
        <v>21546.064488255233</v>
      </c>
      <c r="G9" s="594">
        <f>'Part VI-Pro Forma'!F33</f>
        <v>21104.310098709193</v>
      </c>
      <c r="H9" s="594">
        <f>'Part VI-Pro Forma'!G33</f>
        <v>20597.924261168246</v>
      </c>
      <c r="I9" s="594">
        <f>'Part VI-Pro Forma'!H33</f>
        <v>20024.096055866601</v>
      </c>
      <c r="K9" s="587" t="e">
        <f>F24</f>
        <v>#VALUE!</v>
      </c>
      <c r="N9" s="595" t="s">
        <v>2715</v>
      </c>
    </row>
    <row r="10" spans="1:15" ht="13.5" customHeight="1">
      <c r="A10" s="516" t="s">
        <v>2714</v>
      </c>
      <c r="C10" s="978">
        <f>'Part II-Sources of Funds'!I40-'Part VI-Pro Forma'!B40</f>
        <v>13303.865951191285</v>
      </c>
      <c r="D10" s="596">
        <f>'Part VI-Pro Forma'!B40-'Part VI-Pro Forma'!C40</f>
        <v>13437.516068185214</v>
      </c>
      <c r="E10" s="596">
        <f>'Part VI-Pro Forma'!C40-'Part VI-Pro Forma'!D40</f>
        <v>13572.508829027065</v>
      </c>
      <c r="F10" s="596">
        <f>'Part VI-Pro Forma'!D40-'Part VI-Pro Forma'!E40</f>
        <v>13708.857721864479</v>
      </c>
      <c r="G10" s="596">
        <f>'Part VI-Pro Forma'!E40-'Part VI-Pro Forma'!F40</f>
        <v>13846.576370346243</v>
      </c>
      <c r="H10" s="596">
        <f>'Part VI-Pro Forma'!F40-'Part VI-Pro Forma'!G40</f>
        <v>13985.678534984123</v>
      </c>
      <c r="I10" s="596">
        <f>'Part VI-Pro Forma'!G40-'Part VI-Pro Forma'!H40</f>
        <v>14126.178114527254</v>
      </c>
      <c r="K10" s="587" t="e">
        <f>G24</f>
        <v>#VALUE!</v>
      </c>
      <c r="N10" s="595" t="s">
        <v>2716</v>
      </c>
      <c r="O10" s="592"/>
    </row>
    <row r="11" spans="1:15" ht="13.5" customHeight="1">
      <c r="A11" s="516" t="s">
        <v>2714</v>
      </c>
      <c r="C11" s="978">
        <f>'Part II-Sources of Funds'!I41-'Part VI-Pro Forma'!B41</f>
        <v>8029.8246306847432</v>
      </c>
      <c r="D11" s="596">
        <f>'Part VI-Pro Forma'!B41-'Part VI-Pro Forma'!C41</f>
        <v>8328.696711078519</v>
      </c>
      <c r="E11" s="596">
        <f>'Part VI-Pro Forma'!C41-'Part VI-Pro Forma'!D41</f>
        <v>8638.6928850293625</v>
      </c>
      <c r="F11" s="596">
        <f>'Part VI-Pro Forma'!D41-'Part VI-Pro Forma'!E41</f>
        <v>8960.2271940808278</v>
      </c>
      <c r="G11" s="596">
        <f>'Part VI-Pro Forma'!E41-'Part VI-Pro Forma'!F41</f>
        <v>9293.7290905060945</v>
      </c>
      <c r="H11" s="596">
        <f>'Part VI-Pro Forma'!F41-'Part VI-Pro Forma'!G41</f>
        <v>9639.6440108994138</v>
      </c>
      <c r="I11" s="596">
        <f>'Part VI-Pro Forma'!G41-'Part VI-Pro Forma'!H41</f>
        <v>9998.4339711163775</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-15050</v>
      </c>
      <c r="D13" s="979">
        <f>'Part VI-Pro Forma'!C23</f>
        <v>-15501.5</v>
      </c>
      <c r="E13" s="979">
        <f>'Part VI-Pro Forma'!D23</f>
        <v>-15966.545</v>
      </c>
      <c r="F13" s="979">
        <f>'Part VI-Pro Forma'!E23</f>
        <v>-16445.54135</v>
      </c>
      <c r="G13" s="979">
        <f>'Part VI-Pro Forma'!F23</f>
        <v>-16938.907590499999</v>
      </c>
      <c r="H13" s="979">
        <f>'Part VI-Pro Forma'!G23</f>
        <v>-17447.074818214998</v>
      </c>
      <c r="I13" s="979">
        <f>'Part VI-Pro Forma'!H23</f>
        <v>-17970.487062761447</v>
      </c>
      <c r="K13" s="587" t="e">
        <f>C44</f>
        <v>#VALUE!</v>
      </c>
      <c r="O13" s="592"/>
    </row>
    <row r="14" spans="1:15" ht="13.5" customHeight="1">
      <c r="A14" s="598" t="s">
        <v>3130</v>
      </c>
      <c r="B14" s="598"/>
      <c r="C14" s="979">
        <f>'Part VI-Pro Forma'!B32</f>
        <v>-22516</v>
      </c>
      <c r="D14" s="979">
        <f>'Part VI-Pro Forma'!C32</f>
        <v>-22250</v>
      </c>
      <c r="E14" s="979">
        <f>'Part VI-Pro Forma'!D32</f>
        <v>-19676</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270045.96363636362</v>
      </c>
      <c r="D15" s="599">
        <f t="shared" si="0"/>
        <v>270045.96363636362</v>
      </c>
      <c r="E15" s="599">
        <f t="shared" si="0"/>
        <v>270045.96363636362</v>
      </c>
      <c r="F15" s="599">
        <f t="shared" si="0"/>
        <v>270045.96363636362</v>
      </c>
      <c r="G15" s="599">
        <f t="shared" si="0"/>
        <v>270045.96363636362</v>
      </c>
      <c r="H15" s="599">
        <f t="shared" si="0"/>
        <v>270045.96363636362</v>
      </c>
      <c r="I15" s="599">
        <f t="shared" si="0"/>
        <v>270045.96363636362</v>
      </c>
      <c r="K15" s="587" t="e">
        <f>E44</f>
        <v>#VALUE!</v>
      </c>
      <c r="O15" s="592"/>
    </row>
    <row r="16" spans="1:15" ht="13.5" customHeight="1">
      <c r="A16" s="516" t="s">
        <v>2719</v>
      </c>
      <c r="C16" s="599">
        <f>IF(C$8&lt;=$H$4,($E$4/$H$4),0)+IF(C$8&lt;=$H$5,($E$5/$H$5),0)</f>
        <v>6926.666666666667</v>
      </c>
      <c r="D16" s="599">
        <f t="shared" ref="D16:I16" si="1">IF(D$8&lt;=$H$4,($E$4/$H$4),0)+IF(D$8&lt;=$H$5,($E$5/$H$5),0)</f>
        <v>6926.666666666667</v>
      </c>
      <c r="E16" s="599">
        <f t="shared" si="1"/>
        <v>6926.666666666667</v>
      </c>
      <c r="F16" s="599">
        <f t="shared" si="1"/>
        <v>6926.666666666667</v>
      </c>
      <c r="G16" s="599">
        <f t="shared" si="1"/>
        <v>6926.666666666667</v>
      </c>
      <c r="H16" s="599">
        <f t="shared" si="1"/>
        <v>6926.666666666667</v>
      </c>
      <c r="I16" s="599">
        <f t="shared" si="1"/>
        <v>6926.666666666667</v>
      </c>
      <c r="K16" s="587" t="e">
        <f>F44</f>
        <v>#VALUE!</v>
      </c>
      <c r="M16" s="516" t="s">
        <v>2723</v>
      </c>
      <c r="O16" s="592">
        <f>E3</f>
        <v>7426264</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5400919.2727272725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2025344.7272727275</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500000</v>
      </c>
      <c r="D21" s="600">
        <f t="shared" ref="D21:I21" si="5">C21</f>
        <v>500000</v>
      </c>
      <c r="E21" s="600">
        <f t="shared" si="5"/>
        <v>500000</v>
      </c>
      <c r="F21" s="600">
        <f t="shared" si="5"/>
        <v>500000</v>
      </c>
      <c r="G21" s="600">
        <f t="shared" si="5"/>
        <v>500000</v>
      </c>
      <c r="H21" s="600">
        <f t="shared" si="5"/>
        <v>500000</v>
      </c>
      <c r="I21" s="600">
        <f t="shared" si="5"/>
        <v>500000</v>
      </c>
      <c r="J21" s="516" t="s">
        <v>233</v>
      </c>
      <c r="K21" s="587" t="e">
        <f>D64</f>
        <v>#VALUE!</v>
      </c>
      <c r="O21" s="592"/>
    </row>
    <row r="22" spans="1:17" ht="13.5" customHeight="1">
      <c r="A22" s="516" t="s">
        <v>2726</v>
      </c>
      <c r="C22" s="600">
        <f>C21</f>
        <v>500000</v>
      </c>
      <c r="D22" s="600">
        <f t="shared" ref="D22:I22" si="6">D21</f>
        <v>500000</v>
      </c>
      <c r="E22" s="600">
        <f t="shared" si="6"/>
        <v>500000</v>
      </c>
      <c r="F22" s="600">
        <f t="shared" si="6"/>
        <v>500000</v>
      </c>
      <c r="G22" s="600">
        <f t="shared" si="6"/>
        <v>500000</v>
      </c>
      <c r="H22" s="600">
        <f t="shared" si="6"/>
        <v>500000</v>
      </c>
      <c r="I22" s="600">
        <f t="shared" si="6"/>
        <v>500000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2025344.7272727275</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-2025344.7272727275</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19380.908595918376</v>
      </c>
      <c r="D29" s="594">
        <f>'Part VI-Pro Forma'!J33</f>
        <v>18663.335415514786</v>
      </c>
      <c r="E29" s="594">
        <f>'Part VI-Pro Forma'!K33</f>
        <v>17870.23674110894</v>
      </c>
      <c r="F29" s="594">
        <f>'Part VI-Pro Forma'!B65</f>
        <v>16996.355641908875</v>
      </c>
      <c r="G29" s="594">
        <f>'Part VI-Pro Forma'!C65</f>
        <v>16039.314055879517</v>
      </c>
      <c r="H29" s="594">
        <f>'Part VI-Pro Forma'!D65</f>
        <v>14995.608687339136</v>
      </c>
      <c r="I29" s="594">
        <f>'Part VI-Pro Forma'!E65</f>
        <v>13860.606772113522</v>
      </c>
      <c r="N29" s="603"/>
      <c r="O29" s="603"/>
    </row>
    <row r="30" spans="1:17" ht="13.5" customHeight="1">
      <c r="A30" s="516" t="s">
        <v>2714</v>
      </c>
      <c r="C30" s="596">
        <f>'Part VI-Pro Forma'!H40-'Part VI-Pro Forma'!I40</f>
        <v>14268.0891473511</v>
      </c>
      <c r="D30" s="596">
        <f>'Part VI-Pro Forma'!I40-'Part VI-Pro Forma'!J40</f>
        <v>14411.425812860136</v>
      </c>
      <c r="E30" s="596">
        <f>'Part VI-Pro Forma'!J40-'Part VI-Pro Forma'!K40</f>
        <v>14556.202432904625</v>
      </c>
      <c r="F30" s="976">
        <f>'Part VI-Pro Forma'!K40-'Part VI-Pro Forma'!B72</f>
        <v>14702.43347321148</v>
      </c>
      <c r="G30" s="976">
        <f>'Part VI-Pro Forma'!B72-'Part VI-Pro Forma'!C72</f>
        <v>14850.13354482979</v>
      </c>
      <c r="H30" s="976">
        <f>'Part VI-Pro Forma'!C72-'Part VI-Pro Forma'!D72</f>
        <v>14999.317405590555</v>
      </c>
      <c r="I30" s="976">
        <f>'Part VI-Pro Forma'!D72-'Part VI-Pro Forma'!E72</f>
        <v>15149.999961581547</v>
      </c>
    </row>
    <row r="31" spans="1:17" ht="13.5" customHeight="1">
      <c r="A31" s="516" t="s">
        <v>2714</v>
      </c>
      <c r="C31" s="596">
        <f>'Part VI-Pro Forma'!H41-'Part VI-Pro Forma'!I41</f>
        <v>10370.578183358361</v>
      </c>
      <c r="D31" s="596">
        <f>'Part VI-Pro Forma'!I41-'Part VI-Pro Forma'!J41</f>
        <v>10756.573696224543</v>
      </c>
      <c r="E31" s="596">
        <f>'Part VI-Pro Forma'!J41-'Part VI-Pro Forma'!K41</f>
        <v>11156.936058587278</v>
      </c>
      <c r="F31" s="976">
        <f>'Part VI-Pro Forma'!K41-'Part VI-Pro Forma'!B73</f>
        <v>11572.200008176849</v>
      </c>
      <c r="G31" s="976">
        <f>'Part VI-Pro Forma'!B73-'Part VI-Pro Forma'!C73</f>
        <v>12002.920185795694</v>
      </c>
      <c r="H31" s="976">
        <f>'Part VI-Pro Forma'!C73-'Part VI-Pro Forma'!D73</f>
        <v>12449.671876115375</v>
      </c>
      <c r="I31" s="976">
        <f>'Part VI-Pro Forma'!D73-'Part VI-Pro Forma'!E73</f>
        <v>12913.051776046923</v>
      </c>
      <c r="K31" s="516" t="s">
        <v>233</v>
      </c>
      <c r="M31" s="516" t="s">
        <v>2733</v>
      </c>
      <c r="O31" s="594">
        <f>O25*O27</f>
        <v>-405068.94545454555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-18509.601674644295</v>
      </c>
      <c r="D33" s="979">
        <f>'Part VI-Pro Forma'!J23</f>
        <v>-19064.889724883618</v>
      </c>
      <c r="E33" s="979">
        <f>'Part VI-Pro Forma'!K23</f>
        <v>-19636.836416630129</v>
      </c>
      <c r="F33" s="979">
        <f>'Part VI-Pro Forma'!B55</f>
        <v>-20225.941509129032</v>
      </c>
      <c r="G33" s="979">
        <f>'Part VI-Pro Forma'!C55</f>
        <v>-20832.719754402904</v>
      </c>
      <c r="H33" s="979">
        <f>'Part VI-Pro Forma'!D55</f>
        <v>-21457.701347034988</v>
      </c>
      <c r="I33" s="979">
        <f>'Part VI-Pro Forma'!E55</f>
        <v>-22101.432387446035</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270045.96363636362</v>
      </c>
      <c r="D35" s="599">
        <f t="shared" si="8"/>
        <v>270045.96363636362</v>
      </c>
      <c r="E35" s="599">
        <f t="shared" si="8"/>
        <v>270045.96363636362</v>
      </c>
      <c r="F35" s="599">
        <f t="shared" si="8"/>
        <v>270045.96363636362</v>
      </c>
      <c r="G35" s="599">
        <f t="shared" si="8"/>
        <v>270045.96363636362</v>
      </c>
      <c r="H35" s="599">
        <f t="shared" si="8"/>
        <v>270045.96363636362</v>
      </c>
      <c r="I35" s="599">
        <f t="shared" si="8"/>
        <v>270045.96363636362</v>
      </c>
    </row>
    <row r="36" spans="1:15" ht="13.5" customHeight="1">
      <c r="A36" s="516" t="s">
        <v>2719</v>
      </c>
      <c r="C36" s="594">
        <f>IF(C$28&lt;=$H$4,($E$4/$H$4),0)+IF(C$28&lt;=$H$5,($E$5/$H$5),0)</f>
        <v>6926.666666666667</v>
      </c>
      <c r="D36" s="594">
        <f t="shared" ref="D36:I36" si="9">IF(D$28&lt;=$H$4,($E$4/$H$4),0)+IF(D$28&lt;=$H$5,($E$5/$H$5),0)</f>
        <v>6926.666666666667</v>
      </c>
      <c r="E36" s="594">
        <f t="shared" si="9"/>
        <v>6926.666666666667</v>
      </c>
      <c r="F36" s="594">
        <f t="shared" si="9"/>
        <v>6926.666666666667</v>
      </c>
      <c r="G36" s="594">
        <f t="shared" si="9"/>
        <v>6926.666666666667</v>
      </c>
      <c r="H36" s="594">
        <f t="shared" si="9"/>
        <v>6926.666666666667</v>
      </c>
      <c r="I36" s="594">
        <f t="shared" si="9"/>
        <v>6926.666666666667</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500000</v>
      </c>
      <c r="D41" s="600">
        <f>C41</f>
        <v>500000</v>
      </c>
      <c r="E41" s="600">
        <f>D41</f>
        <v>500000</v>
      </c>
      <c r="F41" s="600">
        <v>0</v>
      </c>
      <c r="G41" s="600">
        <v>0</v>
      </c>
      <c r="H41" s="600">
        <v>0</v>
      </c>
      <c r="I41" s="600">
        <v>0</v>
      </c>
    </row>
    <row r="42" spans="1:15" ht="13.5" customHeight="1">
      <c r="A42" s="516" t="s">
        <v>2726</v>
      </c>
      <c r="C42" s="600">
        <f>C22</f>
        <v>500000</v>
      </c>
      <c r="D42" s="600">
        <f>C42</f>
        <v>500000</v>
      </c>
      <c r="E42" s="600">
        <f>D42</f>
        <v>500000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12630.54170608972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15302.196268636384</v>
      </c>
      <c r="D50" s="977">
        <f>'Part VI-Pro Forma'!F72-'Part VI-Pro Forma'!G72</f>
        <v>15455.921533839079</v>
      </c>
      <c r="E50" s="977">
        <f>'Part VI-Pro Forma'!G72-'Part VI-Pro Forma'!H72</f>
        <v>15611.191117043258</v>
      </c>
      <c r="F50" s="977">
        <f>'Part VI-Pro Forma'!H72-'Part VI-Pro Forma'!I72</f>
        <v>15768.020532407449</v>
      </c>
      <c r="G50" s="977">
        <f>'Part VI-Pro Forma'!I72-'Part VI-Pro Forma'!J72</f>
        <v>15926.425449944218</v>
      </c>
      <c r="H50" s="977">
        <f>'Part VI-Pro Forma'!J72-'Part VI-Pro Forma'!K72</f>
        <v>16086.421697087004</v>
      </c>
    </row>
    <row r="51" spans="1:10" ht="13.5" customHeight="1">
      <c r="A51" s="516" t="s">
        <v>2714</v>
      </c>
      <c r="C51" s="977">
        <f>'Part VI-Pro Forma'!E73-'Part VI-Pro Forma'!F73</f>
        <v>13393.678791709419</v>
      </c>
      <c r="D51" s="977">
        <f>'Part VI-Pro Forma'!F73-'Part VI-Pro Forma'!G73</f>
        <v>13892.194865062658</v>
      </c>
      <c r="E51" s="977">
        <f>'Part VI-Pro Forma'!G73-'Part VI-Pro Forma'!H73</f>
        <v>14409.265831306519</v>
      </c>
      <c r="F51" s="977">
        <f>'Part VI-Pro Forma'!H73-'Part VI-Pro Forma'!I73</f>
        <v>14945.582308193523</v>
      </c>
      <c r="G51" s="977">
        <f>'Part VI-Pro Forma'!I73-'Part VI-Pro Forma'!J73</f>
        <v>15501.860618441628</v>
      </c>
      <c r="H51" s="977">
        <f>'Part VI-Pro Forma'!J73-'Part VI-Pro Forma'!K73</f>
        <v>16078.843746479484</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-22764.47535906942</v>
      </c>
      <c r="D53" s="979">
        <f>'Part VI-Pro Forma'!G55</f>
        <v>-23447.409619841506</v>
      </c>
      <c r="E53" s="979">
        <f>'Part VI-Pro Forma'!H55</f>
        <v>-24150.831908436747</v>
      </c>
      <c r="F53" s="979">
        <f>'Part VI-Pro Forma'!I55</f>
        <v>-24875.35686568985</v>
      </c>
      <c r="G53" s="979">
        <f>'Part VI-Pro Forma'!J55</f>
        <v>-25621.617571660543</v>
      </c>
      <c r="H53" s="979">
        <f>'Part VI-Pro Forma'!K55</f>
        <v>-26390.26609881036</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270045.96363636362</v>
      </c>
      <c r="D55" s="599">
        <f t="shared" si="14"/>
        <v>270045.96363636362</v>
      </c>
      <c r="E55" s="599">
        <f t="shared" si="14"/>
        <v>270045.96363636362</v>
      </c>
      <c r="F55" s="599">
        <f t="shared" si="14"/>
        <v>270045.96363636362</v>
      </c>
      <c r="G55" s="599">
        <f t="shared" si="14"/>
        <v>270045.96363636362</v>
      </c>
      <c r="H55" s="599">
        <f t="shared" si="14"/>
        <v>270045.96363636362</v>
      </c>
    </row>
    <row r="56" spans="1:10" ht="13.5" customHeight="1">
      <c r="A56" s="516" t="s">
        <v>2719</v>
      </c>
      <c r="C56" s="594">
        <f t="shared" ref="C56:H56" si="15">IF(C$48&lt;=$H$4,($E$4/$H$4),0)+IF(C$48&lt;=$H$5,($E$5/$H$5),0)</f>
        <v>6926.666666666667</v>
      </c>
      <c r="D56" s="594">
        <f t="shared" si="15"/>
        <v>400</v>
      </c>
      <c r="E56" s="594">
        <f t="shared" si="15"/>
        <v>400</v>
      </c>
      <c r="F56" s="594">
        <f t="shared" si="15"/>
        <v>400</v>
      </c>
      <c r="G56" s="594">
        <f t="shared" si="15"/>
        <v>400</v>
      </c>
      <c r="H56" s="594">
        <f t="shared" si="15"/>
        <v>400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Hillmont Apartments</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6060</v>
      </c>
      <c r="B4" s="4770"/>
      <c r="C4" s="1476"/>
      <c r="D4" s="4770" t="s">
        <v>6061</v>
      </c>
      <c r="E4" s="4770"/>
      <c r="F4" s="523"/>
      <c r="G4" s="4770" t="s">
        <v>6062</v>
      </c>
      <c r="H4" s="4770"/>
      <c r="I4" s="523"/>
      <c r="J4" s="4770" t="s">
        <v>6177</v>
      </c>
      <c r="K4" s="4770"/>
    </row>
    <row r="5" spans="1:11" ht="25.9" customHeight="1">
      <c r="A5" s="4771" t="str">
        <f>'Part II-Sources of Funds'!E40</f>
        <v>USDA Rural Development</v>
      </c>
      <c r="B5" s="4772"/>
      <c r="C5" s="439"/>
      <c r="D5" s="4771" t="str">
        <f>'Part II-Sources of Funds'!E41</f>
        <v>Housing Assisstance Council</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1819.1224957112138</v>
      </c>
      <c r="D10" s="983">
        <v>1</v>
      </c>
      <c r="E10" s="984">
        <f>-'Part VI-Pro Forma'!$B27/12</f>
        <v>1969.5010910337803</v>
      </c>
      <c r="G10" s="983">
        <v>1</v>
      </c>
      <c r="H10" s="984">
        <f>-'Part VI-Pro Forma'!$B28/12</f>
        <v>0</v>
      </c>
      <c r="J10" s="983">
        <v>1</v>
      </c>
      <c r="K10" s="984">
        <f>-'Part VI-Pro Forma'!$B29/12</f>
        <v>0</v>
      </c>
    </row>
    <row r="11" spans="1:11" ht="20.25" customHeight="1">
      <c r="A11" s="983">
        <v>2</v>
      </c>
      <c r="B11" s="984">
        <f>-'Part VI-Pro Forma'!$C26/12</f>
        <v>1819.1224957112138</v>
      </c>
      <c r="D11" s="983">
        <v>2</v>
      </c>
      <c r="E11" s="984">
        <f>-'Part VI-Pro Forma'!$C27/12</f>
        <v>1969.5010910337803</v>
      </c>
      <c r="G11" s="983">
        <v>2</v>
      </c>
      <c r="H11" s="984">
        <f>-'Part VI-Pro Forma'!$C28/12</f>
        <v>0</v>
      </c>
      <c r="J11" s="983">
        <v>2</v>
      </c>
      <c r="K11" s="984">
        <f>-'Part VI-Pro Forma'!$C29/12</f>
        <v>0</v>
      </c>
    </row>
    <row r="12" spans="1:11" ht="20.25" customHeight="1">
      <c r="A12" s="983">
        <v>3</v>
      </c>
      <c r="B12" s="984">
        <f>-'Part VI-Pro Forma'!$D26/12</f>
        <v>1819.1224957112138</v>
      </c>
      <c r="D12" s="983">
        <v>3</v>
      </c>
      <c r="E12" s="984">
        <f>-'Part VI-Pro Forma'!$D27/12</f>
        <v>1969.5010910337803</v>
      </c>
      <c r="G12" s="983">
        <v>3</v>
      </c>
      <c r="H12" s="984">
        <f>-'Part VI-Pro Forma'!$D28/12</f>
        <v>0</v>
      </c>
      <c r="J12" s="983">
        <v>3</v>
      </c>
      <c r="K12" s="984">
        <f>-'Part VI-Pro Forma'!$D29/12</f>
        <v>0</v>
      </c>
    </row>
    <row r="13" spans="1:11" ht="20.25" customHeight="1">
      <c r="A13" s="983">
        <v>4</v>
      </c>
      <c r="B13" s="984">
        <f>-'Part VI-Pro Forma'!$E26/12</f>
        <v>1819.1224957112138</v>
      </c>
      <c r="D13" s="983">
        <v>4</v>
      </c>
      <c r="E13" s="984">
        <f>-'Part VI-Pro Forma'!$E27/12</f>
        <v>1969.5010910337803</v>
      </c>
      <c r="G13" s="983">
        <v>4</v>
      </c>
      <c r="H13" s="984">
        <f>-'Part VI-Pro Forma'!$E28/12</f>
        <v>0</v>
      </c>
      <c r="J13" s="983">
        <v>4</v>
      </c>
      <c r="K13" s="984">
        <f>-'Part VI-Pro Forma'!$E29/12</f>
        <v>0</v>
      </c>
    </row>
    <row r="14" spans="1:11" ht="20.25" customHeight="1">
      <c r="A14" s="1478">
        <v>5</v>
      </c>
      <c r="B14" s="1479">
        <f>-'Part VI-Pro Forma'!$F26/12</f>
        <v>1819.1224957112138</v>
      </c>
      <c r="D14" s="1478">
        <v>5</v>
      </c>
      <c r="E14" s="1479">
        <f>-'Part VI-Pro Forma'!$F27/12</f>
        <v>1969.5010910337803</v>
      </c>
      <c r="G14" s="1478">
        <v>5</v>
      </c>
      <c r="H14" s="1479">
        <f>-'Part VI-Pro Forma'!$F28/12</f>
        <v>0</v>
      </c>
      <c r="J14" s="1478">
        <v>5</v>
      </c>
      <c r="K14" s="1479">
        <f>-'Part VI-Pro Forma'!$F29/12</f>
        <v>0</v>
      </c>
    </row>
    <row r="15" spans="1:11" ht="20.25" customHeight="1">
      <c r="A15" s="983">
        <v>6</v>
      </c>
      <c r="B15" s="984">
        <f>-'Part VI-Pro Forma'!$G26/12</f>
        <v>1819.1224957112138</v>
      </c>
      <c r="D15" s="983">
        <v>6</v>
      </c>
      <c r="E15" s="984">
        <f>-'Part VI-Pro Forma'!$G27/12</f>
        <v>1969.5010910337803</v>
      </c>
      <c r="G15" s="983">
        <v>6</v>
      </c>
      <c r="H15" s="984">
        <f>-'Part VI-Pro Forma'!$G28/12</f>
        <v>0</v>
      </c>
      <c r="J15" s="983">
        <v>6</v>
      </c>
      <c r="K15" s="984">
        <f>-'Part VI-Pro Forma'!$G29/12</f>
        <v>0</v>
      </c>
    </row>
    <row r="16" spans="1:11" ht="20.25" customHeight="1">
      <c r="A16" s="983">
        <v>7</v>
      </c>
      <c r="B16" s="984">
        <f>-'Part VI-Pro Forma'!$H26/12</f>
        <v>1819.1224957112138</v>
      </c>
      <c r="D16" s="983">
        <v>7</v>
      </c>
      <c r="E16" s="984">
        <f>-'Part VI-Pro Forma'!$H27/12</f>
        <v>1969.5010910337803</v>
      </c>
      <c r="G16" s="983">
        <v>7</v>
      </c>
      <c r="H16" s="984">
        <f>-'Part VI-Pro Forma'!$H28/12</f>
        <v>0</v>
      </c>
      <c r="J16" s="983">
        <v>7</v>
      </c>
      <c r="K16" s="984">
        <f>-'Part VI-Pro Forma'!$H29/12</f>
        <v>0</v>
      </c>
    </row>
    <row r="17" spans="1:11" ht="20.25" customHeight="1">
      <c r="A17" s="983">
        <v>8</v>
      </c>
      <c r="B17" s="984">
        <f>-'Part VI-Pro Forma'!$I26/12</f>
        <v>1819.1224957112138</v>
      </c>
      <c r="D17" s="983">
        <v>8</v>
      </c>
      <c r="E17" s="984">
        <f>-'Part VI-Pro Forma'!$I27/12</f>
        <v>1969.5010910337803</v>
      </c>
      <c r="G17" s="983">
        <v>8</v>
      </c>
      <c r="H17" s="984">
        <f>-'Part VI-Pro Forma'!$I28/12</f>
        <v>0</v>
      </c>
      <c r="J17" s="983">
        <v>8</v>
      </c>
      <c r="K17" s="984">
        <f>-'Part VI-Pro Forma'!$I29/12</f>
        <v>0</v>
      </c>
    </row>
    <row r="18" spans="1:11" ht="20.25" customHeight="1">
      <c r="A18" s="983">
        <v>9</v>
      </c>
      <c r="B18" s="984">
        <f>-'Part VI-Pro Forma'!$J26/12</f>
        <v>1819.1224957112138</v>
      </c>
      <c r="D18" s="983">
        <v>9</v>
      </c>
      <c r="E18" s="984">
        <f>-'Part VI-Pro Forma'!$J27/12</f>
        <v>1969.5010910337803</v>
      </c>
      <c r="G18" s="983">
        <v>9</v>
      </c>
      <c r="H18" s="984">
        <f>-'Part VI-Pro Forma'!$J28/12</f>
        <v>0</v>
      </c>
      <c r="J18" s="983">
        <v>9</v>
      </c>
      <c r="K18" s="984">
        <f>-'Part VI-Pro Forma'!$J29/12</f>
        <v>0</v>
      </c>
    </row>
    <row r="19" spans="1:11" ht="20.25" customHeight="1">
      <c r="A19" s="1478">
        <v>10</v>
      </c>
      <c r="B19" s="1479">
        <f>-'Part VI-Pro Forma'!$K26/12</f>
        <v>1819.1224957112138</v>
      </c>
      <c r="D19" s="1478">
        <v>10</v>
      </c>
      <c r="E19" s="1479">
        <f>-'Part VI-Pro Forma'!$K27/12</f>
        <v>1969.5010910337803</v>
      </c>
      <c r="G19" s="1478">
        <v>10</v>
      </c>
      <c r="H19" s="1479">
        <f>-'Part VI-Pro Forma'!$K28/12</f>
        <v>0</v>
      </c>
      <c r="J19" s="1478">
        <v>10</v>
      </c>
      <c r="K19" s="1479">
        <f>-'Part VI-Pro Forma'!$K29/12</f>
        <v>0</v>
      </c>
    </row>
    <row r="20" spans="1:11" ht="20.25" customHeight="1">
      <c r="A20" s="983">
        <v>11</v>
      </c>
      <c r="B20" s="984">
        <f>-'Part VI-Pro Forma'!$B58/12</f>
        <v>1819.1224957112138</v>
      </c>
      <c r="D20" s="983">
        <v>11</v>
      </c>
      <c r="E20" s="984">
        <f>-'Part VI-Pro Forma'!$B59/12</f>
        <v>1969.5010910337803</v>
      </c>
      <c r="G20" s="983">
        <v>11</v>
      </c>
      <c r="H20" s="984">
        <f>-'Part VI-Pro Forma'!$B60/12</f>
        <v>0</v>
      </c>
      <c r="J20" s="983">
        <v>11</v>
      </c>
      <c r="K20" s="984">
        <f>-'Part VI-Pro Forma'!$B61/12</f>
        <v>0</v>
      </c>
    </row>
    <row r="21" spans="1:11" ht="20.25" customHeight="1">
      <c r="A21" s="983">
        <v>12</v>
      </c>
      <c r="B21" s="984">
        <f>-'Part VI-Pro Forma'!$C58/12</f>
        <v>1819.1224957112138</v>
      </c>
      <c r="D21" s="983">
        <v>12</v>
      </c>
      <c r="E21" s="984">
        <f>-'Part VI-Pro Forma'!$C59/12</f>
        <v>1969.5010910337803</v>
      </c>
      <c r="G21" s="983">
        <v>12</v>
      </c>
      <c r="H21" s="984">
        <f>-'Part VI-Pro Forma'!$C60/12</f>
        <v>0</v>
      </c>
      <c r="J21" s="983">
        <v>12</v>
      </c>
      <c r="K21" s="984">
        <f>-'Part VI-Pro Forma'!$C61/12</f>
        <v>0</v>
      </c>
    </row>
    <row r="22" spans="1:11" ht="20.25" customHeight="1">
      <c r="A22" s="983">
        <v>13</v>
      </c>
      <c r="B22" s="984">
        <f>-'Part VI-Pro Forma'!$D58/12</f>
        <v>1819.1224957112138</v>
      </c>
      <c r="D22" s="983">
        <v>13</v>
      </c>
      <c r="E22" s="984">
        <f>-'Part VI-Pro Forma'!$D59/12</f>
        <v>1969.5010910337803</v>
      </c>
      <c r="G22" s="983">
        <v>13</v>
      </c>
      <c r="H22" s="984">
        <f>-'Part VI-Pro Forma'!$D60/12</f>
        <v>0</v>
      </c>
      <c r="J22" s="983">
        <v>13</v>
      </c>
      <c r="K22" s="984">
        <f>-'Part VI-Pro Forma'!$D61/12</f>
        <v>0</v>
      </c>
    </row>
    <row r="23" spans="1:11" ht="20.25" customHeight="1">
      <c r="A23" s="983">
        <v>14</v>
      </c>
      <c r="B23" s="984">
        <f>-'Part VI-Pro Forma'!$E58/12</f>
        <v>1819.1224957112138</v>
      </c>
      <c r="D23" s="983">
        <v>14</v>
      </c>
      <c r="E23" s="984">
        <f>-'Part VI-Pro Forma'!$E59/12</f>
        <v>1969.5010910337803</v>
      </c>
      <c r="G23" s="983">
        <v>14</v>
      </c>
      <c r="H23" s="984">
        <f>-'Part VI-Pro Forma'!$E60/12</f>
        <v>0</v>
      </c>
      <c r="J23" s="983">
        <v>14</v>
      </c>
      <c r="K23" s="984">
        <f>-'Part VI-Pro Forma'!$E61/12</f>
        <v>0</v>
      </c>
    </row>
    <row r="24" spans="1:11" ht="20.25" customHeight="1">
      <c r="A24" s="1478">
        <v>15</v>
      </c>
      <c r="B24" s="1479">
        <f>-'Part VI-Pro Forma'!$F58/12</f>
        <v>1819.1224957112138</v>
      </c>
      <c r="D24" s="1478">
        <v>15</v>
      </c>
      <c r="E24" s="1479">
        <f>-'Part VI-Pro Forma'!$F59/12</f>
        <v>1969.5010910337803</v>
      </c>
      <c r="G24" s="1478">
        <v>15</v>
      </c>
      <c r="H24" s="1479">
        <f>-'Part VI-Pro Forma'!$F60/12</f>
        <v>0</v>
      </c>
      <c r="J24" s="1478">
        <v>15</v>
      </c>
      <c r="K24" s="1479">
        <f>-'Part VI-Pro Forma'!$F61/12</f>
        <v>0</v>
      </c>
    </row>
    <row r="25" spans="1:11" ht="20.25" customHeight="1">
      <c r="A25" s="983">
        <v>16</v>
      </c>
      <c r="B25" s="984">
        <f>-'Part VI-Pro Forma'!$G58/12</f>
        <v>1819.1224957112138</v>
      </c>
      <c r="D25" s="983">
        <v>16</v>
      </c>
      <c r="E25" s="984">
        <f>-'Part VI-Pro Forma'!$G59/12</f>
        <v>1969.5010910337803</v>
      </c>
      <c r="G25" s="983">
        <v>16</v>
      </c>
      <c r="H25" s="984">
        <f>-'Part VI-Pro Forma'!$G60/12</f>
        <v>0</v>
      </c>
      <c r="J25" s="983">
        <v>16</v>
      </c>
      <c r="K25" s="984">
        <f>-'Part VI-Pro Forma'!$G61/12</f>
        <v>0</v>
      </c>
    </row>
    <row r="26" spans="1:11" ht="20.25" customHeight="1">
      <c r="A26" s="983">
        <v>17</v>
      </c>
      <c r="B26" s="984">
        <f>-'Part VI-Pro Forma'!$H58/12</f>
        <v>1819.1224957112138</v>
      </c>
      <c r="D26" s="983">
        <v>17</v>
      </c>
      <c r="E26" s="984">
        <f>-'Part VI-Pro Forma'!$H59/12</f>
        <v>1969.5010910337803</v>
      </c>
      <c r="G26" s="983">
        <v>17</v>
      </c>
      <c r="H26" s="984">
        <f>-'Part VI-Pro Forma'!$H60/12</f>
        <v>0</v>
      </c>
      <c r="J26" s="983">
        <v>17</v>
      </c>
      <c r="K26" s="984">
        <f>-'Part VI-Pro Forma'!$H61/12</f>
        <v>0</v>
      </c>
    </row>
    <row r="27" spans="1:11" ht="20.25" customHeight="1">
      <c r="A27" s="983">
        <v>18</v>
      </c>
      <c r="B27" s="984">
        <f>-'Part VI-Pro Forma'!$I58/12</f>
        <v>1819.1224957112138</v>
      </c>
      <c r="D27" s="983">
        <v>18</v>
      </c>
      <c r="E27" s="984">
        <f>-'Part VI-Pro Forma'!$I59/12</f>
        <v>1969.5010910337803</v>
      </c>
      <c r="G27" s="983">
        <v>18</v>
      </c>
      <c r="H27" s="984">
        <f>-'Part VI-Pro Forma'!$I60/12</f>
        <v>0</v>
      </c>
      <c r="J27" s="983">
        <v>18</v>
      </c>
      <c r="K27" s="984">
        <f>-'Part VI-Pro Forma'!$I61/12</f>
        <v>0</v>
      </c>
    </row>
    <row r="28" spans="1:11" ht="20.25" customHeight="1">
      <c r="A28" s="983">
        <v>19</v>
      </c>
      <c r="B28" s="984">
        <f>-'Part VI-Pro Forma'!$J58/12</f>
        <v>1819.1224957112138</v>
      </c>
      <c r="D28" s="983">
        <v>19</v>
      </c>
      <c r="E28" s="984">
        <f>-'Part VI-Pro Forma'!$J59/12</f>
        <v>1969.5010910337803</v>
      </c>
      <c r="G28" s="983">
        <v>19</v>
      </c>
      <c r="H28" s="984">
        <f>-'Part VI-Pro Forma'!$J60/12</f>
        <v>0</v>
      </c>
      <c r="J28" s="983">
        <v>19</v>
      </c>
      <c r="K28" s="984">
        <f>-'Part VI-Pro Forma'!$J61/12</f>
        <v>0</v>
      </c>
    </row>
    <row r="29" spans="1:11" ht="20.25" customHeight="1">
      <c r="A29" s="1478">
        <v>20</v>
      </c>
      <c r="B29" s="1479">
        <f>-'Part VI-Pro Forma'!$K58/12</f>
        <v>1819.1224957112138</v>
      </c>
      <c r="D29" s="1478">
        <v>20</v>
      </c>
      <c r="E29" s="1479">
        <f>-'Part VI-Pro Forma'!$K59/12</f>
        <v>1969.5010910337803</v>
      </c>
      <c r="G29" s="1478">
        <v>20</v>
      </c>
      <c r="H29" s="1479">
        <f>-'Part VI-Pro Forma'!$K60/12</f>
        <v>0</v>
      </c>
      <c r="J29" s="1478">
        <v>20</v>
      </c>
      <c r="K29" s="1479">
        <f>-'Part VI-Pro Forma'!$K61/12</f>
        <v>0</v>
      </c>
    </row>
    <row r="30" spans="1:11" ht="20.25" customHeight="1">
      <c r="A30" s="983">
        <v>21</v>
      </c>
      <c r="B30" s="984">
        <f>-'Part VI-Pro Forma'!$B90/12</f>
        <v>1819.1224957112138</v>
      </c>
      <c r="D30" s="983">
        <v>21</v>
      </c>
      <c r="E30" s="984">
        <f>-'Part VI-Pro Forma'!$B91/12</f>
        <v>1969.5010910337803</v>
      </c>
      <c r="G30" s="983">
        <v>21</v>
      </c>
      <c r="H30" s="984">
        <f>-'Part VI-Pro Forma'!$B92/12</f>
        <v>0</v>
      </c>
      <c r="J30" s="983">
        <v>21</v>
      </c>
      <c r="K30" s="984">
        <f>-'Part VI-Pro Forma'!$B93/12</f>
        <v>0</v>
      </c>
    </row>
    <row r="31" spans="1:11" ht="20.25" customHeight="1">
      <c r="A31" s="983">
        <v>22</v>
      </c>
      <c r="B31" s="984">
        <f>-'Part VI-Pro Forma'!$C90/12</f>
        <v>1819.1224957112138</v>
      </c>
      <c r="D31" s="983">
        <v>22</v>
      </c>
      <c r="E31" s="984">
        <f>-'Part VI-Pro Forma'!$C91/12</f>
        <v>1969.5010910337803</v>
      </c>
      <c r="G31" s="983">
        <v>22</v>
      </c>
      <c r="H31" s="984">
        <f>-'Part VI-Pro Forma'!$C92/12</f>
        <v>0</v>
      </c>
      <c r="J31" s="983">
        <v>22</v>
      </c>
      <c r="K31" s="984">
        <f>-'Part VI-Pro Forma'!$C93/12</f>
        <v>0</v>
      </c>
    </row>
    <row r="32" spans="1:11" ht="20.25" customHeight="1">
      <c r="A32" s="983">
        <v>23</v>
      </c>
      <c r="B32" s="984">
        <f>-'Part VI-Pro Forma'!$D90/12</f>
        <v>1819.1224957112138</v>
      </c>
      <c r="D32" s="983">
        <v>23</v>
      </c>
      <c r="E32" s="984">
        <f>-'Part VI-Pro Forma'!$D91/12</f>
        <v>1969.5010910337803</v>
      </c>
      <c r="G32" s="983">
        <v>23</v>
      </c>
      <c r="H32" s="984">
        <f>-'Part VI-Pro Forma'!$D92/12</f>
        <v>0</v>
      </c>
      <c r="J32" s="983">
        <v>23</v>
      </c>
      <c r="K32" s="984">
        <f>-'Part VI-Pro Forma'!$D93/12</f>
        <v>0</v>
      </c>
    </row>
    <row r="33" spans="1:11" ht="20.25" customHeight="1">
      <c r="A33" s="983">
        <v>24</v>
      </c>
      <c r="B33" s="984">
        <f>-'Part VI-Pro Forma'!$E90/12</f>
        <v>1819.1224957112138</v>
      </c>
      <c r="D33" s="983">
        <v>24</v>
      </c>
      <c r="E33" s="984">
        <f>-'Part VI-Pro Forma'!$E91/12</f>
        <v>1969.5010910337803</v>
      </c>
      <c r="G33" s="983">
        <v>24</v>
      </c>
      <c r="H33" s="984">
        <f>-'Part VI-Pro Forma'!$E92/12</f>
        <v>0</v>
      </c>
      <c r="J33" s="983">
        <v>24</v>
      </c>
      <c r="K33" s="984">
        <f>-'Part VI-Pro Forma'!$E93/12</f>
        <v>0</v>
      </c>
    </row>
    <row r="34" spans="1:11" ht="20.25" customHeight="1">
      <c r="A34" s="1478">
        <v>25</v>
      </c>
      <c r="B34" s="1479">
        <f>-'Part VI-Pro Forma'!$F90/12</f>
        <v>1819.1224957112138</v>
      </c>
      <c r="D34" s="1478">
        <v>25</v>
      </c>
      <c r="E34" s="1479">
        <f>-'Part VI-Pro Forma'!$F91/12</f>
        <v>1969.5010910337803</v>
      </c>
      <c r="G34" s="1478">
        <v>25</v>
      </c>
      <c r="H34" s="1479">
        <f>-'Part VI-Pro Forma'!$F92/12</f>
        <v>0</v>
      </c>
      <c r="J34" s="1478">
        <v>25</v>
      </c>
      <c r="K34" s="1479">
        <f>-'Part VI-Pro Forma'!$F93/12</f>
        <v>0</v>
      </c>
    </row>
    <row r="35" spans="1:11" ht="20.25" customHeight="1">
      <c r="A35" s="983">
        <v>26</v>
      </c>
      <c r="B35" s="984">
        <f>-'Part VI-Pro Forma'!$G90/12</f>
        <v>1819.1224957112138</v>
      </c>
      <c r="D35" s="983">
        <v>26</v>
      </c>
      <c r="E35" s="984">
        <f>-'Part VI-Pro Forma'!$G91/12</f>
        <v>1969.5010910337803</v>
      </c>
      <c r="G35" s="983">
        <v>26</v>
      </c>
      <c r="H35" s="984">
        <f>-'Part VI-Pro Forma'!$G92/12</f>
        <v>0</v>
      </c>
      <c r="J35" s="983">
        <v>26</v>
      </c>
      <c r="K35" s="984">
        <f>-'Part VI-Pro Forma'!$G93/12</f>
        <v>0</v>
      </c>
    </row>
    <row r="36" spans="1:11" ht="20.25" customHeight="1">
      <c r="A36" s="983">
        <v>27</v>
      </c>
      <c r="B36" s="984">
        <f>-'Part VI-Pro Forma'!$H90/12</f>
        <v>1819.1224957112138</v>
      </c>
      <c r="D36" s="983">
        <v>27</v>
      </c>
      <c r="E36" s="984">
        <f>-'Part VI-Pro Forma'!$H91/12</f>
        <v>1969.5010910337803</v>
      </c>
      <c r="G36" s="983">
        <v>27</v>
      </c>
      <c r="H36" s="984">
        <f>-'Part VI-Pro Forma'!$H92/12</f>
        <v>0</v>
      </c>
      <c r="J36" s="983">
        <v>27</v>
      </c>
      <c r="K36" s="984">
        <f>-'Part VI-Pro Forma'!$H93/12</f>
        <v>0</v>
      </c>
    </row>
    <row r="37" spans="1:11" ht="20.25" customHeight="1">
      <c r="A37" s="983">
        <v>28</v>
      </c>
      <c r="B37" s="984">
        <f>-'Part VI-Pro Forma'!$I90/12</f>
        <v>1819.1224957112138</v>
      </c>
      <c r="D37" s="983">
        <v>28</v>
      </c>
      <c r="E37" s="984">
        <f>-'Part VI-Pro Forma'!$I91/12</f>
        <v>1969.5010910337803</v>
      </c>
      <c r="G37" s="983">
        <v>28</v>
      </c>
      <c r="H37" s="984">
        <f>-'Part VI-Pro Forma'!$I92/12</f>
        <v>0</v>
      </c>
      <c r="J37" s="983">
        <v>28</v>
      </c>
      <c r="K37" s="984">
        <f>-'Part VI-Pro Forma'!$I93/12</f>
        <v>0</v>
      </c>
    </row>
    <row r="38" spans="1:11" ht="20.25" customHeight="1">
      <c r="A38" s="983">
        <v>29</v>
      </c>
      <c r="B38" s="984">
        <f>-'Part VI-Pro Forma'!$J90/12</f>
        <v>1819.1224957112138</v>
      </c>
      <c r="D38" s="983">
        <v>29</v>
      </c>
      <c r="E38" s="984">
        <f>-'Part VI-Pro Forma'!$J91/12</f>
        <v>1969.5010910337803</v>
      </c>
      <c r="G38" s="983">
        <v>29</v>
      </c>
      <c r="H38" s="984">
        <f>-'Part VI-Pro Forma'!$J92/12</f>
        <v>0</v>
      </c>
      <c r="J38" s="983">
        <v>29</v>
      </c>
      <c r="K38" s="984">
        <f>-'Part VI-Pro Forma'!$J93/12</f>
        <v>0</v>
      </c>
    </row>
    <row r="39" spans="1:11" ht="20.25" customHeight="1">
      <c r="A39" s="1478">
        <v>30</v>
      </c>
      <c r="B39" s="1479">
        <f>-'Part VI-Pro Forma'!$K90/12</f>
        <v>1819.1224957112138</v>
      </c>
      <c r="D39" s="1478">
        <v>30</v>
      </c>
      <c r="E39" s="1479">
        <f>-'Part VI-Pro Forma'!$K91/12</f>
        <v>1969.5010910337803</v>
      </c>
      <c r="G39" s="1478">
        <v>30</v>
      </c>
      <c r="H39" s="1479">
        <f>-'Part VI-Pro Forma'!$K92/12</f>
        <v>0</v>
      </c>
      <c r="J39" s="1478">
        <v>30</v>
      </c>
      <c r="K39" s="1479">
        <f>-'Part VI-Pro Forma'!$K93/12</f>
        <v>0</v>
      </c>
    </row>
    <row r="40" spans="1:11" ht="20.25" customHeight="1">
      <c r="A40" s="983">
        <v>31</v>
      </c>
      <c r="B40" s="984">
        <f>-'Part VI-Pro Forma'!$B120/12</f>
        <v>1819.1224957112138</v>
      </c>
      <c r="D40" s="983">
        <v>31</v>
      </c>
      <c r="E40" s="984">
        <f>-'Part VI-Pro Forma'!$B121/12</f>
        <v>1969.5010910337803</v>
      </c>
      <c r="G40" s="983">
        <v>31</v>
      </c>
      <c r="H40" s="984">
        <f>-'Part VI-Pro Forma'!$B122/12</f>
        <v>0</v>
      </c>
      <c r="J40" s="983">
        <v>31</v>
      </c>
      <c r="K40" s="984">
        <f>-'Part VI-Pro Forma'!$B123/12</f>
        <v>0</v>
      </c>
    </row>
    <row r="41" spans="1:11" ht="20.25" customHeight="1">
      <c r="A41" s="983">
        <v>32</v>
      </c>
      <c r="B41" s="984">
        <f>-'Part VI-Pro Forma'!$C120/12</f>
        <v>1819.1224957112138</v>
      </c>
      <c r="D41" s="983">
        <v>32</v>
      </c>
      <c r="E41" s="984">
        <f>-'Part VI-Pro Forma'!$C121/12</f>
        <v>1969.5010910337803</v>
      </c>
      <c r="G41" s="983">
        <v>32</v>
      </c>
      <c r="H41" s="984">
        <f>-'Part VI-Pro Forma'!$C122/12</f>
        <v>0</v>
      </c>
      <c r="J41" s="983">
        <v>32</v>
      </c>
      <c r="K41" s="984">
        <f>-'Part VI-Pro Forma'!$C123/12</f>
        <v>0</v>
      </c>
    </row>
    <row r="42" spans="1:11" ht="20.25" customHeight="1">
      <c r="A42" s="983">
        <v>33</v>
      </c>
      <c r="B42" s="984">
        <f>-'Part VI-Pro Forma'!$D120/12</f>
        <v>1819.1224957112138</v>
      </c>
      <c r="D42" s="983">
        <v>33</v>
      </c>
      <c r="E42" s="984">
        <f>-'Part VI-Pro Forma'!$D121/12</f>
        <v>1969.5010910337803</v>
      </c>
      <c r="G42" s="983">
        <v>33</v>
      </c>
      <c r="H42" s="984">
        <f>-'Part VI-Pro Forma'!$D122/12</f>
        <v>0</v>
      </c>
      <c r="J42" s="983">
        <v>33</v>
      </c>
      <c r="K42" s="984">
        <f>-'Part VI-Pro Forma'!$D123/12</f>
        <v>0</v>
      </c>
    </row>
    <row r="43" spans="1:11" ht="20.25" customHeight="1">
      <c r="A43" s="983">
        <v>34</v>
      </c>
      <c r="B43" s="984">
        <f>-'Part VI-Pro Forma'!$E120/12</f>
        <v>1819.1224957112138</v>
      </c>
      <c r="D43" s="983">
        <v>34</v>
      </c>
      <c r="E43" s="984">
        <f>-'Part VI-Pro Forma'!$E121/12</f>
        <v>1969.5010910337803</v>
      </c>
      <c r="G43" s="983">
        <v>34</v>
      </c>
      <c r="H43" s="984">
        <f>-'Part VI-Pro Forma'!$E122/12</f>
        <v>0</v>
      </c>
      <c r="J43" s="983">
        <v>34</v>
      </c>
      <c r="K43" s="984">
        <f>-'Part VI-Pro Forma'!$E123/12</f>
        <v>0</v>
      </c>
    </row>
    <row r="44" spans="1:11" ht="20.25" customHeight="1">
      <c r="A44" s="983">
        <v>35</v>
      </c>
      <c r="B44" s="984">
        <f>-'Part VI-Pro Forma'!$F120/12</f>
        <v>1819.1224957112138</v>
      </c>
      <c r="D44" s="983">
        <v>35</v>
      </c>
      <c r="E44" s="984">
        <f>-'Part VI-Pro Forma'!$F121/12</f>
        <v>1969.5010910337803</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Hillmont Apartments</v>
      </c>
      <c r="B1" s="4773"/>
      <c r="C1" s="4773"/>
      <c r="D1" s="4773"/>
      <c r="E1" s="4773"/>
      <c r="F1" s="4773"/>
      <c r="G1" s="4773"/>
      <c r="H1" s="4773"/>
    </row>
    <row r="3" spans="1:11" ht="12" customHeight="1">
      <c r="A3" s="4774" t="s">
        <v>3104</v>
      </c>
      <c r="B3" s="4774"/>
      <c r="C3" s="4774"/>
      <c r="D3" s="4774"/>
      <c r="E3" s="4774"/>
      <c r="F3" s="4774"/>
      <c r="G3" s="4774"/>
      <c r="H3" s="4774"/>
      <c r="I3" s="1027"/>
      <c r="J3" s="4776" t="s">
        <v>3458</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3463</v>
      </c>
      <c r="E11" s="4777"/>
      <c r="F11" s="4777"/>
      <c r="G11" s="4777"/>
      <c r="H11" s="4777"/>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Hillmont Apartments</v>
      </c>
    </row>
    <row r="16" spans="1:11" ht="12" customHeight="1">
      <c r="C16" s="432" t="s">
        <v>2744</v>
      </c>
      <c r="E16" s="4777"/>
      <c r="F16" s="4777"/>
      <c r="G16" s="4777"/>
      <c r="H16" s="4777"/>
    </row>
    <row r="17" spans="1:8" ht="12" customHeight="1">
      <c r="E17" s="438" t="str">
        <f>'Part I-Project Identification'!$F$26</f>
        <v>Lake Park</v>
      </c>
      <c r="F17" s="609" t="s">
        <v>791</v>
      </c>
      <c r="G17" s="4778" t="s">
        <v>6750</v>
      </c>
      <c r="H17" s="4778"/>
    </row>
    <row r="18" spans="1:8" ht="12" customHeight="1">
      <c r="E18" s="620" t="str">
        <f>(CONCATENATE('Part I-Project Identification'!$J$26," County"))</f>
        <v>Lowndes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3459</v>
      </c>
      <c r="E23" s="1991"/>
    </row>
    <row r="24" spans="1:8" ht="12" customHeight="1">
      <c r="C24" s="432" t="s">
        <v>3462</v>
      </c>
      <c r="E24" s="1991"/>
    </row>
    <row r="25" spans="1:8" ht="12" customHeight="1">
      <c r="C25" s="432" t="s">
        <v>3463</v>
      </c>
      <c r="E25" s="4777"/>
      <c r="F25" s="4777"/>
      <c r="G25" s="4777"/>
      <c r="H25" s="4777"/>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858647</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3465</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43</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565578.04003258771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107163</v>
      </c>
    </row>
    <row r="75" spans="1:7" ht="3" customHeight="1">
      <c r="F75" s="1038"/>
    </row>
    <row r="76" spans="1:7" ht="12" customHeight="1">
      <c r="A76" s="432">
        <v>26</v>
      </c>
      <c r="C76" s="432" t="s">
        <v>2775</v>
      </c>
      <c r="F76" s="1038">
        <f>'Part III-A-Uses of Funds'!$G$132</f>
        <v>15050</v>
      </c>
    </row>
    <row r="77" spans="1:7" ht="3" customHeight="1">
      <c r="F77" s="1038"/>
    </row>
    <row r="78" spans="1:7" ht="12" customHeight="1">
      <c r="A78" s="432">
        <v>27</v>
      </c>
      <c r="C78" s="432" t="s">
        <v>2776</v>
      </c>
      <c r="F78" s="1038">
        <f>'Part III-A-Uses of Funds'!$G$130</f>
        <v>42216</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2960</v>
      </c>
      <c r="B1" s="4782"/>
      <c r="C1" s="4782"/>
      <c r="D1" s="4782"/>
      <c r="E1" s="4782"/>
      <c r="F1" s="4782"/>
      <c r="G1" s="4782"/>
      <c r="H1" s="4782"/>
      <c r="I1" s="4782"/>
      <c r="J1" s="4782"/>
    </row>
    <row r="2" spans="1:13" ht="15">
      <c r="A2" s="4782" t="str">
        <f>'Sensitivity Analysis'!E8&amp;"  "&amp;'Sensitivity Analysis'!C8</f>
        <v>2023-0  Hillmont Apartments</v>
      </c>
      <c r="B2" s="4782"/>
      <c r="C2" s="4782"/>
      <c r="D2" s="4782"/>
      <c r="E2" s="4782"/>
      <c r="F2" s="4782"/>
      <c r="G2" s="4782"/>
      <c r="H2" s="4782"/>
      <c r="I2" s="4782"/>
      <c r="J2" s="4782"/>
    </row>
    <row r="3" spans="1:13" ht="6" customHeight="1">
      <c r="K3" s="4776" t="s">
        <v>3458</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Hillmont Apartments</v>
      </c>
      <c r="I28" s="560"/>
    </row>
    <row r="29" spans="1:9" ht="3" customHeight="1">
      <c r="C29" s="613"/>
      <c r="I29" s="560"/>
    </row>
    <row r="30" spans="1:9" ht="12" customHeight="1">
      <c r="A30" s="432" t="s">
        <v>2791</v>
      </c>
      <c r="C30" s="613">
        <f>'Preview term'!E16</f>
        <v>0</v>
      </c>
      <c r="I30" s="560"/>
    </row>
    <row r="31" spans="1:9">
      <c r="C31" s="560" t="str">
        <f>'Preview term'!E17</f>
        <v>Lake Park</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6165</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3108</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Lowndes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3109</v>
      </c>
      <c r="E53" s="4786"/>
      <c r="F53" s="4786"/>
      <c r="G53" s="4786"/>
      <c r="H53" s="4786"/>
      <c r="I53" s="4786"/>
      <c r="J53" s="4786"/>
    </row>
    <row r="54" spans="1:10" ht="12" customHeight="1">
      <c r="A54" s="617"/>
      <c r="B54" s="617"/>
      <c r="C54" s="617"/>
      <c r="D54" s="619" t="s">
        <v>3110</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858647</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360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565578.04003258771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Rural Development</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USDA Rural Development</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6169</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545279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1"/>
      <c r="F166" s="4781"/>
      <c r="G166" s="4781"/>
      <c r="I166" s="560"/>
    </row>
    <row r="167" spans="1:9" ht="3" customHeight="1">
      <c r="E167" s="560"/>
      <c r="G167" s="560"/>
      <c r="I167" s="560"/>
    </row>
    <row r="168" spans="1:9" ht="12" customHeight="1">
      <c r="A168" s="432" t="s">
        <v>2866</v>
      </c>
      <c r="C168" s="432" t="s">
        <v>2867</v>
      </c>
      <c r="E168" s="632">
        <f>'Preview term'!F74</f>
        <v>107163</v>
      </c>
      <c r="G168" s="560"/>
      <c r="I168" s="560"/>
    </row>
    <row r="169" spans="1:9" ht="12" customHeight="1">
      <c r="C169" s="432" t="s">
        <v>3115</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15050</v>
      </c>
      <c r="G172" s="560"/>
      <c r="I172" s="560"/>
    </row>
    <row r="173" spans="1:9" ht="12" customHeight="1">
      <c r="C173" s="432" t="s">
        <v>2869</v>
      </c>
      <c r="E173" s="632">
        <f>'Preview term'!F76</f>
        <v>15050</v>
      </c>
      <c r="G173" s="560"/>
      <c r="I173" s="560"/>
    </row>
    <row r="174" spans="1:9" ht="12" customHeight="1">
      <c r="C174" s="432" t="s">
        <v>2870</v>
      </c>
      <c r="E174" s="632">
        <f>'Part V-Revenues &amp; Expenses'!Q234</f>
        <v>15050</v>
      </c>
      <c r="F174" s="560" t="s">
        <v>2871</v>
      </c>
    </row>
    <row r="175" spans="1:9">
      <c r="E175" s="632">
        <f>E174/12</f>
        <v>1254.1666666666667</v>
      </c>
      <c r="F175" s="560" t="s">
        <v>2736</v>
      </c>
    </row>
    <row r="176" spans="1:9" ht="12" customHeight="1">
      <c r="C176" s="432" t="s">
        <v>3116</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42216</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6153</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6156</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6" t="str">
        <f>'Part I-Project Identification'!F25</f>
        <v>Hillmont Apartments</v>
      </c>
      <c r="E3" s="4167"/>
      <c r="F3" s="4167"/>
      <c r="G3" s="4167"/>
      <c r="H3" s="4167"/>
      <c r="I3" s="4167"/>
      <c r="J3" s="4820" t="s">
        <v>3970</v>
      </c>
      <c r="K3" s="4821"/>
    </row>
    <row r="4" spans="1:11" ht="15" customHeight="1">
      <c r="A4" s="1332" t="s">
        <v>3968</v>
      </c>
      <c r="B4" s="1333"/>
      <c r="C4" s="1334"/>
      <c r="D4" s="4816">
        <f>'Preview term'!$E$16</f>
        <v>0</v>
      </c>
      <c r="E4" s="4817"/>
      <c r="F4" s="4817"/>
      <c r="G4" s="4817"/>
      <c r="H4" s="4817"/>
      <c r="I4" s="4817"/>
      <c r="J4" s="4172" t="s">
        <v>4009</v>
      </c>
      <c r="K4" s="4173"/>
    </row>
    <row r="5" spans="1:11" ht="15" customHeight="1" thickBot="1">
      <c r="A5" s="1335" t="s">
        <v>3969</v>
      </c>
      <c r="B5" s="1336"/>
      <c r="C5" s="1337"/>
      <c r="D5" s="4818"/>
      <c r="E5" s="4819"/>
      <c r="F5" s="4819"/>
      <c r="G5" s="4819"/>
      <c r="H5" s="4819"/>
      <c r="I5" s="4819"/>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365">
        <v>1</v>
      </c>
      <c r="D8" s="1352" t="s">
        <v>3972</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365">
        <v>2</v>
      </c>
      <c r="D11" s="1352" t="s">
        <v>3974</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366">
        <v>3</v>
      </c>
      <c r="D14" s="1356" t="s">
        <v>3976</v>
      </c>
      <c r="E14" s="1356"/>
      <c r="F14" s="1356"/>
      <c r="G14" s="1356"/>
      <c r="H14" s="1356"/>
      <c r="I14" s="1356"/>
      <c r="J14" s="4793"/>
      <c r="K14" s="4794"/>
    </row>
    <row r="15" spans="1:11" ht="14.25" customHeight="1">
      <c r="A15" s="1333"/>
      <c r="B15" s="1333"/>
      <c r="C15" s="1367">
        <v>4</v>
      </c>
      <c r="D15" s="1333" t="s">
        <v>3977</v>
      </c>
      <c r="E15" s="1333"/>
      <c r="F15" s="1333"/>
      <c r="G15" s="1333"/>
      <c r="H15" s="1333"/>
      <c r="I15" s="1333"/>
      <c r="J15" s="4791"/>
      <c r="K15" s="4792"/>
    </row>
    <row r="16" spans="1:11" ht="14.25" customHeight="1">
      <c r="A16" s="1333"/>
      <c r="B16" s="1333"/>
      <c r="C16" s="1367">
        <v>5</v>
      </c>
      <c r="D16" s="1333" t="s">
        <v>3978</v>
      </c>
      <c r="E16" s="1333"/>
      <c r="F16" s="1333"/>
      <c r="G16" s="1333"/>
      <c r="H16" s="1333"/>
      <c r="I16" s="1333"/>
      <c r="J16" s="4791"/>
      <c r="K16" s="4792"/>
    </row>
    <row r="17" spans="1:13" ht="14.25" customHeight="1">
      <c r="A17" s="1333"/>
      <c r="B17" s="1333"/>
      <c r="C17" s="1368">
        <v>6</v>
      </c>
      <c r="D17" s="1336" t="s">
        <v>3979</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3980</v>
      </c>
      <c r="E19" s="1356"/>
      <c r="F19" s="1356"/>
      <c r="G19" s="1356"/>
      <c r="H19" s="1356"/>
      <c r="I19" s="1356"/>
      <c r="J19" s="4115" t="str">
        <f>IF(J17="No",J14-J15,IF(J17="Yes",J14-J15-J16,"Error"))</f>
        <v>Error</v>
      </c>
      <c r="K19" s="4116"/>
    </row>
    <row r="20" spans="1:13" ht="14.25" customHeight="1">
      <c r="A20" s="1333"/>
      <c r="B20" s="1333"/>
      <c r="C20" s="1368">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805" t="s">
        <v>3970</v>
      </c>
      <c r="C31" s="4805"/>
      <c r="D31" s="4805"/>
      <c r="E31" s="4805"/>
      <c r="F31" s="4805"/>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810" t="s">
        <v>3996</v>
      </c>
      <c r="H57" s="4811"/>
      <c r="I57" s="4136" t="s">
        <v>4010</v>
      </c>
      <c r="J57" s="4137"/>
      <c r="K57" s="4140"/>
    </row>
    <row r="58" spans="1:13" ht="15" customHeight="1">
      <c r="A58" s="1465"/>
      <c r="B58" s="1381"/>
      <c r="C58" s="1359">
        <f>SUMIF(C33:C51, "0", H33:H51)</f>
        <v>0</v>
      </c>
      <c r="D58" s="1484">
        <f t="shared" ref="D58:D63" si="4">ROUNDUP(C58*1.1,0)</f>
        <v>0</v>
      </c>
      <c r="E58" s="4142" t="s">
        <v>3997</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3998</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3999</v>
      </c>
      <c r="F63" s="4134"/>
      <c r="G63" s="4806">
        <f>'DCA Underwriting Assumptions'!H133</f>
        <v>316236</v>
      </c>
      <c r="H63" s="4807"/>
      <c r="I63" s="4135">
        <f t="shared" si="5"/>
        <v>0</v>
      </c>
      <c r="J63" s="413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Hillmont Apartments</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21241.051200000002</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6749165</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4080</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4085</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4083</v>
      </c>
      <c r="E33" s="4822" t="s">
        <v>3121</v>
      </c>
      <c r="F33" s="4822"/>
      <c r="G33" s="4822"/>
      <c r="H33" s="4822"/>
    </row>
    <row r="34" spans="1:11" ht="12.75" customHeight="1">
      <c r="C34" s="1450"/>
      <c r="D34" s="1448" t="s">
        <v>2984</v>
      </c>
      <c r="E34" s="4825" t="s">
        <v>3122</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4083</v>
      </c>
      <c r="E38" s="4822" t="s">
        <v>3121</v>
      </c>
      <c r="F38" s="4822"/>
      <c r="G38" s="4822"/>
      <c r="H38" s="4822"/>
    </row>
    <row r="39" spans="1:11" ht="12.75" customHeight="1">
      <c r="C39" s="1450"/>
      <c r="D39" s="1448" t="s">
        <v>2984</v>
      </c>
      <c r="E39" s="4825" t="s">
        <v>3122</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4083</v>
      </c>
      <c r="E43" s="4822" t="s">
        <v>3121</v>
      </c>
      <c r="F43" s="4822"/>
      <c r="G43" s="4822"/>
      <c r="H43" s="4822"/>
    </row>
    <row r="44" spans="1:11" ht="12.75" customHeight="1">
      <c r="C44" s="1450"/>
      <c r="D44" s="1448" t="s">
        <v>2984</v>
      </c>
      <c r="E44" s="4825" t="s">
        <v>3122</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4083</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4083</v>
      </c>
      <c r="E55" s="4822" t="s">
        <v>3121</v>
      </c>
      <c r="F55" s="4822"/>
      <c r="G55" s="4822"/>
      <c r="H55" s="4822"/>
    </row>
    <row r="56" spans="1:11" ht="12.75" customHeight="1">
      <c r="C56" s="1450"/>
      <c r="D56" s="1448" t="s">
        <v>2984</v>
      </c>
      <c r="E56" s="4825" t="s">
        <v>3122</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4083</v>
      </c>
      <c r="E60" s="4822" t="s">
        <v>3121</v>
      </c>
      <c r="F60" s="4822"/>
      <c r="G60" s="4822"/>
      <c r="H60" s="4822"/>
    </row>
    <row r="61" spans="1:11" ht="12.75" customHeight="1">
      <c r="C61" s="1450"/>
      <c r="D61" s="1448" t="s">
        <v>2984</v>
      </c>
      <c r="E61" s="4825" t="s">
        <v>3122</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4083</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4083</v>
      </c>
      <c r="E72" s="4822" t="s">
        <v>3121</v>
      </c>
      <c r="F72" s="4822"/>
      <c r="G72" s="4822"/>
      <c r="H72" s="4822"/>
    </row>
    <row r="73" spans="1:8" ht="12.75" customHeight="1">
      <c r="C73" s="1450"/>
      <c r="D73" s="1448" t="s">
        <v>2984</v>
      </c>
      <c r="E73" s="4825" t="s">
        <v>3122</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4083</v>
      </c>
      <c r="E77" s="4822" t="s">
        <v>3121</v>
      </c>
      <c r="F77" s="4822"/>
      <c r="G77" s="4822"/>
      <c r="H77" s="4822"/>
    </row>
    <row r="78" spans="1:8" ht="12.75" customHeight="1">
      <c r="C78" s="1450"/>
      <c r="D78" s="1448" t="s">
        <v>2984</v>
      </c>
      <c r="E78" s="4825" t="s">
        <v>3122</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4083</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4083</v>
      </c>
      <c r="E89" s="4822" t="s">
        <v>3121</v>
      </c>
      <c r="F89" s="4822"/>
      <c r="G89" s="4822"/>
      <c r="H89" s="4822"/>
    </row>
    <row r="90" spans="3:8" ht="12.75" customHeight="1">
      <c r="C90" s="1450"/>
      <c r="D90" s="1448" t="s">
        <v>2984</v>
      </c>
      <c r="E90" s="4825" t="s">
        <v>3122</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4083</v>
      </c>
      <c r="E94" s="4822" t="s">
        <v>3121</v>
      </c>
      <c r="F94" s="4822"/>
      <c r="G94" s="4822"/>
      <c r="H94" s="4822"/>
    </row>
    <row r="95" spans="3:8" ht="12.75" customHeight="1">
      <c r="C95" s="1450"/>
      <c r="D95" s="1448" t="s">
        <v>2984</v>
      </c>
      <c r="E95" s="4825" t="s">
        <v>3122</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4086</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4083</v>
      </c>
      <c r="E112" s="4822" t="s">
        <v>3121</v>
      </c>
      <c r="F112" s="4822"/>
      <c r="G112" s="4822"/>
      <c r="H112" s="4822"/>
    </row>
    <row r="113" spans="1:8" ht="12.75" customHeight="1">
      <c r="C113" s="1450"/>
      <c r="D113" s="1448" t="s">
        <v>2984</v>
      </c>
      <c r="E113" s="4825" t="s">
        <v>3122</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4083</v>
      </c>
      <c r="E117" s="4822" t="s">
        <v>3121</v>
      </c>
      <c r="F117" s="4822"/>
      <c r="G117" s="4822"/>
      <c r="H117" s="4822"/>
    </row>
    <row r="118" spans="1:8" ht="12.75" customHeight="1">
      <c r="C118" s="1450"/>
      <c r="D118" s="1448" t="s">
        <v>2984</v>
      </c>
      <c r="E118" s="4825" t="s">
        <v>3122</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4083</v>
      </c>
      <c r="E122" s="4822" t="s">
        <v>3121</v>
      </c>
      <c r="F122" s="4822"/>
      <c r="G122" s="4822"/>
      <c r="H122" s="4822"/>
    </row>
    <row r="123" spans="1:8" ht="12.75" customHeight="1">
      <c r="C123" s="1450"/>
      <c r="D123" s="1448" t="s">
        <v>2984</v>
      </c>
      <c r="E123" s="4825" t="s">
        <v>3122</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4083</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4083</v>
      </c>
      <c r="E134" s="4822" t="s">
        <v>3121</v>
      </c>
      <c r="F134" s="4822"/>
      <c r="G134" s="4822"/>
      <c r="H134" s="4822"/>
    </row>
    <row r="135" spans="1:8" ht="12.75" customHeight="1">
      <c r="C135" s="1450"/>
      <c r="D135" s="1448" t="s">
        <v>2984</v>
      </c>
      <c r="E135" s="4825" t="s">
        <v>3122</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4083</v>
      </c>
      <c r="E139" s="4822" t="s">
        <v>3121</v>
      </c>
      <c r="F139" s="4822"/>
      <c r="G139" s="4822"/>
      <c r="H139" s="4822"/>
    </row>
    <row r="140" spans="1:8" ht="12.75" customHeight="1">
      <c r="C140" s="1450"/>
      <c r="D140" s="1448" t="s">
        <v>2984</v>
      </c>
      <c r="E140" s="4825" t="s">
        <v>3122</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4083</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4083</v>
      </c>
      <c r="E151" s="4822" t="s">
        <v>3121</v>
      </c>
      <c r="F151" s="4822"/>
      <c r="G151" s="4822"/>
      <c r="H151" s="4822"/>
    </row>
    <row r="152" spans="1:8" ht="12.75" customHeight="1">
      <c r="C152" s="1450"/>
      <c r="D152" s="1448" t="s">
        <v>2984</v>
      </c>
      <c r="E152" s="4825" t="s">
        <v>3122</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4083</v>
      </c>
      <c r="E156" s="4822" t="s">
        <v>3121</v>
      </c>
      <c r="F156" s="4822"/>
      <c r="G156" s="4822"/>
      <c r="H156" s="4822"/>
    </row>
    <row r="157" spans="1:8" ht="12.75" customHeight="1">
      <c r="C157" s="1450"/>
      <c r="D157" s="1448" t="s">
        <v>2984</v>
      </c>
      <c r="E157" s="4825" t="s">
        <v>3122</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4083</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4083</v>
      </c>
      <c r="E168" s="4822" t="s">
        <v>3121</v>
      </c>
      <c r="F168" s="4822"/>
      <c r="G168" s="4822"/>
      <c r="H168" s="4822"/>
    </row>
    <row r="169" spans="1:8" ht="12.75" customHeight="1">
      <c r="C169" s="1450"/>
      <c r="D169" s="1448" t="s">
        <v>2984</v>
      </c>
      <c r="E169" s="4825" t="s">
        <v>3122</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4083</v>
      </c>
      <c r="E173" s="4822" t="s">
        <v>3121</v>
      </c>
      <c r="F173" s="4822"/>
      <c r="G173" s="4822"/>
      <c r="H173" s="4822"/>
    </row>
    <row r="174" spans="1:8" ht="12.75" customHeight="1">
      <c r="C174" s="1450"/>
      <c r="D174" s="1448" t="s">
        <v>2984</v>
      </c>
      <c r="E174" s="4825" t="s">
        <v>3122</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4087</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4083</v>
      </c>
      <c r="E191" s="4822" t="s">
        <v>3121</v>
      </c>
      <c r="F191" s="4822"/>
      <c r="G191" s="4822"/>
      <c r="H191" s="4822"/>
    </row>
    <row r="192" spans="1:11" ht="12.75" customHeight="1">
      <c r="C192" s="1450"/>
      <c r="D192" s="1448" t="s">
        <v>2984</v>
      </c>
      <c r="E192" s="4825" t="s">
        <v>3122</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4083</v>
      </c>
      <c r="E196" s="4822" t="s">
        <v>3121</v>
      </c>
      <c r="F196" s="4822"/>
      <c r="G196" s="4822"/>
      <c r="H196" s="4822"/>
    </row>
    <row r="197" spans="1:8" ht="12.75" customHeight="1">
      <c r="C197" s="1450"/>
      <c r="D197" s="1448" t="s">
        <v>2984</v>
      </c>
      <c r="E197" s="4825" t="s">
        <v>3122</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4083</v>
      </c>
      <c r="E201" s="4822" t="s">
        <v>3121</v>
      </c>
      <c r="F201" s="4822"/>
      <c r="G201" s="4822"/>
      <c r="H201" s="4822"/>
    </row>
    <row r="202" spans="1:8" ht="12.75" customHeight="1">
      <c r="C202" s="1450"/>
      <c r="D202" s="1448" t="s">
        <v>2984</v>
      </c>
      <c r="E202" s="4825" t="s">
        <v>3122</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4083</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4083</v>
      </c>
      <c r="E213" s="4822" t="s">
        <v>3121</v>
      </c>
      <c r="F213" s="4822"/>
      <c r="G213" s="4822"/>
      <c r="H213" s="4822"/>
    </row>
    <row r="214" spans="1:8" ht="12.75" customHeight="1">
      <c r="C214" s="1450"/>
      <c r="D214" s="1448" t="s">
        <v>2984</v>
      </c>
      <c r="E214" s="4825" t="s">
        <v>3122</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4083</v>
      </c>
      <c r="E218" s="4822" t="s">
        <v>3121</v>
      </c>
      <c r="F218" s="4822"/>
      <c r="G218" s="4822"/>
      <c r="H218" s="4822"/>
    </row>
    <row r="219" spans="1:8" ht="12.75" customHeight="1">
      <c r="C219" s="1450"/>
      <c r="D219" s="1448" t="s">
        <v>2984</v>
      </c>
      <c r="E219" s="4825" t="s">
        <v>3122</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4083</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4083</v>
      </c>
      <c r="E230" s="4822" t="s">
        <v>3121</v>
      </c>
      <c r="F230" s="4822"/>
      <c r="G230" s="4822"/>
      <c r="H230" s="4822"/>
    </row>
    <row r="231" spans="1:8" ht="12.75" customHeight="1">
      <c r="C231" s="1450"/>
      <c r="D231" s="1448" t="s">
        <v>2984</v>
      </c>
      <c r="E231" s="4825" t="s">
        <v>3122</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4083</v>
      </c>
      <c r="E235" s="4822" t="s">
        <v>3121</v>
      </c>
      <c r="F235" s="4822"/>
      <c r="G235" s="4822"/>
      <c r="H235" s="4822"/>
    </row>
    <row r="236" spans="1:8" ht="12.75" customHeight="1">
      <c r="C236" s="1450"/>
      <c r="D236" s="1448" t="s">
        <v>2984</v>
      </c>
      <c r="E236" s="4825" t="s">
        <v>3122</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4083</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4083</v>
      </c>
      <c r="E247" s="4822" t="s">
        <v>3121</v>
      </c>
      <c r="F247" s="4822"/>
      <c r="G247" s="4822"/>
      <c r="H247" s="4822"/>
    </row>
    <row r="248" spans="1:8" ht="12.75" customHeight="1">
      <c r="C248" s="1450"/>
      <c r="D248" s="1448" t="s">
        <v>2984</v>
      </c>
      <c r="E248" s="4825" t="s">
        <v>3122</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4083</v>
      </c>
      <c r="E252" s="4822" t="s">
        <v>3121</v>
      </c>
      <c r="F252" s="4822"/>
      <c r="G252" s="4822"/>
      <c r="H252" s="4822"/>
    </row>
    <row r="253" spans="1:8" ht="12.75" customHeight="1">
      <c r="C253" s="1450"/>
      <c r="D253" s="1448" t="s">
        <v>2984</v>
      </c>
      <c r="E253" s="4825" t="s">
        <v>3122</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4084</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4083</v>
      </c>
      <c r="E270" s="4822" t="s">
        <v>3121</v>
      </c>
      <c r="F270" s="4822"/>
      <c r="G270" s="4822"/>
      <c r="H270" s="4822"/>
    </row>
    <row r="271" spans="1:11" ht="12.75" customHeight="1">
      <c r="C271" s="1450"/>
      <c r="D271" s="1448" t="s">
        <v>2984</v>
      </c>
      <c r="E271" s="4825" t="s">
        <v>3122</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4083</v>
      </c>
      <c r="E275" s="4822" t="s">
        <v>3121</v>
      </c>
      <c r="F275" s="4822"/>
      <c r="G275" s="4822"/>
      <c r="H275" s="4822"/>
    </row>
    <row r="276" spans="1:8" ht="12.75" customHeight="1">
      <c r="C276" s="1450"/>
      <c r="D276" s="1448" t="s">
        <v>2984</v>
      </c>
      <c r="E276" s="4825" t="s">
        <v>3122</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4083</v>
      </c>
      <c r="E280" s="4822" t="s">
        <v>3121</v>
      </c>
      <c r="F280" s="4822"/>
      <c r="G280" s="4822"/>
      <c r="H280" s="4822"/>
    </row>
    <row r="281" spans="1:8" ht="12.75" customHeight="1">
      <c r="C281" s="1450"/>
      <c r="D281" s="1448" t="s">
        <v>2984</v>
      </c>
      <c r="E281" s="4825" t="s">
        <v>3122</v>
      </c>
      <c r="F281" s="4825"/>
      <c r="G281" s="4825"/>
      <c r="H281" s="4825"/>
    </row>
    <row r="282" spans="1:8" ht="6" customHeight="1">
      <c r="D282" s="639"/>
      <c r="E282" s="1025"/>
      <c r="F282" s="1025"/>
      <c r="G282" s="1025"/>
      <c r="H282" s="1025"/>
    </row>
    <row r="283" spans="1:8">
      <c r="A283" s="620" t="s">
        <v>2980</v>
      </c>
      <c r="B283" s="637">
        <f>IF('Part V-Revenues &amp; Expenses'!$L$59=0,"",'Part V-Revenues &amp; Expenses'!$L$59)</f>
        <v>9</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4083</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4083</v>
      </c>
      <c r="E292" s="4822" t="s">
        <v>3121</v>
      </c>
      <c r="F292" s="4822"/>
      <c r="G292" s="4822"/>
      <c r="H292" s="4822"/>
    </row>
    <row r="293" spans="1:8" ht="12.75" customHeight="1">
      <c r="C293" s="1450"/>
      <c r="D293" s="1448" t="s">
        <v>2984</v>
      </c>
      <c r="E293" s="4825" t="s">
        <v>3122</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4083</v>
      </c>
      <c r="E297" s="4822" t="s">
        <v>3121</v>
      </c>
      <c r="F297" s="4822"/>
      <c r="G297" s="4822"/>
      <c r="H297" s="4822"/>
    </row>
    <row r="298" spans="1:8" ht="12.75" customHeight="1">
      <c r="C298" s="1450"/>
      <c r="D298" s="1448" t="s">
        <v>2984</v>
      </c>
      <c r="E298" s="4825" t="s">
        <v>3122</v>
      </c>
      <c r="F298" s="4825"/>
      <c r="G298" s="4825"/>
      <c r="H298" s="4825"/>
    </row>
    <row r="299" spans="1:8" ht="6" customHeight="1">
      <c r="D299" s="639"/>
      <c r="E299" s="1025"/>
      <c r="F299" s="1025"/>
      <c r="G299" s="1025"/>
      <c r="H299" s="1025"/>
    </row>
    <row r="300" spans="1:8">
      <c r="A300" s="620" t="s">
        <v>2980</v>
      </c>
      <c r="B300" s="637">
        <f>IF('Part V-Revenues &amp; Expenses'!$M$59=0,"",'Part V-Revenues &amp; Expenses'!$M$59)</f>
        <v>1</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4083</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4083</v>
      </c>
      <c r="E309" s="4822" t="s">
        <v>3121</v>
      </c>
      <c r="F309" s="4822"/>
      <c r="G309" s="4822"/>
      <c r="H309" s="4822"/>
    </row>
    <row r="310" spans="1:8" ht="12.75" customHeight="1">
      <c r="C310" s="1450"/>
      <c r="D310" s="1448" t="s">
        <v>2984</v>
      </c>
      <c r="E310" s="4825" t="s">
        <v>3122</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4083</v>
      </c>
      <c r="E314" s="4822" t="s">
        <v>3121</v>
      </c>
      <c r="F314" s="4822"/>
      <c r="G314" s="4822"/>
      <c r="H314" s="4822"/>
    </row>
    <row r="315" spans="1:8" ht="12.75" customHeight="1">
      <c r="C315" s="1450"/>
      <c r="D315" s="1448" t="s">
        <v>2984</v>
      </c>
      <c r="E315" s="4825" t="s">
        <v>3122</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4083</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4083</v>
      </c>
      <c r="E326" s="4822" t="s">
        <v>3121</v>
      </c>
      <c r="F326" s="4822"/>
      <c r="G326" s="4822"/>
      <c r="H326" s="4822"/>
    </row>
    <row r="327" spans="1:11" ht="12.75" customHeight="1">
      <c r="C327" s="1450"/>
      <c r="D327" s="1448" t="s">
        <v>2984</v>
      </c>
      <c r="E327" s="4825" t="s">
        <v>3122</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4083</v>
      </c>
      <c r="E331" s="4822" t="s">
        <v>3121</v>
      </c>
      <c r="F331" s="4822"/>
      <c r="G331" s="4822"/>
      <c r="H331" s="4822"/>
    </row>
    <row r="332" spans="1:11" ht="12.75" customHeight="1">
      <c r="C332" s="1450"/>
      <c r="D332" s="1448" t="s">
        <v>2984</v>
      </c>
      <c r="E332" s="4825" t="s">
        <v>3122</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4088</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4083</v>
      </c>
      <c r="E350" s="4822" t="s">
        <v>3121</v>
      </c>
      <c r="F350" s="4822"/>
      <c r="G350" s="4822"/>
      <c r="H350" s="4822"/>
    </row>
    <row r="351" spans="1:8" ht="12.75" customHeight="1">
      <c r="C351" s="1450"/>
      <c r="D351" s="1448" t="s">
        <v>2984</v>
      </c>
      <c r="E351" s="4825" t="s">
        <v>3122</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4083</v>
      </c>
      <c r="E355" s="4822" t="s">
        <v>3121</v>
      </c>
      <c r="F355" s="4822"/>
      <c r="G355" s="4822"/>
      <c r="H355" s="4822"/>
    </row>
    <row r="356" spans="1:8" ht="12.75" customHeight="1">
      <c r="C356" s="1450"/>
      <c r="D356" s="1448" t="s">
        <v>2984</v>
      </c>
      <c r="E356" s="4825" t="s">
        <v>3122</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4083</v>
      </c>
      <c r="E360" s="4822" t="s">
        <v>3121</v>
      </c>
      <c r="F360" s="4822"/>
      <c r="G360" s="4822"/>
      <c r="H360" s="4822"/>
    </row>
    <row r="361" spans="1:8" ht="12.75" customHeight="1">
      <c r="C361" s="1450"/>
      <c r="D361" s="1448" t="s">
        <v>2984</v>
      </c>
      <c r="E361" s="4825" t="s">
        <v>3122</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29</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4083</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4083</v>
      </c>
      <c r="E372" s="4822" t="s">
        <v>3121</v>
      </c>
      <c r="F372" s="4822"/>
      <c r="G372" s="4822"/>
      <c r="H372" s="4822"/>
    </row>
    <row r="373" spans="1:8" ht="12.75" customHeight="1">
      <c r="C373" s="1450"/>
      <c r="D373" s="1448" t="s">
        <v>2984</v>
      </c>
      <c r="E373" s="4825" t="s">
        <v>3122</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4083</v>
      </c>
      <c r="E377" s="4822" t="s">
        <v>3121</v>
      </c>
      <c r="F377" s="4822"/>
      <c r="G377" s="4822"/>
      <c r="H377" s="4822"/>
    </row>
    <row r="378" spans="1:8" ht="12.75" customHeight="1">
      <c r="C378" s="1450"/>
      <c r="D378" s="1448" t="s">
        <v>2984</v>
      </c>
      <c r="E378" s="4825" t="s">
        <v>3122</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4</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4083</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4083</v>
      </c>
      <c r="E389" s="4822" t="s">
        <v>3121</v>
      </c>
      <c r="F389" s="4822"/>
      <c r="G389" s="4822"/>
      <c r="H389" s="4822"/>
    </row>
    <row r="390" spans="1:8" ht="12.75" customHeight="1">
      <c r="C390" s="1450"/>
      <c r="D390" s="1448" t="s">
        <v>2984</v>
      </c>
      <c r="E390" s="4825" t="s">
        <v>3122</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4083</v>
      </c>
      <c r="E394" s="4822" t="s">
        <v>3121</v>
      </c>
      <c r="F394" s="4822"/>
      <c r="G394" s="4822"/>
      <c r="H394" s="4822"/>
    </row>
    <row r="395" spans="1:8" ht="12.75" customHeight="1">
      <c r="C395" s="1450"/>
      <c r="D395" s="1448" t="s">
        <v>2984</v>
      </c>
      <c r="E395" s="4825" t="s">
        <v>3122</v>
      </c>
      <c r="F395" s="4825"/>
      <c r="G395" s="4825"/>
      <c r="H395" s="4825"/>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4083</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4083</v>
      </c>
      <c r="E406" s="4822" t="s">
        <v>3121</v>
      </c>
      <c r="F406" s="4822"/>
      <c r="G406" s="4822"/>
      <c r="H406" s="4822"/>
    </row>
    <row r="407" spans="1:11" ht="12.75" customHeight="1">
      <c r="C407" s="1450"/>
      <c r="D407" s="1448" t="s">
        <v>2984</v>
      </c>
      <c r="E407" s="4825" t="s">
        <v>3122</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4083</v>
      </c>
      <c r="E411" s="4822" t="s">
        <v>3121</v>
      </c>
      <c r="F411" s="4822"/>
      <c r="G411" s="4822"/>
      <c r="H411" s="4822"/>
    </row>
    <row r="412" spans="1:11" ht="12.75" customHeight="1">
      <c r="C412" s="1450"/>
      <c r="D412" s="1448" t="s">
        <v>2984</v>
      </c>
      <c r="E412" s="4825" t="s">
        <v>3122</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4089</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4083</v>
      </c>
      <c r="E429" s="4822" t="s">
        <v>3121</v>
      </c>
      <c r="F429" s="4822"/>
      <c r="G429" s="4822"/>
      <c r="H429" s="4822"/>
    </row>
    <row r="430" spans="1:8" ht="12.75" customHeight="1">
      <c r="C430" s="1450"/>
      <c r="D430" s="1448" t="s">
        <v>2984</v>
      </c>
      <c r="E430" s="4825" t="s">
        <v>3122</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4083</v>
      </c>
      <c r="E434" s="4822" t="s">
        <v>3121</v>
      </c>
      <c r="F434" s="4822"/>
      <c r="G434" s="4822"/>
      <c r="H434" s="4822"/>
    </row>
    <row r="435" spans="1:8" ht="12.75" customHeight="1">
      <c r="C435" s="1450"/>
      <c r="D435" s="1448" t="s">
        <v>2984</v>
      </c>
      <c r="E435" s="4825" t="s">
        <v>3122</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4083</v>
      </c>
      <c r="E439" s="4822" t="s">
        <v>3121</v>
      </c>
      <c r="F439" s="4822"/>
      <c r="G439" s="4822"/>
      <c r="H439" s="4822"/>
    </row>
    <row r="440" spans="1:8" ht="12.75" customHeight="1">
      <c r="C440" s="1450"/>
      <c r="D440" s="1448" t="s">
        <v>2984</v>
      </c>
      <c r="E440" s="4825" t="s">
        <v>3122</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4083</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4083</v>
      </c>
      <c r="E451" s="4822" t="s">
        <v>3121</v>
      </c>
      <c r="F451" s="4822"/>
      <c r="G451" s="4822"/>
      <c r="H451" s="4822"/>
    </row>
    <row r="452" spans="1:8" ht="12.75" customHeight="1">
      <c r="C452" s="1450"/>
      <c r="D452" s="1448" t="s">
        <v>2984</v>
      </c>
      <c r="E452" s="4825" t="s">
        <v>3122</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4083</v>
      </c>
      <c r="E456" s="4822" t="s">
        <v>3121</v>
      </c>
      <c r="F456" s="4822"/>
      <c r="G456" s="4822"/>
      <c r="H456" s="4822"/>
    </row>
    <row r="457" spans="1:8" ht="12.75" customHeight="1">
      <c r="C457" s="1450"/>
      <c r="D457" s="1448" t="s">
        <v>2984</v>
      </c>
      <c r="E457" s="4825" t="s">
        <v>3122</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4083</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4083</v>
      </c>
      <c r="E468" s="4822" t="s">
        <v>3121</v>
      </c>
      <c r="F468" s="4822"/>
      <c r="G468" s="4822"/>
      <c r="H468" s="4822"/>
    </row>
    <row r="469" spans="1:8" ht="12.75" customHeight="1">
      <c r="C469" s="1450"/>
      <c r="D469" s="1448" t="s">
        <v>2984</v>
      </c>
      <c r="E469" s="4825" t="s">
        <v>3122</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4083</v>
      </c>
      <c r="E473" s="4822" t="s">
        <v>3121</v>
      </c>
      <c r="F473" s="4822"/>
      <c r="G473" s="4822"/>
      <c r="H473" s="4822"/>
    </row>
    <row r="474" spans="1:8" ht="12.75" customHeight="1">
      <c r="C474" s="1450"/>
      <c r="D474" s="1448" t="s">
        <v>2984</v>
      </c>
      <c r="E474" s="4825" t="s">
        <v>3122</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4083</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4083</v>
      </c>
      <c r="E485" s="4822" t="s">
        <v>3121</v>
      </c>
      <c r="F485" s="4822"/>
      <c r="G485" s="4822"/>
      <c r="H485" s="4822"/>
    </row>
    <row r="486" spans="1:11" ht="12.75" customHeight="1">
      <c r="C486" s="1450"/>
      <c r="D486" s="1448" t="s">
        <v>2984</v>
      </c>
      <c r="E486" s="4825" t="s">
        <v>3122</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4083</v>
      </c>
      <c r="E490" s="4822" t="s">
        <v>3121</v>
      </c>
      <c r="F490" s="4822"/>
      <c r="G490" s="4822"/>
      <c r="H490" s="4822"/>
    </row>
    <row r="491" spans="1:11" ht="12.75" customHeight="1">
      <c r="C491" s="1450"/>
      <c r="D491" s="1448" t="s">
        <v>2984</v>
      </c>
      <c r="E491" s="4825" t="s">
        <v>3122</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4090</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4083</v>
      </c>
      <c r="E508" s="4822" t="s">
        <v>3121</v>
      </c>
      <c r="F508" s="4822"/>
      <c r="G508" s="4822"/>
      <c r="H508" s="4822"/>
    </row>
    <row r="509" spans="1:8" ht="12.75" customHeight="1">
      <c r="C509" s="1450"/>
      <c r="D509" s="1448" t="s">
        <v>2984</v>
      </c>
      <c r="E509" s="4825" t="s">
        <v>3122</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4083</v>
      </c>
      <c r="E513" s="4822" t="s">
        <v>3121</v>
      </c>
      <c r="F513" s="4822"/>
      <c r="G513" s="4822"/>
      <c r="H513" s="4822"/>
    </row>
    <row r="514" spans="1:8" ht="12.75" customHeight="1">
      <c r="C514" s="1450"/>
      <c r="D514" s="1448" t="s">
        <v>2984</v>
      </c>
      <c r="E514" s="4825" t="s">
        <v>3122</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4083</v>
      </c>
      <c r="E518" s="4822" t="s">
        <v>3121</v>
      </c>
      <c r="F518" s="4822"/>
      <c r="G518" s="4822"/>
      <c r="H518" s="4822"/>
    </row>
    <row r="519" spans="1:8" ht="12.75" customHeight="1">
      <c r="C519" s="1450"/>
      <c r="D519" s="1448" t="s">
        <v>2984</v>
      </c>
      <c r="E519" s="4825" t="s">
        <v>3122</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4083</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4083</v>
      </c>
      <c r="E530" s="4822" t="s">
        <v>3121</v>
      </c>
      <c r="F530" s="4822"/>
      <c r="G530" s="4822"/>
      <c r="H530" s="4822"/>
    </row>
    <row r="531" spans="1:8" ht="12.75" customHeight="1">
      <c r="C531" s="1450"/>
      <c r="D531" s="1448" t="s">
        <v>2984</v>
      </c>
      <c r="E531" s="4825" t="s">
        <v>3122</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4083</v>
      </c>
      <c r="E535" s="4822" t="s">
        <v>3121</v>
      </c>
      <c r="F535" s="4822"/>
      <c r="G535" s="4822"/>
      <c r="H535" s="4822"/>
    </row>
    <row r="536" spans="1:8" ht="12.75" customHeight="1">
      <c r="C536" s="1450"/>
      <c r="D536" s="1448" t="s">
        <v>2984</v>
      </c>
      <c r="E536" s="4825" t="s">
        <v>3122</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4083</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4083</v>
      </c>
      <c r="E547" s="4822" t="s">
        <v>3121</v>
      </c>
      <c r="F547" s="4822"/>
      <c r="G547" s="4822"/>
      <c r="H547" s="4822"/>
    </row>
    <row r="548" spans="1:8" ht="12.75" customHeight="1">
      <c r="C548" s="1450"/>
      <c r="D548" s="1448" t="s">
        <v>2984</v>
      </c>
      <c r="E548" s="4825" t="s">
        <v>3122</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4083</v>
      </c>
      <c r="E552" s="4822" t="s">
        <v>3121</v>
      </c>
      <c r="F552" s="4822"/>
      <c r="G552" s="4822"/>
      <c r="H552" s="4822"/>
    </row>
    <row r="553" spans="1:8" ht="12.75" customHeight="1">
      <c r="C553" s="1450"/>
      <c r="D553" s="1448" t="s">
        <v>2984</v>
      </c>
      <c r="E553" s="4825" t="s">
        <v>3122</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4083</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4083</v>
      </c>
      <c r="E564" s="4822" t="s">
        <v>3121</v>
      </c>
      <c r="F564" s="4822"/>
      <c r="G564" s="4822"/>
      <c r="H564" s="4822"/>
    </row>
    <row r="565" spans="1:11" ht="12.75" customHeight="1">
      <c r="C565" s="1450"/>
      <c r="D565" s="1448" t="s">
        <v>2984</v>
      </c>
      <c r="E565" s="4825" t="s">
        <v>3122</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4083</v>
      </c>
      <c r="E569" s="4822" t="s">
        <v>3121</v>
      </c>
      <c r="F569" s="4822"/>
      <c r="G569" s="4822"/>
      <c r="H569" s="4822"/>
    </row>
    <row r="570" spans="1:11" ht="12.75" customHeight="1">
      <c r="C570" s="1450"/>
      <c r="D570" s="1448" t="s">
        <v>2984</v>
      </c>
      <c r="E570" s="4825" t="s">
        <v>3122</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Hillmont Apartments, Lake Park, Lowndes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Hillmont Apartments</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21241.051200000002</v>
      </c>
      <c r="M4" s="4868"/>
      <c r="N4" s="1493" t="s">
        <v>3663</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6749165</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4080</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29</v>
      </c>
      <c r="G27" s="1585">
        <f>'Part V-Revenues &amp; Expenses'!M58</f>
        <v>4</v>
      </c>
      <c r="H27" s="1585">
        <f>'Part V-Revenues &amp; Expenses'!N58</f>
        <v>0</v>
      </c>
      <c r="I27" s="1585">
        <f>'Part V-Revenues &amp; Expenses'!O58</f>
        <v>0</v>
      </c>
      <c r="J27" s="1586">
        <f>'Part V-Revenues &amp; Expenses'!P58</f>
        <v>33</v>
      </c>
      <c r="K27" s="432"/>
      <c r="S27" s="432"/>
    </row>
    <row r="28" spans="1:19" ht="15" customHeight="1">
      <c r="C28" s="736" t="s">
        <v>112</v>
      </c>
      <c r="D28" s="439"/>
      <c r="E28" s="1584">
        <f>'Part V-Revenues &amp; Expenses'!K59</f>
        <v>0</v>
      </c>
      <c r="F28" s="1585">
        <f>'Part V-Revenues &amp; Expenses'!L59</f>
        <v>9</v>
      </c>
      <c r="G28" s="1585">
        <f>'Part V-Revenues &amp; Expenses'!M59</f>
        <v>1</v>
      </c>
      <c r="H28" s="1585">
        <f>'Part V-Revenues &amp; Expenses'!N59</f>
        <v>0</v>
      </c>
      <c r="I28" s="1585">
        <f>'Part V-Revenues &amp; Expenses'!O59</f>
        <v>0</v>
      </c>
      <c r="J28" s="1586">
        <f>'Part V-Revenues &amp; Expenses'!P59</f>
        <v>10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38</v>
      </c>
      <c r="G32" s="1579">
        <f>'Part V-Revenues &amp; Expenses'!M63</f>
        <v>5</v>
      </c>
      <c r="H32" s="1579">
        <f>'Part V-Revenues &amp; Expenses'!N63</f>
        <v>0</v>
      </c>
      <c r="I32" s="1579">
        <f>'Part V-Revenues &amp; Expenses'!O63</f>
        <v>0</v>
      </c>
      <c r="J32" s="1588">
        <f>'Part V-Revenues &amp; Expenses'!P63</f>
        <v>43</v>
      </c>
      <c r="K32" s="432"/>
      <c r="S32" s="432"/>
    </row>
    <row r="33" spans="1:12" s="432" customFormat="1" ht="13.15" customHeight="1" thickBot="1">
      <c r="K33" s="1492"/>
    </row>
    <row r="34" spans="1:12" s="432" customFormat="1" ht="14.25" customHeight="1" thickBot="1">
      <c r="A34" s="1492"/>
      <c r="B34" s="4842" t="s">
        <v>6171</v>
      </c>
      <c r="E34" s="4843" t="s">
        <v>6067</v>
      </c>
      <c r="F34" s="4844"/>
      <c r="G34" s="4844"/>
      <c r="H34" s="4844"/>
      <c r="I34" s="4844"/>
      <c r="J34" s="4844"/>
      <c r="K34" s="4844"/>
      <c r="L34" s="4845"/>
    </row>
    <row r="35" spans="1:12" s="432" customFormat="1" ht="14.25" customHeight="1">
      <c r="A35" s="1492"/>
      <c r="B35" s="4842"/>
      <c r="C35" s="4846" t="s">
        <v>6172</v>
      </c>
      <c r="D35" s="4842" t="s">
        <v>6173</v>
      </c>
      <c r="E35" s="4847" t="s">
        <v>6070</v>
      </c>
      <c r="F35" s="4848"/>
      <c r="G35" s="4851" t="s">
        <v>1275</v>
      </c>
      <c r="H35" s="4853" t="s">
        <v>6066</v>
      </c>
      <c r="I35" s="4854"/>
      <c r="J35" s="4854"/>
      <c r="K35" s="4854"/>
      <c r="L35" s="4855"/>
    </row>
    <row r="36" spans="1:12" s="432" customFormat="1" ht="23.25" customHeight="1">
      <c r="A36" s="4846" t="s">
        <v>975</v>
      </c>
      <c r="B36" s="4842"/>
      <c r="C36" s="4846"/>
      <c r="D36" s="4842"/>
      <c r="E36" s="4849"/>
      <c r="F36" s="4850"/>
      <c r="G36" s="4852"/>
      <c r="H36" s="4856" t="s">
        <v>6068</v>
      </c>
      <c r="I36" s="4857"/>
      <c r="J36" s="4860" t="s">
        <v>1275</v>
      </c>
      <c r="K36" s="4857" t="s">
        <v>6069</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50</v>
      </c>
      <c r="B39" s="1572">
        <f>'Part V-Revenues &amp; Expenses'!E18</f>
        <v>9</v>
      </c>
      <c r="C39" s="1573" t="str">
        <f>_xlfn.CONCAT('Part V-Revenues &amp; Expenses'!C18," / ",'Part V-Revenues &amp; Expenses'!D18)</f>
        <v>1 / 1</v>
      </c>
      <c r="D39" s="1572">
        <f>'Part V-Revenues &amp; Expenses'!F18</f>
        <v>634</v>
      </c>
      <c r="E39" s="4866">
        <f>'Part V-Revenues &amp; Expenses'!H18</f>
        <v>655</v>
      </c>
      <c r="F39" s="4867"/>
      <c r="G39" s="439"/>
      <c r="H39" s="4836"/>
      <c r="I39" s="4837"/>
      <c r="J39" s="4837"/>
      <c r="K39" s="4837"/>
      <c r="L39" s="4838"/>
    </row>
    <row r="40" spans="1:12" s="432" customFormat="1" ht="13.15" customHeight="1">
      <c r="A40" s="1574">
        <f>'Part V-Revenues &amp; Expenses'!B19</f>
        <v>50</v>
      </c>
      <c r="B40" s="1575">
        <f>'Part V-Revenues &amp; Expenses'!E19</f>
        <v>1</v>
      </c>
      <c r="C40" s="1576" t="str">
        <f>_xlfn.CONCAT('Part V-Revenues &amp; Expenses'!C19," / ",'Part V-Revenues &amp; Expenses'!D19)</f>
        <v>2 / 1</v>
      </c>
      <c r="D40" s="1575">
        <f>'Part V-Revenues &amp; Expenses'!F19</f>
        <v>738</v>
      </c>
      <c r="E40" s="4834">
        <f>'Part V-Revenues &amp; Expenses'!H19</f>
        <v>750</v>
      </c>
      <c r="F40" s="4835"/>
      <c r="G40" s="439"/>
      <c r="H40" s="4831"/>
      <c r="I40" s="4832"/>
      <c r="J40" s="4832"/>
      <c r="K40" s="4832"/>
      <c r="L40" s="4833"/>
    </row>
    <row r="41" spans="1:12" s="432" customFormat="1" ht="13.15" customHeight="1">
      <c r="A41" s="1574">
        <f>'Part V-Revenues &amp; Expenses'!B20</f>
        <v>60</v>
      </c>
      <c r="B41" s="1575">
        <f>'Part V-Revenues &amp; Expenses'!E20</f>
        <v>28</v>
      </c>
      <c r="C41" s="1576" t="str">
        <f>_xlfn.CONCAT('Part V-Revenues &amp; Expenses'!C20," / ",'Part V-Revenues &amp; Expenses'!D20)</f>
        <v>1 / 1</v>
      </c>
      <c r="D41" s="1575">
        <f>'Part V-Revenues &amp; Expenses'!F20</f>
        <v>634</v>
      </c>
      <c r="E41" s="4834">
        <f>'Part V-Revenues &amp; Expenses'!H20</f>
        <v>655</v>
      </c>
      <c r="F41" s="4835"/>
      <c r="G41" s="439"/>
      <c r="H41" s="4831"/>
      <c r="I41" s="4832"/>
      <c r="J41" s="4832"/>
      <c r="K41" s="4832"/>
      <c r="L41" s="4833"/>
    </row>
    <row r="42" spans="1:12" s="432" customFormat="1" ht="13.15" customHeight="1">
      <c r="A42" s="1574">
        <f>'Part V-Revenues &amp; Expenses'!B21</f>
        <v>60</v>
      </c>
      <c r="B42" s="1575">
        <f>'Part V-Revenues &amp; Expenses'!E21</f>
        <v>1</v>
      </c>
      <c r="C42" s="1576" t="str">
        <f>_xlfn.CONCAT('Part V-Revenues &amp; Expenses'!C21," / ",'Part V-Revenues &amp; Expenses'!D21)</f>
        <v>1 / 1</v>
      </c>
      <c r="D42" s="1575">
        <f>'Part V-Revenues &amp; Expenses'!F21</f>
        <v>738</v>
      </c>
      <c r="E42" s="4834">
        <f>'Part V-Revenues &amp; Expenses'!H21</f>
        <v>655</v>
      </c>
      <c r="F42" s="4835"/>
      <c r="G42" s="439"/>
      <c r="H42" s="4831"/>
      <c r="I42" s="4832"/>
      <c r="J42" s="4832"/>
      <c r="K42" s="4832"/>
      <c r="L42" s="4833"/>
    </row>
    <row r="43" spans="1:12" s="432" customFormat="1" ht="13.15" customHeight="1">
      <c r="A43" s="1574">
        <f>'Part V-Revenues &amp; Expenses'!B22</f>
        <v>60</v>
      </c>
      <c r="B43" s="1575">
        <f>'Part V-Revenues &amp; Expenses'!E22</f>
        <v>3</v>
      </c>
      <c r="C43" s="1576" t="str">
        <f>_xlfn.CONCAT('Part V-Revenues &amp; Expenses'!C22," / ",'Part V-Revenues &amp; Expenses'!D22)</f>
        <v>2 / 1</v>
      </c>
      <c r="D43" s="1575">
        <f>'Part V-Revenues &amp; Expenses'!F22</f>
        <v>867</v>
      </c>
      <c r="E43" s="4834">
        <f>'Part V-Revenues &amp; Expenses'!H22</f>
        <v>750</v>
      </c>
      <c r="F43" s="4835"/>
      <c r="G43" s="439"/>
      <c r="H43" s="4831"/>
      <c r="I43" s="4832"/>
      <c r="J43" s="4832"/>
      <c r="K43" s="4832"/>
      <c r="L43" s="4833"/>
    </row>
    <row r="44" spans="1:12" s="432" customFormat="1" ht="13.15" customHeight="1">
      <c r="A44" s="1574">
        <f>'Part V-Revenues &amp; Expenses'!B23</f>
        <v>60</v>
      </c>
      <c r="B44" s="1575">
        <f>'Part V-Revenues &amp; Expenses'!E23</f>
        <v>1</v>
      </c>
      <c r="C44" s="1576" t="str">
        <f>_xlfn.CONCAT('Part V-Revenues &amp; Expenses'!C23," / ",'Part V-Revenues &amp; Expenses'!D23)</f>
        <v>2 / 1</v>
      </c>
      <c r="D44" s="1575">
        <f>'Part V-Revenues &amp; Expenses'!F23</f>
        <v>867</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3479</v>
      </c>
      <c r="C1" s="4726"/>
      <c r="D1" s="4726"/>
      <c r="E1" s="4726"/>
      <c r="F1" s="4726"/>
      <c r="G1" s="4726"/>
      <c r="H1" s="4726"/>
      <c r="I1" s="4726"/>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Hillmont Apartments</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6" t="s">
        <v>3487</v>
      </c>
      <c r="I35" s="4891"/>
    </row>
    <row r="36" spans="2:9">
      <c r="B36" s="1059" t="s">
        <v>3486</v>
      </c>
      <c r="C36" s="523"/>
      <c r="D36" s="523"/>
      <c r="F36" s="1258"/>
      <c r="G36" s="617"/>
      <c r="H36" s="4826"/>
      <c r="I36" s="4891"/>
    </row>
    <row r="37" spans="2:9">
      <c r="B37" s="1059" t="s">
        <v>3484</v>
      </c>
      <c r="D37" s="523"/>
      <c r="F37" s="1259"/>
      <c r="G37" s="617"/>
      <c r="H37" s="4826"/>
      <c r="I37" s="4891"/>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3489</v>
      </c>
      <c r="C52" s="4871" t="str">
        <f>'Part I-Project Identification'!F26</f>
        <v>Lake Park</v>
      </c>
      <c r="D52" s="4872"/>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858647</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858647</v>
      </c>
      <c r="G84" s="4895"/>
      <c r="I84" s="1049"/>
    </row>
    <row r="85" spans="2:9">
      <c r="B85" s="1047"/>
      <c r="C85" s="432" t="s">
        <v>2928</v>
      </c>
      <c r="F85" s="4870">
        <f>'Part II-Sources of Funds'!I47+'Part II-Sources of Funds'!L47</f>
        <v>64442.589346643646</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934089.58934664365</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934089.58934664365</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4" t="s">
        <v>6617</v>
      </c>
      <c r="R11" s="4924"/>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3907</v>
      </c>
      <c r="R13" s="4906"/>
      <c r="S13" s="144"/>
      <c r="T13" s="144"/>
      <c r="U13" s="144"/>
      <c r="AA13" s="68"/>
      <c r="AB13" s="68"/>
    </row>
    <row r="14" spans="1:28" s="145" customFormat="1" ht="12.75" hidden="1" customHeight="1">
      <c r="A14" s="147"/>
      <c r="B14" s="147"/>
      <c r="C14" s="147"/>
      <c r="K14" s="236" t="s">
        <v>3908</v>
      </c>
      <c r="L14" s="236"/>
      <c r="N14" s="234"/>
      <c r="O14" s="147"/>
      <c r="P14" s="144"/>
      <c r="Q14" s="4904">
        <v>0.2</v>
      </c>
      <c r="R14" s="4905"/>
      <c r="S14" s="144"/>
      <c r="T14" s="144"/>
      <c r="U14" s="144"/>
      <c r="AA14" s="68"/>
      <c r="AB14" s="68"/>
    </row>
    <row r="15" spans="1:28" s="145" customFormat="1" ht="12.75" hidden="1" customHeight="1">
      <c r="A15" s="147"/>
      <c r="B15" s="147"/>
      <c r="C15" s="147"/>
      <c r="K15" s="236" t="s">
        <v>3909</v>
      </c>
      <c r="L15" s="236"/>
      <c r="N15" s="234"/>
      <c r="O15" s="147"/>
      <c r="P15" s="144"/>
      <c r="Q15" s="4927">
        <v>0.15</v>
      </c>
      <c r="R15" s="4928"/>
      <c r="S15" s="144"/>
      <c r="T15" s="144"/>
      <c r="U15" s="144"/>
      <c r="AA15" s="68"/>
      <c r="AB15" s="68"/>
    </row>
    <row r="16" spans="1:28" s="145" customFormat="1" ht="12.75" hidden="1" customHeight="1">
      <c r="A16" s="147"/>
      <c r="B16" s="147"/>
      <c r="C16" s="147"/>
      <c r="K16" s="236" t="s">
        <v>3910</v>
      </c>
      <c r="L16" s="236"/>
      <c r="N16" s="234"/>
      <c r="O16" s="147"/>
      <c r="P16" s="144"/>
      <c r="Q16" s="4927">
        <v>0.15</v>
      </c>
      <c r="R16" s="4928"/>
      <c r="S16" s="144"/>
      <c r="T16" s="144"/>
      <c r="U16" s="144"/>
      <c r="AA16" s="68"/>
      <c r="AB16" s="68"/>
    </row>
    <row r="17" spans="1:28" s="145" customFormat="1" ht="12.75" hidden="1" customHeight="1">
      <c r="A17" s="147"/>
      <c r="B17" s="147"/>
      <c r="C17" s="147"/>
      <c r="K17" s="236" t="s">
        <v>3911</v>
      </c>
      <c r="L17" s="236"/>
      <c r="N17" s="234"/>
      <c r="O17" s="147"/>
      <c r="P17" s="144"/>
      <c r="Q17" s="4927">
        <v>0.1</v>
      </c>
      <c r="R17" s="4928"/>
      <c r="S17" s="144"/>
      <c r="T17" s="144"/>
      <c r="U17" s="144"/>
      <c r="AA17" s="68"/>
      <c r="AB17" s="68"/>
    </row>
    <row r="18" spans="1:28" s="145" customFormat="1" ht="12.75" hidden="1" customHeight="1">
      <c r="A18" s="147"/>
      <c r="B18" s="147"/>
      <c r="C18" s="147"/>
      <c r="K18" s="236" t="s">
        <v>3912</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3915</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6100</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6756</v>
      </c>
      <c r="B125" s="4968"/>
      <c r="C125" s="2002"/>
      <c r="D125" s="4970"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6754</v>
      </c>
      <c r="J127" s="142" t="s">
        <v>748</v>
      </c>
      <c r="K127" s="142"/>
      <c r="L127" s="223"/>
    </row>
    <row r="128" spans="1:28" ht="13.5">
      <c r="C128" s="715" t="s">
        <v>751</v>
      </c>
      <c r="D128" s="1304" t="s">
        <v>2995</v>
      </c>
      <c r="F128" s="715" t="s">
        <v>6752</v>
      </c>
      <c r="H128" s="4966"/>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4057</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3961</v>
      </c>
      <c r="D303" s="4948" t="s">
        <v>3962</v>
      </c>
      <c r="E303" s="4948" t="s">
        <v>3963</v>
      </c>
      <c r="F303" s="4948" t="s">
        <v>3964</v>
      </c>
      <c r="G303" s="4945" t="s">
        <v>3961</v>
      </c>
      <c r="H303" s="4948" t="s">
        <v>3962</v>
      </c>
      <c r="I303" s="4948" t="s">
        <v>3963</v>
      </c>
      <c r="J303" s="4948" t="s">
        <v>3964</v>
      </c>
      <c r="L303" s="4945" t="s">
        <v>3961</v>
      </c>
      <c r="M303" s="4948" t="s">
        <v>3962</v>
      </c>
      <c r="N303" s="4948" t="s">
        <v>3963</v>
      </c>
      <c r="O303" s="4948" t="s">
        <v>3964</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Lake Park, Hillmont Apartments,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3289</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500000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2023PA-050</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Hallmark Development Partners. LLC</v>
      </c>
      <c r="G14" s="1819"/>
      <c r="H14" s="1819"/>
      <c r="I14" s="1819" t="s">
        <v>1670</v>
      </c>
      <c r="J14" s="1819" t="str">
        <f>'Part I-Project Identification'!J15</f>
        <v>Martin H. Petersen</v>
      </c>
      <c r="K14" s="1819"/>
      <c r="L14" s="1819"/>
      <c r="M14" s="2623" t="s">
        <v>1839</v>
      </c>
      <c r="N14" s="1819" t="str">
        <f>'Part I-Project Identification'!N15</f>
        <v>Manager</v>
      </c>
      <c r="O14" s="1819"/>
      <c r="P14" s="1819"/>
    </row>
    <row r="15" spans="1:26" s="1819" customFormat="1" ht="12.75" customHeight="1">
      <c r="B15" s="2623" t="s">
        <v>1599</v>
      </c>
      <c r="F15" s="2628">
        <f>'Part I-Project Identification'!F16</f>
        <v>7706350157</v>
      </c>
      <c r="G15" s="2628"/>
      <c r="H15" s="2628"/>
      <c r="I15" s="2623" t="s">
        <v>1598</v>
      </c>
      <c r="J15" s="2629">
        <f>'Part I-Project Identification'!J16</f>
        <v>0</v>
      </c>
      <c r="M15" s="2623" t="s">
        <v>1600</v>
      </c>
      <c r="N15" s="2628">
        <f>'Part I-Project Identification'!N16</f>
        <v>7706350157</v>
      </c>
      <c r="O15" s="2628"/>
      <c r="P15" s="2628"/>
      <c r="Q15" s="357"/>
      <c r="R15" s="357"/>
      <c r="S15" s="357"/>
      <c r="V15" s="2630"/>
      <c r="W15" s="2630"/>
      <c r="X15" s="2630"/>
      <c r="Z15" s="1622">
        <v>18</v>
      </c>
    </row>
    <row r="16" spans="1:26" s="1819" customFormat="1">
      <c r="B16" s="2623" t="s">
        <v>1842</v>
      </c>
      <c r="F16" s="2631" t="str">
        <f>'Part I-Project Identification'!F17</f>
        <v>ppetersen@hallmarkco.com</v>
      </c>
      <c r="G16" s="2631"/>
      <c r="H16" s="2631"/>
      <c r="I16" s="2631"/>
      <c r="J16" s="2631"/>
      <c r="K16" s="2631"/>
      <c r="L16" s="2631"/>
      <c r="M16" s="2623" t="s">
        <v>1838</v>
      </c>
      <c r="N16" s="2628">
        <f>'Part I-Project Identification'!N17</f>
        <v>4042340004</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Hallmark Development Partners, LLC</v>
      </c>
      <c r="G18" s="1819"/>
      <c r="H18" s="1819"/>
      <c r="I18" s="1819" t="s">
        <v>1670</v>
      </c>
      <c r="J18" s="1819" t="str">
        <f>'Part I-Project Identification'!J19</f>
        <v>Thompson Kurrie III</v>
      </c>
      <c r="K18" s="1819"/>
      <c r="L18" s="1819"/>
      <c r="M18" s="2623" t="s">
        <v>1839</v>
      </c>
      <c r="N18" s="1819" t="str">
        <f>'Part I-Project Identification'!N19</f>
        <v>President</v>
      </c>
      <c r="O18" s="1819"/>
      <c r="P18" s="1819"/>
    </row>
    <row r="19" spans="1:26" s="1819" customFormat="1" ht="12.75" customHeight="1">
      <c r="B19" s="2623" t="s">
        <v>1599</v>
      </c>
      <c r="F19" s="2628">
        <f>'Part I-Project Identification'!F20</f>
        <v>2295480296</v>
      </c>
      <c r="G19" s="2628"/>
      <c r="H19" s="2628"/>
      <c r="I19" s="2623" t="s">
        <v>1598</v>
      </c>
      <c r="J19" s="2629">
        <f>'Part I-Project Identification'!J20</f>
        <v>0</v>
      </c>
      <c r="M19" s="2623" t="s">
        <v>1600</v>
      </c>
      <c r="N19" s="2628">
        <f>'Part I-Project Identification'!N20</f>
        <v>2295480296</v>
      </c>
      <c r="O19" s="2628"/>
      <c r="P19" s="2628"/>
      <c r="Q19" s="357"/>
      <c r="R19" s="357"/>
      <c r="S19" s="357"/>
      <c r="V19" s="2630"/>
      <c r="W19" s="2630"/>
      <c r="X19" s="2630"/>
      <c r="Z19" s="1622">
        <v>18</v>
      </c>
    </row>
    <row r="20" spans="1:26" s="1819" customFormat="1">
      <c r="B20" s="2623" t="s">
        <v>1842</v>
      </c>
      <c r="F20" s="2631" t="str">
        <f>'Part I-Project Identification'!F21</f>
        <v>tkurrie@hallmarkco.com</v>
      </c>
      <c r="G20" s="2631"/>
      <c r="H20" s="2631"/>
      <c r="I20" s="2631"/>
      <c r="J20" s="2631"/>
      <c r="K20" s="2631"/>
      <c r="L20" s="2631"/>
      <c r="M20" s="2623" t="s">
        <v>1838</v>
      </c>
      <c r="N20" s="2628">
        <f>'Part I-Project Identification'!N21</f>
        <v>2295480296</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Hillmont Apartments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Lake Park</v>
      </c>
      <c r="G25" s="1819"/>
      <c r="H25" s="1819"/>
      <c r="I25" s="2632" t="s">
        <v>576</v>
      </c>
      <c r="J25" s="1819" t="str">
        <f>'Part I-Project Identification'!J26</f>
        <v>Lowndes</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Unincorporated County</v>
      </c>
      <c r="G26" s="1819"/>
      <c r="H26" s="1819"/>
      <c r="I26" s="1622"/>
      <c r="J26" s="379" t="s">
        <v>6723</v>
      </c>
      <c r="K26" s="1622"/>
      <c r="L26" s="1819"/>
      <c r="M26" s="2623" t="s">
        <v>6666</v>
      </c>
      <c r="N26" s="1819"/>
      <c r="O26" s="2634">
        <f>'Part I-Project Identification'!O27</f>
        <v>3.5</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MSA</v>
      </c>
      <c r="O27" s="1819" t="str">
        <f>'Part I-Project Identification'!O28</f>
        <v>Valdosta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27">
      <c r="A40" s="2639" t="str">
        <f>'Part I-Project Identification'!A41</f>
        <v xml:space="preserve">No additional comments.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Hillmont Apartments, Lake Park, Lowndes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Yes</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Yes</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Yes</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51">
      <c r="A65" s="1819"/>
      <c r="B65" s="1819" t="s">
        <v>1486</v>
      </c>
      <c r="C65" s="1819"/>
      <c r="D65" s="1819"/>
      <c r="E65" s="1819"/>
      <c r="F65" s="1819"/>
      <c r="G65" s="1819"/>
      <c r="H65" s="2645" t="str">
        <f>'Part II-Sources of Funds'!H22</f>
        <v>USDA Rural Development</v>
      </c>
      <c r="I65" s="2645"/>
      <c r="J65" s="2645"/>
      <c r="K65" s="2645"/>
      <c r="L65" s="2547">
        <f>'Part II-Sources of Funds'!L22</f>
        <v>858647</v>
      </c>
      <c r="M65" s="2547"/>
      <c r="N65" s="2548">
        <f>'Part II-Sources of Funds'!N22</f>
        <v>0.01</v>
      </c>
      <c r="O65" s="2548"/>
      <c r="P65" s="2549">
        <f>'Part II-Sources of Funds'!P22</f>
        <v>360</v>
      </c>
      <c r="Q65" s="2549"/>
    </row>
    <row r="66" spans="1:17" ht="38.25">
      <c r="A66" s="1819"/>
      <c r="B66" s="1819" t="s">
        <v>1487</v>
      </c>
      <c r="C66" s="1819"/>
      <c r="D66" s="1819"/>
      <c r="E66" s="1819"/>
      <c r="F66" s="1819"/>
      <c r="G66" s="1819"/>
      <c r="H66" s="2645" t="str">
        <f>'Part II-Sources of Funds'!H23</f>
        <v>Housing Assistance Council</v>
      </c>
      <c r="I66" s="2645"/>
      <c r="J66" s="2645"/>
      <c r="K66" s="2645"/>
      <c r="L66" s="2547">
        <f>'Part II-Sources of Funds'!L23</f>
        <v>430000</v>
      </c>
      <c r="M66" s="2547"/>
      <c r="N66" s="2548">
        <f>'Part II-Sources of Funds'!N23</f>
        <v>3.6600000000000001E-2</v>
      </c>
      <c r="O66" s="2548"/>
      <c r="P66" s="2549">
        <f>'Part II-Sources of Funds'!P23</f>
        <v>18</v>
      </c>
      <c r="Q66" s="2549"/>
    </row>
    <row r="67" spans="1:17" ht="38.25">
      <c r="A67" s="1819"/>
      <c r="B67" s="1819" t="s">
        <v>1488</v>
      </c>
      <c r="C67" s="1819"/>
      <c r="D67" s="1819"/>
      <c r="E67" s="1819"/>
      <c r="F67" s="1819"/>
      <c r="G67" s="1819"/>
      <c r="H67" s="2645" t="str">
        <f>'Part II-Sources of Funds'!H24</f>
        <v>Housing Assistance Council</v>
      </c>
      <c r="I67" s="2645"/>
      <c r="J67" s="2645"/>
      <c r="K67" s="2645"/>
      <c r="L67" s="2547">
        <f>'Part II-Sources of Funds'!L24</f>
        <v>2888000</v>
      </c>
      <c r="M67" s="2547"/>
      <c r="N67" s="2548">
        <f>'Part II-Sources of Funds'!N24</f>
        <v>7.7499999999999999E-2</v>
      </c>
      <c r="O67" s="2548"/>
      <c r="P67" s="2549">
        <f>'Part II-Sources of Funds'!P24</f>
        <v>18</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51">
      <c r="A70" s="1819"/>
      <c r="B70" s="1819" t="s">
        <v>595</v>
      </c>
      <c r="C70" s="1819"/>
      <c r="D70" s="1819"/>
      <c r="E70" s="1819"/>
      <c r="F70" s="2641"/>
      <c r="G70" s="2641"/>
      <c r="H70" s="2645" t="str">
        <f>'Part II-Sources of Funds'!H27</f>
        <v>Hallmark Development Partners, LLC</v>
      </c>
      <c r="I70" s="2645"/>
      <c r="J70" s="2645"/>
      <c r="K70" s="2645"/>
      <c r="L70" s="2547">
        <f>'Part II-Sources of Funds'!L27</f>
        <v>300000</v>
      </c>
      <c r="M70" s="2547"/>
      <c r="N70" s="2548"/>
      <c r="O70" s="2548"/>
      <c r="P70" s="1819"/>
      <c r="Q70" s="1819"/>
    </row>
    <row r="71" spans="1:17" ht="63.75">
      <c r="A71" s="1819"/>
      <c r="B71" s="1819" t="s">
        <v>746</v>
      </c>
      <c r="C71" s="1819"/>
      <c r="D71" s="1819"/>
      <c r="E71" s="1819"/>
      <c r="F71" s="2641"/>
      <c r="G71" s="2641"/>
      <c r="H71" s="2645" t="str">
        <f>'Part II-Sources of Funds'!H28</f>
        <v>Boston Financial Investment Management, LP</v>
      </c>
      <c r="I71" s="2645"/>
      <c r="J71" s="2645"/>
      <c r="K71" s="2645"/>
      <c r="L71" s="2547">
        <f>'Part II-Sources of Funds'!L28</f>
        <v>2054042</v>
      </c>
      <c r="M71" s="2547"/>
      <c r="N71" s="1819"/>
      <c r="O71" s="2641"/>
      <c r="P71" s="2641"/>
      <c r="Q71" s="1819"/>
    </row>
    <row r="72" spans="1:17" ht="63.75">
      <c r="A72" s="1819"/>
      <c r="B72" s="1819" t="s">
        <v>747</v>
      </c>
      <c r="C72" s="1819"/>
      <c r="D72" s="1819"/>
      <c r="E72" s="1819"/>
      <c r="F72" s="2641"/>
      <c r="G72" s="2641"/>
      <c r="H72" s="2645" t="str">
        <f>'Part II-Sources of Funds'!H29</f>
        <v>Boston Financial Investment Management, LP</v>
      </c>
      <c r="I72" s="2645"/>
      <c r="J72" s="2645"/>
      <c r="K72" s="2645"/>
      <c r="L72" s="2547">
        <f>'Part II-Sources of Funds'!L29</f>
        <v>1320540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7851229</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7028425</v>
      </c>
      <c r="M77" s="2550"/>
      <c r="N77" s="2646"/>
      <c r="O77" s="2641"/>
      <c r="P77" s="2641"/>
      <c r="Q77" s="2641"/>
    </row>
    <row r="78" spans="1:17" ht="13.5">
      <c r="A78" s="1819"/>
      <c r="B78" s="2623" t="s">
        <v>2002</v>
      </c>
      <c r="C78" s="1819"/>
      <c r="D78" s="1819"/>
      <c r="E78" s="1819"/>
      <c r="F78" s="1819"/>
      <c r="G78" s="1819"/>
      <c r="H78" s="1819"/>
      <c r="I78" s="1819"/>
      <c r="J78" s="2641"/>
      <c r="K78" s="2641"/>
      <c r="L78" s="2647">
        <f>L76-L77</f>
        <v>822804</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USDA Rural Development</v>
      </c>
      <c r="F83" s="2645"/>
      <c r="G83" s="2645"/>
      <c r="H83" s="2645"/>
      <c r="I83" s="2648">
        <f>'Part II-Sources of Funds'!I40</f>
        <v>858647</v>
      </c>
      <c r="J83" s="1819"/>
      <c r="K83" s="2649">
        <f>'Part II-Sources of Funds'!K40</f>
        <v>0.01</v>
      </c>
      <c r="L83" s="1622">
        <f>'Part II-Sources of Funds'!L40</f>
        <v>30</v>
      </c>
      <c r="M83" s="1622">
        <f>'Part II-Sources of Funds'!M40</f>
        <v>50</v>
      </c>
      <c r="N83" s="1819" t="str">
        <f>'Part II-Sources of Funds'!N40</f>
        <v>Amortizing</v>
      </c>
      <c r="O83" s="1819"/>
      <c r="P83" s="2551">
        <f>'Part II-Sources of Funds'!P40</f>
        <v>21829.469948534566</v>
      </c>
      <c r="Q83" s="2551"/>
    </row>
    <row r="84" spans="1:17" ht="38.25">
      <c r="A84" s="1819"/>
      <c r="B84" s="1819" t="s">
        <v>2403</v>
      </c>
      <c r="C84" s="1819"/>
      <c r="D84" s="1819"/>
      <c r="E84" s="2645" t="str">
        <f>'Part II-Sources of Funds'!E41</f>
        <v>Housing Assisstance Council</v>
      </c>
      <c r="F84" s="2645"/>
      <c r="G84" s="2645"/>
      <c r="H84" s="2645"/>
      <c r="I84" s="2648">
        <f>'Part II-Sources of Funds'!I41</f>
        <v>430000</v>
      </c>
      <c r="J84" s="1819"/>
      <c r="K84" s="2649">
        <f>'Part II-Sources of Funds'!K41</f>
        <v>3.6600000000000001E-2</v>
      </c>
      <c r="L84" s="1622">
        <f>'Part II-Sources of Funds'!L41</f>
        <v>10</v>
      </c>
      <c r="M84" s="1622">
        <f>'Part II-Sources of Funds'!M41</f>
        <v>30</v>
      </c>
      <c r="N84" s="1819" t="str">
        <f>'Part II-Sources of Funds'!N41</f>
        <v>Amortizing</v>
      </c>
      <c r="O84" s="1819"/>
      <c r="P84" s="2551">
        <f>'Part II-Sources of Funds'!P41</f>
        <v>23634.013092405363</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5.5793939393939396E-2</v>
      </c>
      <c r="E88" s="2645" t="str">
        <f>'Part II-Sources of Funds'!E45</f>
        <v>Hallmark Development Partners, LLC</v>
      </c>
      <c r="F88" s="2645"/>
      <c r="G88" s="2645"/>
      <c r="H88" s="2645"/>
      <c r="I88" s="2648">
        <f>'Part II-Sources of Funds'!I45</f>
        <v>64442</v>
      </c>
      <c r="J88" s="1819"/>
      <c r="K88" s="2649">
        <f>'Part II-Sources of Funds'!K45</f>
        <v>0</v>
      </c>
      <c r="L88" s="1622">
        <f>'Part II-Sources of Funds'!L45</f>
        <v>5</v>
      </c>
      <c r="M88" s="1622">
        <f>'Part II-Sources of Funds'!M45</f>
        <v>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109344.81547390464</v>
      </c>
      <c r="G90" s="2641"/>
      <c r="H90" s="2654" t="s">
        <v>3404</v>
      </c>
      <c r="I90" s="2653">
        <f>'Part II-Sources of Funds'!I47</f>
        <v>64442</v>
      </c>
      <c r="J90" s="2641"/>
      <c r="K90" s="2654" t="s">
        <v>3406</v>
      </c>
      <c r="L90" s="2655">
        <f>'Part II-Sources of Funds'!L47</f>
        <v>0.58934664364932066</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63.75">
      <c r="A94" s="1819"/>
      <c r="B94" s="1819" t="s">
        <v>746</v>
      </c>
      <c r="C94" s="1819"/>
      <c r="D94" s="1819"/>
      <c r="E94" s="2645" t="str">
        <f>'Part II-Sources of Funds'!E51</f>
        <v>Boston Financial Investment Management, LP</v>
      </c>
      <c r="F94" s="2645"/>
      <c r="G94" s="2645"/>
      <c r="H94" s="2645"/>
      <c r="I94" s="2648">
        <f>'Part II-Sources of Funds'!I51</f>
        <v>4108085</v>
      </c>
      <c r="J94" s="1819"/>
      <c r="K94" s="2641"/>
      <c r="L94" s="2659">
        <f>'Part II-Sources of Funds'!L51</f>
        <v>4150000</v>
      </c>
      <c r="M94" s="2659"/>
      <c r="N94" s="2660">
        <f>I94-L94</f>
        <v>-41915</v>
      </c>
      <c r="O94" s="2660"/>
      <c r="P94" s="2661">
        <f>I94/I104</f>
        <v>0.50702989563151191</v>
      </c>
      <c r="Q94" s="1819"/>
    </row>
    <row r="95" spans="1:17" ht="63.75">
      <c r="A95" s="1819"/>
      <c r="B95" s="1819" t="s">
        <v>747</v>
      </c>
      <c r="C95" s="1819"/>
      <c r="D95" s="1819"/>
      <c r="E95" s="2645" t="str">
        <f>'Part II-Sources of Funds'!E52</f>
        <v>Boston Financial Investment Management, LP</v>
      </c>
      <c r="F95" s="2645"/>
      <c r="G95" s="2645"/>
      <c r="H95" s="2645"/>
      <c r="I95" s="2648">
        <f>'Part II-Sources of Funds'!I52</f>
        <v>2641080</v>
      </c>
      <c r="J95" s="1819"/>
      <c r="K95" s="2641"/>
      <c r="L95" s="2659">
        <f>'Part II-Sources of Funds'!L52</f>
        <v>2600000</v>
      </c>
      <c r="M95" s="2659"/>
      <c r="N95" s="2660">
        <f>I95-L95</f>
        <v>41080</v>
      </c>
      <c r="O95" s="2660"/>
      <c r="P95" s="2661">
        <f>I95/I104</f>
        <v>0.32596855146728304</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0.832998447098795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8102254</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8102254</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 xml:space="preserve">The assumption and re-amortization of an existing USDA Rural Development Section 515 loan and a new loan from the Housing Assistance Council provide the permanent favorable financing sources of funding for the proposed project.   Boston Financial Investment Management, LP is making a capital contribution of $4,108,085, equal to $0.83 for 98.99% of the allocated Federal Credits from the Partnership.  Boston Financial Investment Management is making a capital contribution of $2,641,080, equivalent to $0.83 for 1% of the allocated Federal Credits and $0.52 for 100% of the State Credits from the Partnership.  Boston Financial is 99.99% of the Partnership with a capital contribution of $6,749,165.   Fifty percent of the tax credit equity will be funded during the project's construction phase.  Hallmark Development Partners, LLC is deferring a portion of the earned developer fee during the construction phase and anticipates deferring less than 10% of the developer fee during the permanent phase.  The developer fee will be paid within three years of the projected cash flow.  Please see all documentation in Tab 2 of the application for further details regarding financing and equity sources.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Hillmont Apartments,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7500</v>
      </c>
      <c r="H122" s="2547"/>
      <c r="I122" s="1819"/>
      <c r="J122" s="2547">
        <f>'Part III-A-Uses of Funds'!J9</f>
        <v>0</v>
      </c>
      <c r="K122" s="2547"/>
      <c r="L122" s="2545"/>
      <c r="M122" s="2547">
        <f>'Part III-A-Uses of Funds'!M9</f>
        <v>0</v>
      </c>
      <c r="N122" s="2547"/>
      <c r="O122" s="1819"/>
      <c r="P122" s="2547">
        <f>'Part III-A-Uses of Funds'!P9</f>
        <v>7500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5500</v>
      </c>
      <c r="H123" s="2547"/>
      <c r="I123" s="1819"/>
      <c r="J123" s="2547">
        <f>'Part III-A-Uses of Funds'!J10</f>
        <v>0</v>
      </c>
      <c r="K123" s="2547"/>
      <c r="L123" s="2545"/>
      <c r="M123" s="2547">
        <f>'Part III-A-Uses of Funds'!M10</f>
        <v>0</v>
      </c>
      <c r="N123" s="2547"/>
      <c r="O123" s="1819"/>
      <c r="P123" s="2547">
        <f>'Part III-A-Uses of Funds'!P10</f>
        <v>5500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10000</v>
      </c>
      <c r="H124" s="2547"/>
      <c r="I124" s="1819"/>
      <c r="J124" s="2547">
        <f>'Part III-A-Uses of Funds'!J11</f>
        <v>0</v>
      </c>
      <c r="K124" s="2547"/>
      <c r="L124" s="2545"/>
      <c r="M124" s="2547">
        <f>'Part III-A-Uses of Funds'!M11</f>
        <v>0</v>
      </c>
      <c r="N124" s="2547"/>
      <c r="O124" s="1819"/>
      <c r="P124" s="2547">
        <f>'Part III-A-Uses of Funds'!P11</f>
        <v>10000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22150</v>
      </c>
      <c r="H126" s="2547"/>
      <c r="I126" s="1819"/>
      <c r="J126" s="2547">
        <f>'Part III-A-Uses of Funds'!J13</f>
        <v>0</v>
      </c>
      <c r="K126" s="2547"/>
      <c r="L126" s="2545"/>
      <c r="M126" s="2547">
        <f>'Part III-A-Uses of Funds'!M13</f>
        <v>0</v>
      </c>
      <c r="N126" s="2547"/>
      <c r="O126" s="1819"/>
      <c r="P126" s="2547">
        <f>'Part III-A-Uses of Funds'!P13</f>
        <v>22150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45150</v>
      </c>
      <c r="H131" s="2547"/>
      <c r="I131" s="1819"/>
      <c r="J131" s="2547">
        <f>SUM(J122:J130)</f>
        <v>0</v>
      </c>
      <c r="K131" s="2547"/>
      <c r="L131" s="2545"/>
      <c r="M131" s="2547">
        <f>SUM(M122:M130)</f>
        <v>0</v>
      </c>
      <c r="N131" s="2547"/>
      <c r="O131" s="1819"/>
      <c r="P131" s="2547">
        <f>SUM(P122:P130)</f>
        <v>45150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45714.285714285717</v>
      </c>
      <c r="G133" s="2547">
        <f>'Part III-A-Uses of Funds'!G20</f>
        <v>160000</v>
      </c>
      <c r="H133" s="2547"/>
      <c r="I133" s="1819"/>
      <c r="J133" s="2545"/>
      <c r="K133" s="2547"/>
      <c r="L133" s="2545"/>
      <c r="M133" s="2545"/>
      <c r="N133" s="2547"/>
      <c r="O133" s="1819"/>
      <c r="P133" s="2545"/>
      <c r="Q133" s="2547"/>
      <c r="R133" s="1819"/>
      <c r="S133" s="2547">
        <f>'Part III-A-Uses of Funds'!S20</f>
        <v>160000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5000</v>
      </c>
      <c r="H135" s="2547"/>
      <c r="I135" s="1819"/>
      <c r="J135" s="2545"/>
      <c r="K135" s="2547"/>
      <c r="L135" s="2545"/>
      <c r="M135" s="2547">
        <f>'Part III-A-Uses of Funds'!M22</f>
        <v>5000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1007000</v>
      </c>
      <c r="H136" s="2547"/>
      <c r="I136" s="1819"/>
      <c r="J136" s="2545"/>
      <c r="K136" s="2547"/>
      <c r="L136" s="2545"/>
      <c r="M136" s="2547">
        <f>'Part III-A-Uses of Funds'!M23</f>
        <v>1007000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1172000</v>
      </c>
      <c r="H137" s="2547"/>
      <c r="I137" s="1819"/>
      <c r="J137" s="2545"/>
      <c r="K137" s="2547"/>
      <c r="L137" s="2545"/>
      <c r="M137" s="2547">
        <f>SUM(M135:M136)</f>
        <v>1012000</v>
      </c>
      <c r="N137" s="2547"/>
      <c r="O137" s="1819"/>
      <c r="P137" s="2545"/>
      <c r="Q137" s="2547"/>
      <c r="R137" s="1819"/>
      <c r="S137" s="2547">
        <f>SUM(S133:S136)</f>
        <v>160000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168205.71428571429</v>
      </c>
      <c r="G139" s="2547">
        <f>'Part III-A-Uses of Funds'!G26</f>
        <v>588720</v>
      </c>
      <c r="H139" s="2547"/>
      <c r="I139" s="1819"/>
      <c r="J139" s="2547">
        <f>'Part III-A-Uses of Funds'!J26</f>
        <v>0</v>
      </c>
      <c r="K139" s="2547"/>
      <c r="L139" s="2545"/>
      <c r="M139" s="2547">
        <f>'Part III-A-Uses of Funds'!M26</f>
        <v>0</v>
      </c>
      <c r="N139" s="2547"/>
      <c r="O139" s="1819"/>
      <c r="P139" s="2547">
        <f>'Part III-A-Uses of Funds'!P26</f>
        <v>588720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588720</v>
      </c>
      <c r="H141" s="2547"/>
      <c r="I141" s="1819"/>
      <c r="J141" s="2547">
        <f>SUM(J139:J140)</f>
        <v>0</v>
      </c>
      <c r="K141" s="2547"/>
      <c r="L141" s="2545"/>
      <c r="M141" s="2547">
        <f>M139</f>
        <v>0</v>
      </c>
      <c r="N141" s="2547"/>
      <c r="O141" s="1819"/>
      <c r="P141" s="2547">
        <f>P139</f>
        <v>588720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2609730</v>
      </c>
      <c r="H144" s="2547"/>
      <c r="I144" s="1819"/>
      <c r="J144" s="2547">
        <f>'Part III-A-Uses of Funds'!J31</f>
        <v>0</v>
      </c>
      <c r="K144" s="2547"/>
      <c r="L144" s="2545"/>
      <c r="M144" s="2547">
        <f>'Part III-A-Uses of Funds'!M31</f>
        <v>0</v>
      </c>
      <c r="N144" s="2547"/>
      <c r="O144" s="1819"/>
      <c r="P144" s="2547">
        <f>'Part III-A-Uses of Funds'!P31</f>
        <v>2609730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165400</v>
      </c>
      <c r="H147" s="2547"/>
      <c r="I147" s="1819"/>
      <c r="J147" s="2547">
        <f>'Part III-A-Uses of Funds'!J34</f>
        <v>0</v>
      </c>
      <c r="K147" s="2547"/>
      <c r="L147" s="2545"/>
      <c r="M147" s="2547">
        <f>'Part III-A-Uses of Funds'!M34</f>
        <v>0</v>
      </c>
      <c r="N147" s="2547"/>
      <c r="O147" s="1819"/>
      <c r="P147" s="2547">
        <f>'Part III-A-Uses of Funds'!P34</f>
        <v>165400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2775130</v>
      </c>
      <c r="H149" s="2547"/>
      <c r="I149" s="1819"/>
      <c r="J149" s="2547">
        <f>SUM(J143:J148)</f>
        <v>0</v>
      </c>
      <c r="K149" s="2547"/>
      <c r="L149" s="2545"/>
      <c r="M149" s="2547">
        <f>SUM(M143:M148)</f>
        <v>0</v>
      </c>
      <c r="N149" s="2547"/>
      <c r="O149" s="1819"/>
      <c r="P149" s="2547">
        <f>SUM(P143:P148)</f>
        <v>2775130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201831</v>
      </c>
      <c r="F151" s="2676">
        <f>IF(($G$24+$G$32)=0,0,G151/($G$24+$G$32))</f>
        <v>0</v>
      </c>
      <c r="G151" s="2547">
        <f>'Part III-A-Uses of Funds'!G38</f>
        <v>200000</v>
      </c>
      <c r="H151" s="2547"/>
      <c r="I151" s="1819"/>
      <c r="J151" s="2547">
        <f>'Part III-A-Uses of Funds'!J38</f>
        <v>0</v>
      </c>
      <c r="K151" s="2547"/>
      <c r="L151" s="2545"/>
      <c r="M151" s="2547">
        <f>'Part III-A-Uses of Funds'!M38</f>
        <v>0</v>
      </c>
      <c r="N151" s="2547"/>
      <c r="O151" s="1819"/>
      <c r="P151" s="2547">
        <f>'Part III-A-Uses of Funds'!P38</f>
        <v>200000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67277</v>
      </c>
      <c r="F152" s="2676">
        <f>IF(($G$24+$G$32)=0,0,G152/($G$24+$G$32))</f>
        <v>0</v>
      </c>
      <c r="G152" s="2547">
        <f>'Part III-A-Uses of Funds'!G39</f>
        <v>65000</v>
      </c>
      <c r="H152" s="2547"/>
      <c r="I152" s="378"/>
      <c r="J152" s="2547">
        <f>'Part III-A-Uses of Funds'!J39</f>
        <v>0</v>
      </c>
      <c r="K152" s="2547"/>
      <c r="L152" s="2545"/>
      <c r="M152" s="2547">
        <f>'Part III-A-Uses of Funds'!M39</f>
        <v>0</v>
      </c>
      <c r="N152" s="2547"/>
      <c r="O152" s="1819"/>
      <c r="P152" s="2547">
        <f>'Part III-A-Uses of Funds'!P39</f>
        <v>65000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201831</v>
      </c>
      <c r="F153" s="2676">
        <f>IF(($G$24+$G$32)=0,0,G153/($G$24+$G$32))</f>
        <v>0</v>
      </c>
      <c r="G153" s="2547">
        <f>'Part III-A-Uses of Funds'!G40</f>
        <v>200000</v>
      </c>
      <c r="H153" s="2547"/>
      <c r="I153" s="378"/>
      <c r="J153" s="2547">
        <f>'Part III-A-Uses of Funds'!J40</f>
        <v>0</v>
      </c>
      <c r="K153" s="2547"/>
      <c r="L153" s="2545"/>
      <c r="M153" s="2547">
        <f>'Part III-A-Uses of Funds'!M40</f>
        <v>0</v>
      </c>
      <c r="N153" s="2547"/>
      <c r="O153" s="1819"/>
      <c r="P153" s="2547">
        <f>'Part III-A-Uses of Funds'!P40</f>
        <v>200000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470939</v>
      </c>
      <c r="F154" s="2669" t="s">
        <v>184</v>
      </c>
      <c r="G154" s="2547">
        <f>SUM(G151:G153)</f>
        <v>465000</v>
      </c>
      <c r="H154" s="2547"/>
      <c r="I154" s="1819"/>
      <c r="J154" s="2547">
        <f>SUM(J151:J153)</f>
        <v>0</v>
      </c>
      <c r="K154" s="2547"/>
      <c r="L154" s="2545"/>
      <c r="M154" s="2547">
        <f>SUM(M151:M153)</f>
        <v>0</v>
      </c>
      <c r="N154" s="2547"/>
      <c r="O154" s="1819"/>
      <c r="P154" s="2547">
        <f>SUM(P151:P153)</f>
        <v>465000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3828850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89043.023255813954</v>
      </c>
      <c r="G161" s="2682" t="s">
        <v>6957</v>
      </c>
      <c r="H161" s="1819"/>
      <c r="I161" s="1819"/>
      <c r="J161" s="2558">
        <f>C162/'Part V-Revenues &amp; Expenses'!$P$67</f>
        <v>89043.023255813954</v>
      </c>
      <c r="K161" s="2558"/>
      <c r="L161" s="1819"/>
      <c r="M161" s="2683" t="s">
        <v>6475</v>
      </c>
      <c r="N161" s="2683"/>
      <c r="O161" s="1819"/>
      <c r="P161" s="2558">
        <f>C162/'Part V-Revenues &amp; Expenses'!$K$175</f>
        <v>123.9029836256553</v>
      </c>
      <c r="Q161" s="2558"/>
      <c r="R161" s="1819"/>
      <c r="S161" s="2684" t="s">
        <v>6477</v>
      </c>
      <c r="T161" s="2684"/>
      <c r="U161" s="1819"/>
      <c r="V161" s="2665"/>
    </row>
    <row r="162" spans="1:22" ht="13.5">
      <c r="A162" s="1819"/>
      <c r="B162" s="2685" t="s">
        <v>6488</v>
      </c>
      <c r="C162" s="2686">
        <f>G141+G149+G154+G159</f>
        <v>3828850</v>
      </c>
      <c r="D162" s="1819"/>
      <c r="E162" s="2616"/>
      <c r="F162" s="2557">
        <f>C162/'Part V-Revenues &amp; Expenses'!$P$166</f>
        <v>134.80916836842476</v>
      </c>
      <c r="G162" s="2684" t="s">
        <v>6958</v>
      </c>
      <c r="H162" s="1819"/>
      <c r="I162" s="1819"/>
      <c r="J162" s="2558">
        <f>C162/'Part V-Revenues &amp; Expenses'!$P$168</f>
        <v>134.80916836842476</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382885</v>
      </c>
      <c r="F168" s="2650">
        <f>G168/C162</f>
        <v>9.7940634916489286E-2</v>
      </c>
      <c r="G168" s="2547">
        <f>'Part III-A-Uses of Funds'!G55</f>
        <v>375000</v>
      </c>
      <c r="H168" s="2547"/>
      <c r="I168" s="1819"/>
      <c r="J168" s="2547">
        <f>'Part III-A-Uses of Funds'!J55</f>
        <v>0</v>
      </c>
      <c r="K168" s="2547"/>
      <c r="L168" s="2545"/>
      <c r="M168" s="2547">
        <f>'Part III-A-Uses of Funds'!M55</f>
        <v>0</v>
      </c>
      <c r="N168" s="2547"/>
      <c r="O168" s="1819"/>
      <c r="P168" s="2547">
        <f>'Part III-A-Uses of Funds'!P55</f>
        <v>375000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97763.953488372092</v>
      </c>
      <c r="G170" s="2682" t="s">
        <v>6957</v>
      </c>
      <c r="H170" s="1819"/>
      <c r="I170" s="1819"/>
      <c r="J170" s="2558">
        <f>B171/'Part V-Revenues &amp; Expenses'!$P$67</f>
        <v>97763.953488372092</v>
      </c>
      <c r="K170" s="2558"/>
      <c r="L170" s="1819"/>
      <c r="M170" s="2683" t="s">
        <v>6475</v>
      </c>
      <c r="N170" s="2683"/>
      <c r="O170" s="1819"/>
      <c r="P170" s="2558">
        <f>B171/'Part V-Revenues &amp; Expenses'!$K$175</f>
        <v>136.03812050999935</v>
      </c>
      <c r="Q170" s="2558"/>
      <c r="R170" s="1819"/>
      <c r="S170" s="2684" t="s">
        <v>6477</v>
      </c>
      <c r="T170" s="2684"/>
      <c r="U170" s="1819"/>
      <c r="V170" s="2665"/>
    </row>
    <row r="171" spans="1:22">
      <c r="A171" s="1819"/>
      <c r="B171" s="2686">
        <f>C162+G168</f>
        <v>4203850</v>
      </c>
      <c r="C171" s="2686"/>
      <c r="D171" s="1819"/>
      <c r="E171" s="2616"/>
      <c r="F171" s="2557">
        <f>B171/'Part V-Revenues &amp; Expenses'!$P$166</f>
        <v>148.01246391099218</v>
      </c>
      <c r="G171" s="2684" t="s">
        <v>6958</v>
      </c>
      <c r="H171" s="1819"/>
      <c r="I171" s="1819"/>
      <c r="J171" s="2558">
        <f>B171/'Part V-Revenues &amp; Expenses'!$P$168</f>
        <v>148.01246391099218</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47620</v>
      </c>
      <c r="H176" s="2547"/>
      <c r="I176" s="1819"/>
      <c r="J176" s="2547">
        <f>'Part III-A-Uses of Funds'!J63</f>
        <v>0</v>
      </c>
      <c r="K176" s="2547"/>
      <c r="L176" s="2545"/>
      <c r="M176" s="2547">
        <f>'Part III-A-Uses of Funds'!M63</f>
        <v>0</v>
      </c>
      <c r="N176" s="2547"/>
      <c r="O176" s="1819"/>
      <c r="P176" s="2547">
        <f>'Part III-A-Uses of Funds'!P63</f>
        <v>47620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251553</v>
      </c>
      <c r="H177" s="2547"/>
      <c r="I177" s="1819"/>
      <c r="J177" s="2547">
        <f>'Part III-A-Uses of Funds'!J64</f>
        <v>0</v>
      </c>
      <c r="K177" s="2547"/>
      <c r="L177" s="2545"/>
      <c r="M177" s="2547">
        <f>'Part III-A-Uses of Funds'!M64</f>
        <v>0</v>
      </c>
      <c r="N177" s="2547"/>
      <c r="O177" s="1819"/>
      <c r="P177" s="2547">
        <f>'Part III-A-Uses of Funds'!P64</f>
        <v>91761</v>
      </c>
      <c r="Q177" s="2547"/>
      <c r="R177" s="1819"/>
      <c r="S177" s="2547">
        <f>'Part III-A-Uses of Funds'!S64</f>
        <v>159792</v>
      </c>
      <c r="T177" s="2547"/>
      <c r="U177" s="1819"/>
      <c r="V177" s="2665"/>
    </row>
    <row r="178" spans="1:22">
      <c r="A178" s="1819"/>
      <c r="B178" s="1819" t="s">
        <v>2168</v>
      </c>
      <c r="C178" s="1819"/>
      <c r="D178" s="1819"/>
      <c r="E178" s="1819"/>
      <c r="F178" s="1819"/>
      <c r="G178" s="2547">
        <f>'Part III-A-Uses of Funds'!G65</f>
        <v>25000</v>
      </c>
      <c r="H178" s="2547"/>
      <c r="I178" s="1819"/>
      <c r="J178" s="2547">
        <f>'Part III-A-Uses of Funds'!J65</f>
        <v>0</v>
      </c>
      <c r="K178" s="2547"/>
      <c r="L178" s="2545"/>
      <c r="M178" s="2547">
        <f>'Part III-A-Uses of Funds'!M65</f>
        <v>0</v>
      </c>
      <c r="N178" s="2547"/>
      <c r="O178" s="1819"/>
      <c r="P178" s="2547">
        <f>'Part III-A-Uses of Funds'!P65</f>
        <v>25000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20000</v>
      </c>
      <c r="H179" s="2547"/>
      <c r="I179" s="1819"/>
      <c r="J179" s="2547">
        <f>'Part III-A-Uses of Funds'!J66</f>
        <v>0</v>
      </c>
      <c r="K179" s="2547"/>
      <c r="L179" s="2545"/>
      <c r="M179" s="2547">
        <f>'Part III-A-Uses of Funds'!M66</f>
        <v>0</v>
      </c>
      <c r="N179" s="2547"/>
      <c r="O179" s="1819"/>
      <c r="P179" s="2547">
        <f>'Part III-A-Uses of Funds'!P66</f>
        <v>20000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16869</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16869</v>
      </c>
      <c r="T180" s="2547"/>
      <c r="U180" s="1819"/>
      <c r="V180" s="2665"/>
    </row>
    <row r="181" spans="1:22">
      <c r="A181" s="1819"/>
      <c r="B181" s="1819" t="s">
        <v>2169</v>
      </c>
      <c r="C181" s="1819"/>
      <c r="D181" s="1819"/>
      <c r="E181" s="1819"/>
      <c r="F181" s="1819"/>
      <c r="G181" s="2547">
        <f>'Part III-A-Uses of Funds'!G68</f>
        <v>25000</v>
      </c>
      <c r="H181" s="2547"/>
      <c r="I181" s="1819"/>
      <c r="J181" s="2547">
        <f>'Part III-A-Uses of Funds'!J68</f>
        <v>0</v>
      </c>
      <c r="K181" s="2547"/>
      <c r="L181" s="2545"/>
      <c r="M181" s="2547">
        <f>'Part III-A-Uses of Funds'!M68</f>
        <v>0</v>
      </c>
      <c r="N181" s="2547"/>
      <c r="O181" s="1819"/>
      <c r="P181" s="2547">
        <f>'Part III-A-Uses of Funds'!P68</f>
        <v>10000</v>
      </c>
      <c r="Q181" s="2547"/>
      <c r="R181" s="1819"/>
      <c r="S181" s="2547">
        <f>'Part III-A-Uses of Funds'!S68</f>
        <v>15000</v>
      </c>
      <c r="T181" s="2547"/>
      <c r="U181" s="1819"/>
      <c r="V181" s="2665"/>
    </row>
    <row r="182" spans="1:22">
      <c r="A182" s="1819"/>
      <c r="B182" s="1819" t="s">
        <v>1200</v>
      </c>
      <c r="C182" s="1819"/>
      <c r="D182" s="1819"/>
      <c r="E182" s="1819"/>
      <c r="F182" s="1819"/>
      <c r="G182" s="2547">
        <f>'Part III-A-Uses of Funds'!G69</f>
        <v>25000</v>
      </c>
      <c r="H182" s="2547"/>
      <c r="I182" s="1819"/>
      <c r="J182" s="2547">
        <f>'Part III-A-Uses of Funds'!J69</f>
        <v>0</v>
      </c>
      <c r="K182" s="2547"/>
      <c r="L182" s="2545"/>
      <c r="M182" s="2547">
        <f>'Part III-A-Uses of Funds'!M69</f>
        <v>0</v>
      </c>
      <c r="N182" s="2547"/>
      <c r="O182" s="1819"/>
      <c r="P182" s="2547">
        <f>'Part III-A-Uses of Funds'!P69</f>
        <v>25000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25000</v>
      </c>
      <c r="H183" s="2547"/>
      <c r="I183" s="378"/>
      <c r="J183" s="2547">
        <f>'Part III-A-Uses of Funds'!J70</f>
        <v>0</v>
      </c>
      <c r="K183" s="2547"/>
      <c r="L183" s="2545"/>
      <c r="M183" s="2547">
        <f>'Part III-A-Uses of Funds'!M70</f>
        <v>0</v>
      </c>
      <c r="N183" s="2547"/>
      <c r="O183" s="1819"/>
      <c r="P183" s="2547">
        <f>'Part III-A-Uses of Funds'!P70</f>
        <v>25000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436042</v>
      </c>
      <c r="H186" s="2547"/>
      <c r="I186" s="1819"/>
      <c r="J186" s="2547">
        <f>SUM(J174:J185)</f>
        <v>0</v>
      </c>
      <c r="K186" s="2547"/>
      <c r="L186" s="2545"/>
      <c r="M186" s="2547">
        <f>SUM(M174:M185)</f>
        <v>0</v>
      </c>
      <c r="N186" s="2547"/>
      <c r="O186" s="1819"/>
      <c r="P186" s="2547">
        <f>SUM(P174:P185)</f>
        <v>244381</v>
      </c>
      <c r="Q186" s="2547"/>
      <c r="R186" s="1819"/>
      <c r="S186" s="2547">
        <f>SUM(S174:S185)</f>
        <v>191661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200000</v>
      </c>
      <c r="H188" s="2547"/>
      <c r="I188" s="1819"/>
      <c r="J188" s="2547">
        <f>'Part III-A-Uses of Funds'!J75</f>
        <v>0</v>
      </c>
      <c r="K188" s="2547"/>
      <c r="L188" s="2545"/>
      <c r="M188" s="2547">
        <f>'Part III-A-Uses of Funds'!M75</f>
        <v>0</v>
      </c>
      <c r="N188" s="2547"/>
      <c r="O188" s="1819"/>
      <c r="P188" s="2547">
        <f>'Part III-A-Uses of Funds'!P75</f>
        <v>200000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50000</v>
      </c>
      <c r="H189" s="2547"/>
      <c r="I189" s="1819"/>
      <c r="J189" s="2547">
        <f>'Part III-A-Uses of Funds'!J76</f>
        <v>0</v>
      </c>
      <c r="K189" s="2547"/>
      <c r="L189" s="2545"/>
      <c r="M189" s="2547">
        <f>'Part III-A-Uses of Funds'!M76</f>
        <v>0</v>
      </c>
      <c r="N189" s="2547"/>
      <c r="O189" s="1819"/>
      <c r="P189" s="2547">
        <f>'Part III-A-Uses of Funds'!P76</f>
        <v>50000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0</v>
      </c>
      <c r="K190" s="2547"/>
      <c r="L190" s="2545"/>
      <c r="M190" s="2547">
        <f>'Part III-A-Uses of Funds'!M77</f>
        <v>0</v>
      </c>
      <c r="N190" s="2547"/>
      <c r="O190" s="1819"/>
      <c r="P190" s="2547">
        <f>'Part III-A-Uses of Funds'!P77</f>
        <v>20000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20000</v>
      </c>
      <c r="H191" s="2547"/>
      <c r="I191" s="1819"/>
      <c r="J191" s="2547">
        <f>'Part III-A-Uses of Funds'!J78</f>
        <v>0</v>
      </c>
      <c r="K191" s="2547"/>
      <c r="L191" s="2545"/>
      <c r="M191" s="2547">
        <f>'Part III-A-Uses of Funds'!M78</f>
        <v>0</v>
      </c>
      <c r="N191" s="2547"/>
      <c r="O191" s="1819"/>
      <c r="P191" s="2547">
        <f>'Part III-A-Uses of Funds'!P78</f>
        <v>20000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5000</v>
      </c>
      <c r="H192" s="2547"/>
      <c r="I192" s="1819"/>
      <c r="J192" s="2547">
        <f>'Part III-A-Uses of Funds'!J79</f>
        <v>0</v>
      </c>
      <c r="K192" s="2547"/>
      <c r="L192" s="2545"/>
      <c r="M192" s="2547">
        <f>'Part III-A-Uses of Funds'!M79</f>
        <v>0</v>
      </c>
      <c r="N192" s="2547"/>
      <c r="O192" s="1819"/>
      <c r="P192" s="2547">
        <f>'Part III-A-Uses of Funds'!P79</f>
        <v>5000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5000</v>
      </c>
      <c r="H193" s="2547"/>
      <c r="I193" s="1819"/>
      <c r="J193" s="2547">
        <f>'Part III-A-Uses of Funds'!J80</f>
        <v>0</v>
      </c>
      <c r="K193" s="2547"/>
      <c r="L193" s="2545"/>
      <c r="M193" s="2547">
        <f>'Part III-A-Uses of Funds'!M80</f>
        <v>0</v>
      </c>
      <c r="N193" s="2547"/>
      <c r="O193" s="1819"/>
      <c r="P193" s="2547">
        <f>'Part III-A-Uses of Funds'!P80</f>
        <v>5000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25000</v>
      </c>
      <c r="H194" s="2547"/>
      <c r="I194" s="1819"/>
      <c r="J194" s="2547">
        <f>'Part III-A-Uses of Funds'!J81</f>
        <v>0</v>
      </c>
      <c r="K194" s="2547"/>
      <c r="L194" s="2545"/>
      <c r="M194" s="2547">
        <f>'Part III-A-Uses of Funds'!M81</f>
        <v>0</v>
      </c>
      <c r="N194" s="2547"/>
      <c r="O194" s="1819"/>
      <c r="P194" s="2547">
        <f>'Part III-A-Uses of Funds'!P81</f>
        <v>25000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100000</v>
      </c>
      <c r="H195" s="2547"/>
      <c r="I195" s="1819"/>
      <c r="J195" s="2547">
        <f>'Part III-A-Uses of Funds'!J82</f>
        <v>0</v>
      </c>
      <c r="K195" s="2547"/>
      <c r="L195" s="2545"/>
      <c r="M195" s="2547">
        <f>'Part III-A-Uses of Funds'!M82</f>
        <v>0</v>
      </c>
      <c r="N195" s="2547"/>
      <c r="O195" s="1819"/>
      <c r="P195" s="2547">
        <f>'Part III-A-Uses of Funds'!P82</f>
        <v>100000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25000</v>
      </c>
      <c r="H196" s="2547"/>
      <c r="I196" s="1819"/>
      <c r="J196" s="2547">
        <f>'Part III-A-Uses of Funds'!J83</f>
        <v>0</v>
      </c>
      <c r="K196" s="2547"/>
      <c r="L196" s="2545"/>
      <c r="M196" s="2547">
        <f>'Part III-A-Uses of Funds'!M83</f>
        <v>0</v>
      </c>
      <c r="N196" s="2547"/>
      <c r="O196" s="1819"/>
      <c r="P196" s="2547">
        <f>'Part III-A-Uses of Funds'!P83</f>
        <v>25000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0</v>
      </c>
      <c r="K197" s="2547"/>
      <c r="L197" s="2545"/>
      <c r="M197" s="2547">
        <f>'Part III-A-Uses of Funds'!M84</f>
        <v>0</v>
      </c>
      <c r="N197" s="2547"/>
      <c r="O197" s="1819"/>
      <c r="P197" s="2547">
        <f>'Part III-A-Uses of Funds'!P84</f>
        <v>10000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460000</v>
      </c>
      <c r="H199" s="2547"/>
      <c r="I199" s="1819"/>
      <c r="J199" s="2547">
        <f>SUM(J188:J198)</f>
        <v>0</v>
      </c>
      <c r="K199" s="2547"/>
      <c r="L199" s="2545"/>
      <c r="M199" s="2547">
        <f>SUM(M188:M198)</f>
        <v>0</v>
      </c>
      <c r="N199" s="2547"/>
      <c r="O199" s="1819"/>
      <c r="P199" s="2547">
        <f>SUM(P188:P198)</f>
        <v>460000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136.81395348837211</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5883</v>
      </c>
      <c r="H201" s="2547"/>
      <c r="I201" s="1819"/>
      <c r="J201" s="2547">
        <f>'Part III-A-Uses of Funds'!J88</f>
        <v>0</v>
      </c>
      <c r="K201" s="2547"/>
      <c r="L201" s="2545"/>
      <c r="M201" s="2547">
        <f>'Part III-A-Uses of Funds'!M88</f>
        <v>0</v>
      </c>
      <c r="N201" s="2547"/>
      <c r="O201" s="1819"/>
      <c r="P201" s="2547">
        <f>'Part III-A-Uses of Funds'!P88</f>
        <v>5883</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5883</v>
      </c>
      <c r="H205" s="2547"/>
      <c r="I205" s="1819"/>
      <c r="J205" s="2547">
        <f>SUM(J201:J204)</f>
        <v>0</v>
      </c>
      <c r="K205" s="2547"/>
      <c r="L205" s="2545"/>
      <c r="M205" s="2547">
        <f>SUM(M201:M204)</f>
        <v>0</v>
      </c>
      <c r="N205" s="2547"/>
      <c r="O205" s="1819"/>
      <c r="P205" s="2547">
        <f>SUM(P201:P204)</f>
        <v>5883</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c r="A211" s="1819"/>
      <c r="B211" s="1819" t="s">
        <v>1199</v>
      </c>
      <c r="C211" s="1819"/>
      <c r="D211" s="1819"/>
      <c r="E211" s="1819"/>
      <c r="F211" s="1819"/>
      <c r="G211" s="2547">
        <f>'Part III-A-Uses of Funds'!G98</f>
        <v>5000</v>
      </c>
      <c r="H211" s="2547"/>
      <c r="I211" s="1819"/>
      <c r="J211" s="2547"/>
      <c r="K211" s="2547"/>
      <c r="L211" s="2545"/>
      <c r="M211" s="2547"/>
      <c r="N211" s="2547"/>
      <c r="O211" s="1819"/>
      <c r="P211" s="2547"/>
      <c r="Q211" s="2547"/>
      <c r="R211" s="1819"/>
      <c r="S211" s="2547">
        <f>'Part III-A-Uses of Funds'!S98</f>
        <v>5000</v>
      </c>
      <c r="T211" s="2547"/>
      <c r="U211" s="1819"/>
      <c r="V211" s="2665"/>
    </row>
    <row r="212" spans="1:33">
      <c r="A212" s="1819"/>
      <c r="B212" s="1819" t="s">
        <v>1200</v>
      </c>
      <c r="C212" s="1819"/>
      <c r="D212" s="1819"/>
      <c r="E212" s="1819"/>
      <c r="F212" s="1819"/>
      <c r="G212" s="2547">
        <f>'Part III-A-Uses of Funds'!G99</f>
        <v>15000</v>
      </c>
      <c r="H212" s="2547"/>
      <c r="I212" s="1819"/>
      <c r="J212" s="2547"/>
      <c r="K212" s="2547"/>
      <c r="L212" s="2545"/>
      <c r="M212" s="2547"/>
      <c r="N212" s="2547"/>
      <c r="O212" s="1819"/>
      <c r="P212" s="2547"/>
      <c r="Q212" s="2547"/>
      <c r="R212" s="1819"/>
      <c r="S212" s="2547">
        <f>'Part III-A-Uses of Funds'!S99</f>
        <v>15000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20000</v>
      </c>
      <c r="H216" s="2547"/>
      <c r="I216" s="1819"/>
      <c r="J216" s="2547"/>
      <c r="K216" s="2547"/>
      <c r="L216" s="2545"/>
      <c r="M216" s="2547"/>
      <c r="N216" s="2547"/>
      <c r="O216" s="1819"/>
      <c r="P216" s="2547"/>
      <c r="Q216" s="2547"/>
      <c r="R216" s="1819"/>
      <c r="S216" s="2547">
        <f>SUM(S210:S215)</f>
        <v>20000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43</v>
      </c>
      <c r="AC219" s="1819"/>
      <c r="AD219" s="1819"/>
      <c r="AE219" s="1819"/>
      <c r="AF219" s="1819"/>
      <c r="AG219" s="1819"/>
    </row>
    <row r="220" spans="1:33">
      <c r="A220" s="1819"/>
      <c r="B220" s="1819" t="s">
        <v>3318</v>
      </c>
      <c r="C220" s="1819"/>
      <c r="D220" s="1819"/>
      <c r="E220" s="1819"/>
      <c r="F220" s="1819"/>
      <c r="G220" s="2547">
        <f>'Part III-A-Uses of Funds'!G107</f>
        <v>2500</v>
      </c>
      <c r="H220" s="2547"/>
      <c r="I220" s="1819"/>
      <c r="J220" s="2545"/>
      <c r="K220" s="2545"/>
      <c r="L220" s="2560"/>
      <c r="M220" s="2545"/>
      <c r="N220" s="2545"/>
      <c r="O220" s="1819"/>
      <c r="P220" s="2545"/>
      <c r="Q220" s="2545"/>
      <c r="R220" s="1819"/>
      <c r="S220" s="2547">
        <f>'Part III-A-Uses of Funds'!S107</f>
        <v>2500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40000</v>
      </c>
      <c r="F221" s="2561"/>
      <c r="G221" s="2547">
        <f>'Part III-A-Uses of Funds'!G108</f>
        <v>40000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40000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34400</v>
      </c>
      <c r="F222" s="2561"/>
      <c r="G222" s="2547">
        <f>'Part III-A-Uses of Funds'!G109</f>
        <v>34400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34400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43</v>
      </c>
      <c r="AC226" s="1819"/>
      <c r="AD226" s="2703">
        <f>IF($AD$101="Income Averaging",AB226*'DCA Underwriting Assumptions'!$Q$61,AB226*'DCA Underwriting Assumptions'!$Q$60)</f>
        <v>34400</v>
      </c>
      <c r="AE226" s="1819"/>
      <c r="AF226" s="1819"/>
      <c r="AG226" s="1819"/>
    </row>
    <row r="227" spans="1:33">
      <c r="A227" s="1819"/>
      <c r="B227" s="1819"/>
      <c r="C227" s="1819"/>
      <c r="D227" s="1819"/>
      <c r="E227" s="1819"/>
      <c r="F227" s="2669" t="s">
        <v>184</v>
      </c>
      <c r="G227" s="2547">
        <f>SUM(G218:G226)</f>
        <v>97900</v>
      </c>
      <c r="H227" s="2547"/>
      <c r="I227" s="1819"/>
      <c r="J227" s="2545"/>
      <c r="K227" s="2545"/>
      <c r="L227" s="2545"/>
      <c r="M227" s="2545"/>
      <c r="N227" s="2545"/>
      <c r="O227" s="1819"/>
      <c r="P227" s="2545"/>
      <c r="Q227" s="2545"/>
      <c r="R227" s="1819"/>
      <c r="S227" s="2547">
        <f>SUM(S218:S226)</f>
        <v>97900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43</v>
      </c>
      <c r="AC228" s="1819"/>
      <c r="AD228" s="2706">
        <f>SUM(AD226:AD227)</f>
        <v>34400</v>
      </c>
      <c r="AE228" s="1819"/>
      <c r="AF228" s="1819"/>
      <c r="AG228" s="1819"/>
    </row>
    <row r="229" spans="1:33">
      <c r="A229" s="1819"/>
      <c r="B229" s="1819" t="s">
        <v>267</v>
      </c>
      <c r="C229" s="1819"/>
      <c r="D229" s="1819"/>
      <c r="E229" s="1819"/>
      <c r="F229" s="1819"/>
      <c r="G229" s="2547">
        <f>'Part III-A-Uses of Funds'!G116</f>
        <v>500</v>
      </c>
      <c r="H229" s="2547"/>
      <c r="I229" s="1819"/>
      <c r="J229" s="2547"/>
      <c r="K229" s="2547"/>
      <c r="L229" s="2545"/>
      <c r="M229" s="2547"/>
      <c r="N229" s="2547"/>
      <c r="O229" s="1819"/>
      <c r="P229" s="2547"/>
      <c r="Q229" s="2547"/>
      <c r="R229" s="1819"/>
      <c r="S229" s="2547">
        <f>'Part III-A-Uses of Funds'!S116</f>
        <v>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1000</v>
      </c>
      <c r="H230" s="2547"/>
      <c r="I230" s="1819"/>
      <c r="J230" s="2547"/>
      <c r="K230" s="2547"/>
      <c r="L230" s="2545"/>
      <c r="M230" s="2547"/>
      <c r="N230" s="2547"/>
      <c r="O230" s="1819"/>
      <c r="P230" s="2547"/>
      <c r="Q230" s="2547"/>
      <c r="R230" s="1819"/>
      <c r="S230" s="2547">
        <f>'Part III-A-Uses of Funds'!S117</f>
        <v>1000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40000</v>
      </c>
      <c r="H231" s="2547"/>
      <c r="I231" s="1819"/>
      <c r="J231" s="2547"/>
      <c r="K231" s="2547"/>
      <c r="L231" s="2545"/>
      <c r="M231" s="2547"/>
      <c r="N231" s="2547"/>
      <c r="O231" s="1819"/>
      <c r="P231" s="2547"/>
      <c r="Q231" s="2547"/>
      <c r="R231" s="1819"/>
      <c r="S231" s="2547">
        <f>'Part III-A-Uses of Funds'!S118</f>
        <v>40000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41500</v>
      </c>
      <c r="H233" s="2547"/>
      <c r="I233" s="1819"/>
      <c r="J233" s="2547"/>
      <c r="K233" s="2547"/>
      <c r="L233" s="2545"/>
      <c r="M233" s="2547"/>
      <c r="N233" s="2547"/>
      <c r="O233" s="1819"/>
      <c r="P233" s="2547"/>
      <c r="Q233" s="2547"/>
      <c r="R233" s="1819"/>
      <c r="S233" s="2547">
        <f>SUM(S229:S232)</f>
        <v>41500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0.5</v>
      </c>
      <c r="G235" s="2547">
        <f>'Part III-A-Uses of Funds'!G122</f>
        <v>577500</v>
      </c>
      <c r="H235" s="2547"/>
      <c r="I235" s="1819"/>
      <c r="J235" s="2547">
        <f>'Part III-A-Uses of Funds'!J122</f>
        <v>0</v>
      </c>
      <c r="K235" s="2547"/>
      <c r="L235" s="2545"/>
      <c r="M235" s="2547">
        <f>'Part III-A-Uses of Funds'!M122</f>
        <v>0</v>
      </c>
      <c r="N235" s="2547"/>
      <c r="O235" s="1819"/>
      <c r="P235" s="2547">
        <f>'Part III-A-Uses of Funds'!P122</f>
        <v>577500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3411</v>
      </c>
      <c r="C236" s="1819"/>
      <c r="D236" s="1819"/>
      <c r="E236" s="1819"/>
      <c r="F236" s="2564">
        <f>'Part III-A-Uses of Funds'!F123</f>
        <v>300000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0.5</v>
      </c>
      <c r="G239" s="2547">
        <f>'Part III-A-Uses of Funds'!G126</f>
        <v>577500</v>
      </c>
      <c r="H239" s="2547"/>
      <c r="I239" s="1819"/>
      <c r="J239" s="2547">
        <f>'Part III-A-Uses of Funds'!J126</f>
        <v>0</v>
      </c>
      <c r="K239" s="2547"/>
      <c r="L239" s="2545"/>
      <c r="M239" s="2547">
        <f>'Part III-A-Uses of Funds'!M126</f>
        <v>0</v>
      </c>
      <c r="N239" s="2547"/>
      <c r="O239" s="1819"/>
      <c r="P239" s="2547">
        <f>'Part III-A-Uses of Funds'!P126</f>
        <v>577500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1182500</v>
      </c>
      <c r="F240" s="2669" t="s">
        <v>184</v>
      </c>
      <c r="G240" s="2547">
        <f>SUM(G235:G239)</f>
        <v>1155000</v>
      </c>
      <c r="H240" s="2547"/>
      <c r="I240" s="1819"/>
      <c r="J240" s="2547">
        <f>SUM(J235:J239)</f>
        <v>0</v>
      </c>
      <c r="K240" s="2547"/>
      <c r="L240" s="2545"/>
      <c r="M240" s="2547">
        <f>SUM(M235:M239)</f>
        <v>0</v>
      </c>
      <c r="N240" s="2547"/>
      <c r="O240" s="1819"/>
      <c r="P240" s="2547">
        <f>SUM(P235:P239)</f>
        <v>1155000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500</v>
      </c>
      <c r="H242" s="2547"/>
      <c r="I242" s="1819"/>
      <c r="J242" s="2560"/>
      <c r="K242" s="2560"/>
      <c r="L242" s="2560"/>
      <c r="M242" s="2560"/>
      <c r="N242" s="2560"/>
      <c r="O242" s="1819"/>
      <c r="P242" s="2560"/>
      <c r="Q242" s="2560"/>
      <c r="R242" s="1819"/>
      <c r="S242" s="2547">
        <f>'Part III-A-Uses of Funds'!S129</f>
        <v>500</v>
      </c>
      <c r="T242" s="2547"/>
      <c r="U242" s="1819"/>
      <c r="V242" s="2665"/>
    </row>
    <row r="243" spans="1:22">
      <c r="A243" s="1819"/>
      <c r="B243" s="1819" t="s">
        <v>1436</v>
      </c>
      <c r="C243" s="1819"/>
      <c r="D243" s="1819"/>
      <c r="E243" s="1819"/>
      <c r="F243" s="2717">
        <f>'Part III-A-Uses of Funds'!F130</f>
        <v>42215.75</v>
      </c>
      <c r="G243" s="2547">
        <f>'Part III-A-Uses of Funds'!G130</f>
        <v>42216</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42216</v>
      </c>
      <c r="T243" s="2547"/>
      <c r="U243" s="1819"/>
      <c r="V243" s="2665"/>
    </row>
    <row r="244" spans="1:22">
      <c r="A244" s="1819"/>
      <c r="B244" s="1819" t="s">
        <v>632</v>
      </c>
      <c r="C244" s="1819"/>
      <c r="D244" s="1819"/>
      <c r="E244" s="1819"/>
      <c r="F244" s="2717">
        <f>'Part III-A-Uses of Funds'!F131</f>
        <v>107163.24152046996</v>
      </c>
      <c r="G244" s="2547">
        <f>'Part III-A-Uses of Funds'!G131</f>
        <v>107163</v>
      </c>
      <c r="H244" s="2547"/>
      <c r="I244" s="1819"/>
      <c r="J244" s="2565" t="str">
        <f>IF(E244&gt;G244,"WARNING! ODR proposed is below minimum - add comment.","")</f>
        <v/>
      </c>
      <c r="K244" s="2560"/>
      <c r="L244" s="2560"/>
      <c r="M244" s="2560"/>
      <c r="N244" s="2560"/>
      <c r="O244" s="1819"/>
      <c r="P244" s="2560"/>
      <c r="Q244" s="2560"/>
      <c r="R244" s="1819"/>
      <c r="S244" s="2547">
        <f>'Part III-A-Uses of Funds'!S131</f>
        <v>107163</v>
      </c>
      <c r="T244" s="2547"/>
      <c r="U244" s="1819"/>
      <c r="V244" s="2665"/>
    </row>
    <row r="245" spans="1:22">
      <c r="A245" s="1819"/>
      <c r="B245" s="1819" t="s">
        <v>1170</v>
      </c>
      <c r="C245" s="1819"/>
      <c r="D245" s="1819"/>
      <c r="E245" s="1819"/>
      <c r="F245" s="1819"/>
      <c r="G245" s="2547">
        <f>'Part III-A-Uses of Funds'!G132</f>
        <v>15050</v>
      </c>
      <c r="H245" s="2547"/>
      <c r="I245" s="1819"/>
      <c r="J245" s="2560"/>
      <c r="K245" s="2560"/>
      <c r="L245" s="2560"/>
      <c r="M245" s="2560"/>
      <c r="N245" s="2560"/>
      <c r="O245" s="1819"/>
      <c r="P245" s="2560"/>
      <c r="Q245" s="2560"/>
      <c r="R245" s="1819"/>
      <c r="S245" s="2547">
        <f>'Part III-A-Uses of Funds'!S132</f>
        <v>15050</v>
      </c>
      <c r="T245" s="2547"/>
      <c r="U245" s="1819"/>
      <c r="V245" s="2665"/>
    </row>
    <row r="246" spans="1:22">
      <c r="A246" s="1819"/>
      <c r="B246" s="1819" t="s">
        <v>1171</v>
      </c>
      <c r="C246" s="1819"/>
      <c r="D246" s="1819"/>
      <c r="E246" s="2670" t="s">
        <v>3137</v>
      </c>
      <c r="F246" s="2717">
        <f>'Part III-A-Uses of Funds'!F133</f>
        <v>1162.7906976744187</v>
      </c>
      <c r="G246" s="2547">
        <f>'Part III-A-Uses of Funds'!G133</f>
        <v>50000</v>
      </c>
      <c r="H246" s="2547"/>
      <c r="I246" s="1819"/>
      <c r="J246" s="2547">
        <f>'Part III-A-Uses of Funds'!J133</f>
        <v>0</v>
      </c>
      <c r="K246" s="2547"/>
      <c r="L246" s="2545"/>
      <c r="M246" s="2547">
        <f>'Part III-A-Uses of Funds'!M133</f>
        <v>0</v>
      </c>
      <c r="N246" s="2547"/>
      <c r="O246" s="1819"/>
      <c r="P246" s="2547">
        <f>'Part III-A-Uses of Funds'!P133</f>
        <v>50000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214929</v>
      </c>
      <c r="H248" s="2547"/>
      <c r="I248" s="1819"/>
      <c r="J248" s="2547">
        <f>SUM(J246:J247)</f>
        <v>0</v>
      </c>
      <c r="K248" s="2547"/>
      <c r="L248" s="2545"/>
      <c r="M248" s="2547">
        <f>SUM(M246:M247)</f>
        <v>0</v>
      </c>
      <c r="N248" s="2547"/>
      <c r="O248" s="1819"/>
      <c r="P248" s="2547">
        <f>SUM(P246:P247)</f>
        <v>50000</v>
      </c>
      <c r="Q248" s="2547"/>
      <c r="R248" s="1819"/>
      <c r="S248" s="2547">
        <f>SUM(S242:S247)</f>
        <v>164929</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250000</v>
      </c>
      <c r="H255" s="2547"/>
      <c r="I255" s="1819"/>
      <c r="J255" s="2547">
        <f>'Part III-A-Uses of Funds'!J142</f>
        <v>0</v>
      </c>
      <c r="K255" s="2547"/>
      <c r="L255" s="2545"/>
      <c r="M255" s="2547">
        <f>'Part III-A-Uses of Funds'!M142</f>
        <v>0</v>
      </c>
      <c r="N255" s="2547"/>
      <c r="O255" s="1819"/>
      <c r="P255" s="2547">
        <f>'Part III-A-Uses of Funds'!P142</f>
        <v>250000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250000</v>
      </c>
      <c r="H257" s="2547"/>
      <c r="I257" s="1819"/>
      <c r="J257" s="2547">
        <f>SUM(J255:J256)</f>
        <v>0</v>
      </c>
      <c r="K257" s="2547"/>
      <c r="L257" s="2545"/>
      <c r="M257" s="2547">
        <f>SUM(M255:M256)</f>
        <v>0</v>
      </c>
      <c r="N257" s="2547"/>
      <c r="O257" s="1819"/>
      <c r="P257" s="2547">
        <f>SUM(P255:P256)</f>
        <v>250000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8102254</v>
      </c>
      <c r="H259" s="2567"/>
      <c r="I259" s="1819"/>
      <c r="J259" s="2567">
        <f>J131+J137+J141+J149+J154+J159+J168+J186+J199+J205+J216+J227+J233+J240+J248+J257</f>
        <v>0</v>
      </c>
      <c r="K259" s="2567"/>
      <c r="L259" s="1819"/>
      <c r="M259" s="2567">
        <f>M131+M137+M141+M149+M154+M159+M168+M186+M199+M205+M216+M227+M233+M240+M248+M257</f>
        <v>1012000</v>
      </c>
      <c r="N259" s="2567"/>
      <c r="O259" s="1819"/>
      <c r="P259" s="2567">
        <f>P131+P137+P141+P149+P154+P159+P168+P186+P199+P205+P216+P227+P233+P240+P248+P257</f>
        <v>6414264</v>
      </c>
      <c r="Q259" s="2567"/>
      <c r="R259" s="1819"/>
      <c r="S259" s="2567">
        <f>S131+S137+S141+S149+S154+S159+S168+S186+S199+S205+S216+S227+S233+S240+S248+S257</f>
        <v>675990</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188424.51162790696</v>
      </c>
      <c r="E261" s="2568"/>
      <c r="F261" s="2695" t="s">
        <v>2487</v>
      </c>
      <c r="G261" s="2568">
        <f>IF('Part V-Revenues &amp; Expenses'!$K$175=0,0,G259/'Part V-Revenues &amp; Expenses'!$K$175)</f>
        <v>262.19189696459779</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1012000</v>
      </c>
      <c r="N275" s="2648"/>
      <c r="O275" s="1819"/>
      <c r="P275" s="2648">
        <f>P259</f>
        <v>6414264</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1012000</v>
      </c>
      <c r="N277" s="2648"/>
      <c r="O277" s="1819"/>
      <c r="P277" s="2648">
        <f>P275-P276</f>
        <v>6414264</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1012000</v>
      </c>
      <c r="N279" s="2648"/>
      <c r="O279" s="1819"/>
      <c r="P279" s="2648">
        <f>P277*P278</f>
        <v>6414264</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1012000</v>
      </c>
      <c r="N281" s="2648"/>
      <c r="O281" s="1819"/>
      <c r="P281" s="2648">
        <f>P279*P280</f>
        <v>6414264</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0.04</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40480</v>
      </c>
      <c r="N283" s="2648"/>
      <c r="O283" s="1819"/>
      <c r="P283" s="2648">
        <f>P281*P282</f>
        <v>577283.76</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617763</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8102254</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1288647</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6813607</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681360.7</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1.35</v>
      </c>
      <c r="K295" s="2733"/>
      <c r="L295" s="2733"/>
      <c r="M295" s="1622" t="s">
        <v>1212</v>
      </c>
      <c r="N295" s="2734">
        <f>'Part III-A-Uses of Funds'!N182</f>
        <v>0.83</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504711</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500000</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500000</v>
      </c>
      <c r="K302" s="2647"/>
      <c r="L302" s="2647"/>
      <c r="M302" s="2737" t="str">
        <f>IF(J300=0,"",IF(J302&gt;J300,"Request can't exceed Maximum - REVISE (Try Round Down)!",""))</f>
        <v/>
      </c>
      <c r="N302" s="2737"/>
      <c r="O302" s="2737"/>
      <c r="P302" s="2737"/>
      <c r="Q302" s="2707" t="s">
        <v>6543</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500000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hard costs are based on a cost estimate received from Tishco Construction based on two projects that Tishco is rehabilitating for Hallmark.  Also, please note the project team representatives from Hallmark Development Partners, LLC (proposed developer), Studio 8 Design (proposed architect), and Tishco, LLC (proposed contractor) have substantial experience with the construction hard costs associated with the rehabilitation of multi-family properties.  The project team has worked together on more than 30 tax credit rehabilitations.  
Permit Fees: Permit Fees are estimated to be $5883.  The Permits fee schedule and methodology are included in Tab 2 as verification.
Water/Sewer Tap Impact Fees: No impact, water, or sewer tap fees are charged for the proposed redevelopment due to it being a rehabilitation. 
Relocation Expense: Custom Relocation Specialists created the relocation budget for the project.  All required documentation is included in Tab 23 of the application.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Hillmont Apartments  -  Lake Park  -  Lowndes,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Hillmont Apartments,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6972</v>
      </c>
    </row>
    <row r="405" spans="1:13">
      <c r="A405" s="361" t="s">
        <v>573</v>
      </c>
      <c r="B405" s="361" t="s">
        <v>2059</v>
      </c>
      <c r="F405" s="359" t="s">
        <v>2317</v>
      </c>
      <c r="G405" s="359"/>
      <c r="H405" s="359"/>
      <c r="I405" s="2621" t="str">
        <f>'Part IV-Utility Allowances'!I7</f>
        <v>USDA</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Total From USDA UA Letter</v>
      </c>
      <c r="D419" s="362"/>
      <c r="E419" s="362"/>
      <c r="F419" s="2756">
        <f>'Part IV-Utility Allowances'!F21</f>
        <v>0</v>
      </c>
      <c r="G419" s="2756">
        <f>'Part IV-Utility Allowances'!G21</f>
        <v>0</v>
      </c>
      <c r="I419" s="1894">
        <f>'Part IV-Utility Allowances'!I21</f>
        <v>0</v>
      </c>
      <c r="J419" s="1894">
        <f>'Part IV-Utility Allowances'!J21</f>
        <v>129</v>
      </c>
      <c r="K419" s="1894">
        <f>'Part IV-Utility Allowances'!K21</f>
        <v>149</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129</v>
      </c>
      <c r="K420" s="2756">
        <f>IF(SUM(K410:K419)=0,0,IF(OR($D410="&lt;&lt;Select Fuel &gt;&gt;",$D411="&lt;&lt;Select Fuel &gt;&gt;",$D412="&lt;&lt;Select Fuel &gt;&gt;"),"Select Fuel",IF($E417="&lt;Select&gt;","Submeter?",SUM(K410:K419))))</f>
        <v>149</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9.5">
      <c r="B441" s="2757" t="str">
        <f>'Part IV-Utility Allowances'!B43</f>
        <v>The utility allowance rates listed above became effective January 1, 2023 per QAP guidelines.  USDA provided a utility alloance chnge letter which reflect an appoved Utility Allowance of $129 for 1 Bedroom units and $149 for 2 Bedroom units.  Please see the included signed letter by Theresa Taylor, Loan Specialists, USDA Rural Development included in Tab 2 of the application.  
USDA–Assisted Buildings. If a building receives assistance from the USDA (formerly called the Farmers Home Administration, or FmHA), the USDA-prescribed utility allowance applies to all rent-restricted units in the building. The USDA-approved allowance applies even if the building is assisted by any other program or agency. Examples of USDA assistance include assistance provided under the USDA Section 515 rural rental loan program and USDA rental assistance.</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Hillmont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Hillmont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Valdosta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6975</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&lt;Select&gt;</v>
      </c>
      <c r="I454" s="2771" t="s">
        <v>4070</v>
      </c>
      <c r="J454" s="2765" t="s">
        <v>742</v>
      </c>
      <c r="K454" s="2765" t="s">
        <v>3182</v>
      </c>
      <c r="L454" s="2766"/>
      <c r="M454" s="2766"/>
      <c r="N454" s="2766"/>
      <c r="O454" s="2772" t="s">
        <v>6075</v>
      </c>
      <c r="P454" s="2773">
        <f>'Part V-Revenues &amp; Expenses'!P7</f>
        <v>44927</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NOVOGRADAC (National Non Metro)</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6976</v>
      </c>
      <c r="L456" s="1634" t="s">
        <v>139</v>
      </c>
      <c r="M456" s="1634"/>
      <c r="N456" s="2765" t="s">
        <v>2184</v>
      </c>
      <c r="O456" s="2765" t="s">
        <v>6482</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9</v>
      </c>
      <c r="F465" s="2578">
        <f>'Part V-Revenues &amp; Expenses'!F18</f>
        <v>634</v>
      </c>
      <c r="G465" s="2578">
        <f>'Part V-Revenues &amp; Expenses'!G18</f>
        <v>668</v>
      </c>
      <c r="H465" s="2578">
        <f>'Part V-Revenues &amp; Expenses'!H18</f>
        <v>655</v>
      </c>
      <c r="I465" s="2578">
        <f>'Part V-Revenues &amp; Expenses'!I18</f>
        <v>0</v>
      </c>
      <c r="J465" s="2578">
        <f>'Part V-Revenues &amp; Expenses'!J18</f>
        <v>129</v>
      </c>
      <c r="K465" s="2579" t="str">
        <f>'Part V-Revenues &amp; Expenses'!K18</f>
        <v>USDA</v>
      </c>
      <c r="L465" s="2580">
        <f t="shared" si="1"/>
        <v>526</v>
      </c>
      <c r="M465" s="2580">
        <f t="shared" si="2"/>
        <v>4734</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9</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f t="shared" si="59"/>
        <v>9</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5706</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5706</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9</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9</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9</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9</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1</v>
      </c>
      <c r="E466" s="2578">
        <f>'Part V-Revenues &amp; Expenses'!E19</f>
        <v>1</v>
      </c>
      <c r="F466" s="2578">
        <f>'Part V-Revenues &amp; Expenses'!F19</f>
        <v>738</v>
      </c>
      <c r="G466" s="2578">
        <f>'Part V-Revenues &amp; Expenses'!G19</f>
        <v>802</v>
      </c>
      <c r="H466" s="2578">
        <f>'Part V-Revenues &amp; Expenses'!H19</f>
        <v>750</v>
      </c>
      <c r="I466" s="2578">
        <f>'Part V-Revenues &amp; Expenses'!I19</f>
        <v>0</v>
      </c>
      <c r="J466" s="2578">
        <f>'Part V-Revenues &amp; Expenses'!J19</f>
        <v>149</v>
      </c>
      <c r="K466" s="2579" t="str">
        <f>'Part V-Revenues &amp; Expenses'!K19</f>
        <v>USDA</v>
      </c>
      <c r="L466" s="2580">
        <f t="shared" si="1"/>
        <v>601</v>
      </c>
      <c r="M466" s="2580">
        <f t="shared" si="2"/>
        <v>601</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f t="shared" si="60"/>
        <v>1</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738</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738</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28</v>
      </c>
      <c r="F467" s="2578">
        <f>'Part V-Revenues &amp; Expenses'!F20</f>
        <v>634</v>
      </c>
      <c r="G467" s="2578">
        <f>'Part V-Revenues &amp; Expenses'!G20</f>
        <v>801</v>
      </c>
      <c r="H467" s="2578">
        <f>'Part V-Revenues &amp; Expenses'!H20</f>
        <v>655</v>
      </c>
      <c r="I467" s="2578">
        <f>'Part V-Revenues &amp; Expenses'!I20</f>
        <v>0</v>
      </c>
      <c r="J467" s="2578">
        <f>'Part V-Revenues &amp; Expenses'!J20</f>
        <v>129</v>
      </c>
      <c r="K467" s="2579" t="str">
        <f>'Part V-Revenues &amp; Expenses'!K20</f>
        <v>USDA</v>
      </c>
      <c r="L467" s="2580">
        <f t="shared" si="1"/>
        <v>526</v>
      </c>
      <c r="M467" s="2580">
        <f t="shared" si="2"/>
        <v>14728</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28</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f t="shared" si="64"/>
        <v>28</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17752</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17752</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28</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28</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28</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28</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1</v>
      </c>
      <c r="F468" s="2578">
        <f>'Part V-Revenues &amp; Expenses'!F21</f>
        <v>738</v>
      </c>
      <c r="G468" s="2578">
        <f>'Part V-Revenues &amp; Expenses'!G21</f>
        <v>963</v>
      </c>
      <c r="H468" s="2578">
        <f>'Part V-Revenues &amp; Expenses'!H21</f>
        <v>655</v>
      </c>
      <c r="I468" s="2578">
        <f>'Part V-Revenues &amp; Expenses'!I21</f>
        <v>0</v>
      </c>
      <c r="J468" s="2578">
        <f>'Part V-Revenues &amp; Expenses'!J21</f>
        <v>129</v>
      </c>
      <c r="K468" s="2579">
        <f>'Part V-Revenues &amp; Expenses'!K21</f>
        <v>0</v>
      </c>
      <c r="L468" s="2580">
        <f t="shared" si="1"/>
        <v>526</v>
      </c>
      <c r="M468" s="2580">
        <f t="shared" si="2"/>
        <v>526</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738</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1</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1</v>
      </c>
      <c r="E469" s="2578">
        <f>'Part V-Revenues &amp; Expenses'!E22</f>
        <v>3</v>
      </c>
      <c r="F469" s="2578">
        <f>'Part V-Revenues &amp; Expenses'!F22</f>
        <v>867</v>
      </c>
      <c r="G469" s="2578">
        <f>'Part V-Revenues &amp; Expenses'!G22</f>
        <v>963</v>
      </c>
      <c r="H469" s="2578">
        <f>'Part V-Revenues &amp; Expenses'!H22</f>
        <v>750</v>
      </c>
      <c r="I469" s="2578">
        <f>'Part V-Revenues &amp; Expenses'!I22</f>
        <v>0</v>
      </c>
      <c r="J469" s="2578">
        <f>'Part V-Revenues &amp; Expenses'!J22</f>
        <v>149</v>
      </c>
      <c r="K469" s="2579" t="str">
        <f>'Part V-Revenues &amp; Expenses'!K22</f>
        <v>USDA</v>
      </c>
      <c r="L469" s="2580">
        <f t="shared" si="1"/>
        <v>601</v>
      </c>
      <c r="M469" s="2580">
        <f t="shared" si="2"/>
        <v>1803</v>
      </c>
      <c r="N469" s="2651" t="str">
        <f>'Part V-Revenues &amp; Expenses'!N22</f>
        <v>No</v>
      </c>
      <c r="O469" s="1320" t="str">
        <f>'Part V-Revenues &amp; Expenses'!O22</f>
        <v>Low-Rise Apt</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3</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f t="shared" si="65"/>
        <v>3</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2601</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f t="shared" si="160"/>
        <v>2601</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3</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3</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3</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3</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2</v>
      </c>
      <c r="D470" s="2577">
        <f>'Part V-Revenues &amp; Expenses'!D23</f>
        <v>1</v>
      </c>
      <c r="E470" s="2578">
        <f>'Part V-Revenues &amp; Expenses'!E23</f>
        <v>1</v>
      </c>
      <c r="F470" s="2578">
        <f>'Part V-Revenues &amp; Expenses'!F23</f>
        <v>867</v>
      </c>
      <c r="G470" s="2578">
        <f>'Part V-Revenues &amp; Expenses'!G23</f>
        <v>963</v>
      </c>
      <c r="H470" s="2578">
        <f>'Part V-Revenues &amp; Expenses'!H23</f>
        <v>0</v>
      </c>
      <c r="I470" s="2578">
        <f>'Part V-Revenues &amp; Expenses'!I23</f>
        <v>0</v>
      </c>
      <c r="J470" s="2578">
        <f>'Part V-Revenues &amp; Expenses'!J23</f>
        <v>149</v>
      </c>
      <c r="K470" s="2579">
        <f>'Part V-Revenues &amp; Expenses'!K23</f>
        <v>0</v>
      </c>
      <c r="L470" s="2580">
        <f t="shared" si="1"/>
        <v>0</v>
      </c>
      <c r="M470" s="2580">
        <f t="shared" si="2"/>
        <v>0</v>
      </c>
      <c r="N470" s="2651" t="str">
        <f>'Part V-Revenues &amp; Expenses'!N23</f>
        <v>Residential</v>
      </c>
      <c r="O470" s="1320" t="str">
        <f>'Part V-Revenues &amp; Expenses'!O23</f>
        <v>Low-Rise Apt</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1</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867</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1</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1</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1</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43</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28402</v>
      </c>
      <c r="H496" s="2583" t="s">
        <v>3765</v>
      </c>
      <c r="I496" s="2787" t="s">
        <v>3766</v>
      </c>
      <c r="J496" s="2584" t="str">
        <f>IF(P514=0,"",IF(SUM(P505:P509)/P514&gt;=0.4,"Pass","Fail"))</f>
        <v>Pass</v>
      </c>
      <c r="K496" s="363"/>
      <c r="L496" s="2788" t="s">
        <v>1225</v>
      </c>
      <c r="M496" s="2585">
        <f>SUM(M458:M495)</f>
        <v>22392</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29</v>
      </c>
      <c r="AJ496" s="1749">
        <f t="shared" si="338"/>
        <v>4</v>
      </c>
      <c r="AK496" s="1749">
        <f t="shared" si="338"/>
        <v>0</v>
      </c>
      <c r="AL496" s="1749">
        <f t="shared" si="338"/>
        <v>0</v>
      </c>
      <c r="AM496" s="1749">
        <f>SUM(AM458:AM495)</f>
        <v>0</v>
      </c>
      <c r="AN496" s="1749">
        <f>SUM(AN458:AN495)</f>
        <v>9</v>
      </c>
      <c r="AO496" s="1749">
        <f>SUM(AO458:AO495)</f>
        <v>1</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9</v>
      </c>
      <c r="CC496" s="1749">
        <f t="shared" si="338"/>
        <v>1</v>
      </c>
      <c r="CD496" s="1749">
        <f t="shared" si="338"/>
        <v>0</v>
      </c>
      <c r="CE496" s="1749">
        <f t="shared" si="338"/>
        <v>0</v>
      </c>
      <c r="CF496" s="1749">
        <f t="shared" si="338"/>
        <v>0</v>
      </c>
      <c r="CG496" s="1749">
        <f t="shared" si="338"/>
        <v>28</v>
      </c>
      <c r="CH496" s="1749">
        <f t="shared" si="338"/>
        <v>3</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18490</v>
      </c>
      <c r="EU496" s="1749">
        <f t="shared" si="338"/>
        <v>3468</v>
      </c>
      <c r="EV496" s="1749">
        <f t="shared" si="338"/>
        <v>0</v>
      </c>
      <c r="EW496" s="1749">
        <f t="shared" si="338"/>
        <v>0</v>
      </c>
      <c r="EX496" s="1749">
        <f t="shared" si="338"/>
        <v>0</v>
      </c>
      <c r="EY496" s="1749">
        <f t="shared" si="338"/>
        <v>5706</v>
      </c>
      <c r="EZ496" s="1749">
        <f t="shared" si="338"/>
        <v>738</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23458</v>
      </c>
      <c r="FY496" s="1749">
        <f t="shared" si="340"/>
        <v>3339</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38</v>
      </c>
      <c r="GX496" s="1749">
        <f t="shared" si="340"/>
        <v>5</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38</v>
      </c>
      <c r="IB496" s="1749">
        <f t="shared" si="341"/>
        <v>5</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38</v>
      </c>
      <c r="JU496" s="1749">
        <f t="shared" si="341"/>
        <v>5</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38</v>
      </c>
      <c r="MH496" s="1749">
        <f t="shared" si="343"/>
        <v>5</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57.674418604651166</v>
      </c>
      <c r="C497" s="2789"/>
      <c r="D497" s="2756" t="s">
        <v>3675</v>
      </c>
      <c r="E497" s="2581">
        <f>SUM(E465:E495)</f>
        <v>43</v>
      </c>
      <c r="F497" s="2582">
        <f>(E465*F465+E466*F466+E467*F467+E468*F468+E469*F469+E470*F470+E471*F471+E472*F472+E473*F473+E474*F474+E475*F475+E476*F476+E477*F477+E478*F478+E479*F479+E480*F480+E481*F481+E482*F482+E483*F483+E484*F484+E485*F485+E486*F486+E487*F487+E488*F488+E489*F489+E490*F490+E491*F491+E492*F492+E493*F493+E494*F494+E495*F495)</f>
        <v>28402</v>
      </c>
      <c r="H497" s="2583"/>
      <c r="I497" s="2787" t="s">
        <v>3767</v>
      </c>
      <c r="J497" s="2584" t="str">
        <f>IF(P514=0,"",IF(SUM(P506:P509)/P514&gt;=0.2,"Pass","Fail"))</f>
        <v>Pass</v>
      </c>
      <c r="K497" s="363"/>
      <c r="L497" s="2786" t="s">
        <v>757</v>
      </c>
      <c r="M497" s="2585">
        <f>M496*12</f>
        <v>268704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29</v>
      </c>
      <c r="M505" s="2586">
        <f>AJ496</f>
        <v>4</v>
      </c>
      <c r="N505" s="2586">
        <f>AK496</f>
        <v>0</v>
      </c>
      <c r="O505" s="2586">
        <f>AL496</f>
        <v>0</v>
      </c>
      <c r="P505" s="2586">
        <f t="shared" si="344"/>
        <v>33</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9</v>
      </c>
      <c r="M506" s="2586">
        <f>AO496</f>
        <v>1</v>
      </c>
      <c r="N506" s="2586">
        <f>AP496</f>
        <v>0</v>
      </c>
      <c r="O506" s="2586">
        <f>AQ496</f>
        <v>0</v>
      </c>
      <c r="P506" s="2586">
        <f t="shared" si="344"/>
        <v>10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38</v>
      </c>
      <c r="M510" s="2586">
        <f>SUM(M503:M509)</f>
        <v>5</v>
      </c>
      <c r="N510" s="2586">
        <f>SUM(N503:N509)</f>
        <v>0</v>
      </c>
      <c r="O510" s="2586">
        <f>SUM(O503:O509)</f>
        <v>0</v>
      </c>
      <c r="P510" s="2586">
        <f t="shared" si="344"/>
        <v>43</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38</v>
      </c>
      <c r="M512" s="2587">
        <f>SUM(M510:M511)</f>
        <v>5</v>
      </c>
      <c r="N512" s="2587">
        <f>SUM(N510:N511)</f>
        <v>0</v>
      </c>
      <c r="O512" s="2587">
        <f>SUM(O510:O511)</f>
        <v>0</v>
      </c>
      <c r="P512" s="2587">
        <f t="shared" si="344"/>
        <v>43</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38</v>
      </c>
      <c r="M514" s="2588">
        <f>SUM(M512:M513)</f>
        <v>5</v>
      </c>
      <c r="N514" s="2588">
        <f>SUM(N512:N513)</f>
        <v>0</v>
      </c>
      <c r="O514" s="2588">
        <f>SUM(O512:O513)</f>
        <v>0</v>
      </c>
      <c r="P514" s="2588">
        <f t="shared" si="344"/>
        <v>43</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0.76315789473684215</v>
      </c>
      <c r="M523" s="2803">
        <f t="shared" si="349"/>
        <v>0.8</v>
      </c>
      <c r="N523" s="2803" t="str">
        <f t="shared" si="349"/>
        <v/>
      </c>
      <c r="O523" s="2803" t="str">
        <f t="shared" si="349"/>
        <v/>
      </c>
      <c r="P523" s="2803">
        <f t="shared" si="349"/>
        <v>0.76744186046511631</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29.162790697674421</v>
      </c>
      <c r="M524" s="2804">
        <f>IF(OR(M505=0,P523="",M514=0),"",P523*M514)</f>
        <v>3.8372093023255816</v>
      </c>
      <c r="N524" s="2804" t="str">
        <f>IF(OR(N505=0,P523="",N514=0),"",P523*N514)</f>
        <v/>
      </c>
      <c r="O524" s="2804" t="str">
        <f>IF(OR(O505=0,P523="",O514=0),"",P523*O514)</f>
        <v/>
      </c>
      <c r="P524" s="2804">
        <f>IF(OR(P523="",P514=0),"",P523*P514)</f>
        <v>33</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-0.16279069767442067</v>
      </c>
      <c r="M525" s="2804">
        <f t="shared" si="350"/>
        <v>0.16279069767441845</v>
      </c>
      <c r="N525" s="2804" t="str">
        <f t="shared" si="350"/>
        <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0.23684210526315788</v>
      </c>
      <c r="M526" s="2803">
        <f t="shared" si="351"/>
        <v>0.2</v>
      </c>
      <c r="N526" s="2803" t="str">
        <f t="shared" si="351"/>
        <v/>
      </c>
      <c r="O526" s="2803" t="str">
        <f t="shared" si="351"/>
        <v/>
      </c>
      <c r="P526" s="2803">
        <f t="shared" si="351"/>
        <v>0.23255813953488372</v>
      </c>
    </row>
    <row r="527" spans="1:343">
      <c r="C527" s="2805"/>
      <c r="D527" s="2805"/>
      <c r="E527" s="2805"/>
      <c r="H527" s="1503" t="s">
        <v>6979</v>
      </c>
      <c r="I527" s="362"/>
      <c r="J527" s="359"/>
      <c r="K527" s="2804" t="str">
        <f>IF(OR(K506=0,P526="",K514=0),"",P526*K514)</f>
        <v/>
      </c>
      <c r="L527" s="2804">
        <f>IF(OR(L506=0,P526="",L514=0),"",P526*L514)</f>
        <v>8.8372093023255811</v>
      </c>
      <c r="M527" s="2804">
        <f>IF(OR(M506=0,P526="",M514=0),"",P526*M514)</f>
        <v>1.1627906976744187</v>
      </c>
      <c r="N527" s="2804" t="str">
        <f>IF(OR(N506=0,P526="",N514=0),"",P526*N514)</f>
        <v/>
      </c>
      <c r="O527" s="2804" t="str">
        <f>IF(OR(O506=0,P526="",O514=0),"",P526*O514)</f>
        <v/>
      </c>
      <c r="P527" s="2804">
        <f>IF(OR(P526="",P514=0),"",P526*P514)</f>
        <v>10</v>
      </c>
    </row>
    <row r="528" spans="1:343">
      <c r="C528" s="2805"/>
      <c r="D528" s="2805"/>
      <c r="E528" s="2805"/>
      <c r="G528" s="2787"/>
      <c r="H528" s="1503" t="s">
        <v>6980</v>
      </c>
      <c r="I528" s="362"/>
      <c r="J528" s="359"/>
      <c r="K528" s="2804" t="str">
        <f t="shared" ref="K528:P528" si="352">IF(OR(K527="",K506=0),"", K506-K527)</f>
        <v/>
      </c>
      <c r="L528" s="2804">
        <f t="shared" si="352"/>
        <v>0.16279069767441889</v>
      </c>
      <c r="M528" s="2804">
        <f t="shared" si="352"/>
        <v>-0.16279069767441867</v>
      </c>
      <c r="N528" s="2804" t="str">
        <f t="shared" si="352"/>
        <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28</v>
      </c>
      <c r="M542" s="2586">
        <f>CH496</f>
        <v>3</v>
      </c>
      <c r="N542" s="2586">
        <f>CI496</f>
        <v>0</v>
      </c>
      <c r="O542" s="2586">
        <f>CJ496</f>
        <v>0</v>
      </c>
      <c r="P542" s="2586">
        <f t="shared" si="359"/>
        <v>31</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9</v>
      </c>
      <c r="M543" s="2586">
        <f>CC496</f>
        <v>1</v>
      </c>
      <c r="N543" s="2586">
        <f>CD496</f>
        <v>0</v>
      </c>
      <c r="O543" s="2586">
        <f>CE496</f>
        <v>0</v>
      </c>
      <c r="P543" s="2586">
        <f t="shared" si="359"/>
        <v>10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37</v>
      </c>
      <c r="M547" s="2588">
        <f>SUM(M540:M546)</f>
        <v>4</v>
      </c>
      <c r="N547" s="2588">
        <f>SUM(N540:N546)</f>
        <v>0</v>
      </c>
      <c r="O547" s="2588">
        <f>SUM(O540:O546)</f>
        <v>0</v>
      </c>
      <c r="P547" s="2588">
        <f t="shared" si="359"/>
        <v>41</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38</v>
      </c>
      <c r="M563" s="2586">
        <f>GX496</f>
        <v>5</v>
      </c>
      <c r="N563" s="2586">
        <f>GY496</f>
        <v>0</v>
      </c>
      <c r="O563" s="2586">
        <f>GZ496</f>
        <v>0</v>
      </c>
      <c r="P563" s="2586">
        <f t="shared" si="361"/>
        <v>43</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38</v>
      </c>
      <c r="M565" s="2588">
        <f>SUM(M563:M564)+HH496</f>
        <v>5</v>
      </c>
      <c r="N565" s="2588">
        <f>SUM(N563:N564)+HI496</f>
        <v>0</v>
      </c>
      <c r="O565" s="2588">
        <f>SUM(O563:O564)+HJ496</f>
        <v>0</v>
      </c>
      <c r="P565" s="2588">
        <f t="shared" si="361"/>
        <v>43</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38</v>
      </c>
      <c r="M574" s="2588">
        <f t="shared" si="362"/>
        <v>5</v>
      </c>
      <c r="N574" s="2588">
        <f t="shared" si="362"/>
        <v>0</v>
      </c>
      <c r="O574" s="2588">
        <f t="shared" si="362"/>
        <v>0</v>
      </c>
      <c r="P574" s="2588">
        <f t="shared" si="362"/>
        <v>43</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38</v>
      </c>
      <c r="M575" s="2586">
        <f>JU496</f>
        <v>5</v>
      </c>
      <c r="N575" s="2586">
        <f>JV496</f>
        <v>0</v>
      </c>
      <c r="O575" s="2586">
        <f>JW496</f>
        <v>0</v>
      </c>
      <c r="P575" s="2586">
        <f t="shared" ref="P575:P590" si="363">SUM(K575:O575)</f>
        <v>43</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38</v>
      </c>
      <c r="M598" s="2586">
        <f t="shared" si="367"/>
        <v>5</v>
      </c>
      <c r="N598" s="2586">
        <f t="shared" si="367"/>
        <v>0</v>
      </c>
      <c r="O598" s="2586">
        <f t="shared" si="367"/>
        <v>0</v>
      </c>
      <c r="P598" s="2588">
        <f t="shared" si="365"/>
        <v>43</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18490</v>
      </c>
      <c r="M606" s="2590">
        <f>EU496</f>
        <v>3468</v>
      </c>
      <c r="N606" s="2590">
        <f>EV496</f>
        <v>0</v>
      </c>
      <c r="O606" s="2590">
        <f>EW496</f>
        <v>0</v>
      </c>
      <c r="P606" s="2590">
        <f t="shared" si="368"/>
        <v>21958</v>
      </c>
      <c r="Q606" s="2804">
        <f t="shared" si="369"/>
        <v>665.39393939393938</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5706</v>
      </c>
      <c r="M607" s="2590">
        <f>EZ496</f>
        <v>738</v>
      </c>
      <c r="N607" s="2590">
        <f>FA496</f>
        <v>0</v>
      </c>
      <c r="O607" s="2590">
        <f>FB496</f>
        <v>0</v>
      </c>
      <c r="P607" s="2590">
        <f t="shared" si="368"/>
        <v>6444</v>
      </c>
      <c r="Q607" s="2804">
        <f t="shared" si="369"/>
        <v>644.4</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24196</v>
      </c>
      <c r="M611" s="2591">
        <f>SUM(M604:M610)</f>
        <v>4206</v>
      </c>
      <c r="N611" s="2591">
        <f>SUM(N604:N610)</f>
        <v>0</v>
      </c>
      <c r="O611" s="2591">
        <f>SUM(O604:O610)</f>
        <v>0</v>
      </c>
      <c r="P611" s="2591">
        <f>SUM(K611:O611)</f>
        <v>28402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24196</v>
      </c>
      <c r="M613" s="2592">
        <f>SUM(M611:M612)</f>
        <v>4206</v>
      </c>
      <c r="N613" s="2592">
        <f>SUM(N611:N612)</f>
        <v>0</v>
      </c>
      <c r="O613" s="2592">
        <f>SUM(O611:O612)</f>
        <v>0</v>
      </c>
      <c r="P613" s="2592">
        <f>SUM(K613:O613)</f>
        <v>28402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24196</v>
      </c>
      <c r="M615" s="2593">
        <f>SUM(M613:M614)</f>
        <v>4206</v>
      </c>
      <c r="N615" s="2593">
        <f>SUM(N613:N614)</f>
        <v>0</v>
      </c>
      <c r="O615" s="2593">
        <f>SUM(O613:O614)</f>
        <v>0</v>
      </c>
      <c r="P615" s="2593">
        <f>SUM(K615:O615)</f>
        <v>28402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636.73684210526312</v>
      </c>
      <c r="M618" s="2818">
        <f>IF(OR(M514="",M514=0),"",M615/M514)</f>
        <v>841.2</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2500</v>
      </c>
      <c r="L621" s="2549"/>
      <c r="Z621" s="1622">
        <v>68</v>
      </c>
    </row>
    <row r="622" spans="1:380" s="1819" customFormat="1" ht="13.35" customHeight="1">
      <c r="A622" s="2615"/>
      <c r="C622" s="377" t="s">
        <v>242</v>
      </c>
      <c r="K622" s="2549">
        <f>P615+K621</f>
        <v>30902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5374.08</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15294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25000</v>
      </c>
      <c r="G668" s="2590"/>
      <c r="I668" s="359" t="s">
        <v>1300</v>
      </c>
      <c r="L668" s="2590">
        <f>'Part V-Revenues &amp; Expenses'!L221</f>
        <v>0</v>
      </c>
      <c r="M668" s="2590"/>
      <c r="O668" s="2599">
        <f>+Q667/(P514*0.93)</f>
        <v>382.44561140285072</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20000</v>
      </c>
      <c r="G669" s="2590"/>
      <c r="I669" s="359" t="s">
        <v>1301</v>
      </c>
      <c r="L669" s="2590">
        <f>'Part V-Revenues &amp; Expenses'!L222</f>
        <v>500</v>
      </c>
      <c r="M669" s="2590"/>
      <c r="O669" s="2599">
        <f>+Q667/(P514*0.93)/12</f>
        <v>31.870467616904225</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500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4000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4000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53000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6000</v>
      </c>
      <c r="M675" s="2590"/>
      <c r="N675" s="2771" t="str">
        <f>IF(Q677="","",IF(Q675&lt;Q677, "WARNING! OE below required minimum.",""))</f>
        <v/>
      </c>
      <c r="O675" s="1747" t="s">
        <v>2029</v>
      </c>
      <c r="Q675" s="2818">
        <f>F674+F683+F694+L670+L678+L688+L694+Q667</f>
        <v>168863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350</v>
      </c>
      <c r="M676" s="2590"/>
      <c r="N676" s="2771"/>
      <c r="O676" s="2799" t="s">
        <v>2486</v>
      </c>
      <c r="P676" s="2599">
        <f>+Q675/P514</f>
        <v>3927.046511627907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2500</v>
      </c>
      <c r="G677" s="2590"/>
      <c r="I677" s="2832" t="str">
        <f>'Part V-Revenues &amp; Expenses'!I230</f>
        <v>Other (describe here)</v>
      </c>
      <c r="J677" s="2832"/>
      <c r="K677" s="2832"/>
      <c r="L677" s="2590">
        <f>'Part V-Revenues &amp; Expenses'!L230</f>
        <v>0</v>
      </c>
      <c r="M677" s="2590"/>
      <c r="N677" s="2771"/>
      <c r="P677" s="2799" t="s">
        <v>3223</v>
      </c>
      <c r="Q677" s="2818" t="str">
        <f>'Part V-Revenues &amp; Expenses'!Q230</f>
        <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2000</v>
      </c>
      <c r="G678" s="2590"/>
      <c r="I678" s="1747"/>
      <c r="K678" s="2828" t="s">
        <v>184</v>
      </c>
      <c r="L678" s="2818">
        <f>SUM(L674:L677)</f>
        <v>6850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1000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3000</v>
      </c>
      <c r="G681" s="2590"/>
      <c r="I681" s="1747" t="s">
        <v>1297</v>
      </c>
      <c r="K681" s="1622" t="s">
        <v>3883</v>
      </c>
      <c r="O681" s="1747" t="s">
        <v>3085</v>
      </c>
      <c r="P681" s="1747"/>
      <c r="Q681" s="2600">
        <f>'Part V-Revenues &amp; Expenses'!Q234</f>
        <v>15050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11.627906976744185</v>
      </c>
      <c r="L682" s="2590">
        <f>'Part V-Revenues &amp; Expenses'!L235</f>
        <v>6000</v>
      </c>
      <c r="M682" s="2590"/>
      <c r="N682" s="2771" t="str">
        <f>IF(Q681&lt;Q690, "WARNING! RR proposed is below the DCA required minimum.","")</f>
        <v/>
      </c>
      <c r="O682" s="362" t="s">
        <v>3882</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9500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2.4224806201550391</v>
      </c>
      <c r="L684" s="2590">
        <f>'Part V-Revenues &amp; Expenses'!L237</f>
        <v>1250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15.697674418604651</v>
      </c>
      <c r="L685" s="2590">
        <f>'Part V-Revenues &amp; Expenses'!L238</f>
        <v>8100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5000</v>
      </c>
      <c r="G686" s="2590"/>
      <c r="I686" s="359" t="s">
        <v>6992</v>
      </c>
      <c r="K686" s="2717">
        <f>L686/12/P514</f>
        <v>1.9379844961240309</v>
      </c>
      <c r="L686" s="2590">
        <f>'Part V-Revenues &amp; Expenses'!L239</f>
        <v>1000</v>
      </c>
      <c r="M686" s="2590"/>
      <c r="N686" s="2771"/>
      <c r="O686" s="2622" t="s">
        <v>3052</v>
      </c>
      <c r="P686" s="2837" t="str">
        <f>CONCATENATE(SUM(MF496:MJ496)," units x $",'DCA Underwriting Assumptions'!$Q$28," =")</f>
        <v>43 units x $350 =</v>
      </c>
      <c r="Q686" s="2837">
        <f>'Part V-Revenues &amp; Expenses'!Q239</f>
        <v>15050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4000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5000</v>
      </c>
      <c r="G688" s="2590"/>
      <c r="K688" s="2828" t="s">
        <v>184</v>
      </c>
      <c r="L688" s="2818">
        <f>SUM(L682:L687)</f>
        <v>16350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5000</v>
      </c>
      <c r="G690" s="2590"/>
      <c r="I690" s="1747" t="s">
        <v>1298</v>
      </c>
      <c r="O690" s="2788" t="s">
        <v>2467</v>
      </c>
      <c r="P690" s="2782">
        <f>'Part V-Revenues &amp; Expenses'!P243</f>
        <v>43</v>
      </c>
      <c r="Q690" s="2838">
        <f>SUM(Q686:Q689)</f>
        <v>15050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16869</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2500</v>
      </c>
      <c r="G692" s="2590"/>
      <c r="I692" s="359" t="s">
        <v>140</v>
      </c>
      <c r="L692" s="2590">
        <f>'Part V-Revenues &amp; Expenses'!L245</f>
        <v>25000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25500</v>
      </c>
      <c r="G694" s="2590"/>
      <c r="K694" s="2828" t="s">
        <v>184</v>
      </c>
      <c r="L694" s="2818">
        <f>SUM(L690:L693)</f>
        <v>41869</v>
      </c>
      <c r="M694" s="2818"/>
      <c r="O694" s="1747" t="s">
        <v>2030</v>
      </c>
      <c r="Q694" s="2818">
        <f>Q675+Q681</f>
        <v>183913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1) The applicant has included the real estate tax bill from 2022 with real estate tax costs.  The applicant used the 2022 real estate taxes as the purchase price is less than the tax assessed value.  Please see the real estate tax information in Tab 1 for further detail.
2) The insurance has been estimated by the insurance agent for the proposed property.  Please see the estimate provided by the property insurance company in Tab 1 for further detail.
3) Net rents and gross allowable rents meet DCA requirements.  Minimum expenses meet DCA guiidelines.  
5) The applicant has budgeted $4,000 for an onsite Actiivty Manager and  $4,000 for a 3rd Party Resident Services Coordination Contractor or other DCA approved program if such an entity serves the locaility.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Hillmont Apartments,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3000</v>
      </c>
      <c r="H713" s="2814" t="s">
        <v>1768</v>
      </c>
      <c r="K713" s="2842">
        <f>'Part VI-Pro Forma'!K6</f>
        <v>-1.1769662322550212E-2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6.0001738520360982E-2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268704</v>
      </c>
      <c r="C722" s="2606">
        <f>'Part VI-Pro Forma'!C15</f>
        <v>274078.08000000002</v>
      </c>
      <c r="D722" s="2606">
        <f>'Part VI-Pro Forma'!D15</f>
        <v>279559.64159999997</v>
      </c>
      <c r="E722" s="2606">
        <f>'Part VI-Pro Forma'!E15</f>
        <v>285150.834432</v>
      </c>
      <c r="F722" s="2606">
        <f>'Part VI-Pro Forma'!F15</f>
        <v>290853.85112064</v>
      </c>
      <c r="G722" s="2606">
        <f>'Part VI-Pro Forma'!G15</f>
        <v>296670.92814305279</v>
      </c>
      <c r="H722" s="2606">
        <f>'Part VI-Pro Forma'!H15</f>
        <v>302604.34670591389</v>
      </c>
      <c r="I722" s="2606">
        <f>'Part VI-Pro Forma'!I15</f>
        <v>308656.43364003208</v>
      </c>
      <c r="J722" s="2606">
        <f>'Part VI-Pro Forma'!J15</f>
        <v>314829.56231283274</v>
      </c>
      <c r="K722" s="2606">
        <f>'Part VI-Pro Forma'!K15</f>
        <v>321126.15355908941</v>
      </c>
    </row>
    <row r="723" spans="1:11">
      <c r="A723" s="357" t="s">
        <v>952</v>
      </c>
      <c r="B723" s="2606">
        <f>'Part VI-Pro Forma'!B16</f>
        <v>5374.08</v>
      </c>
      <c r="C723" s="2606">
        <f>'Part VI-Pro Forma'!C16</f>
        <v>5481.5616</v>
      </c>
      <c r="D723" s="2606">
        <f>'Part VI-Pro Forma'!D16</f>
        <v>5591.1928319999997</v>
      </c>
      <c r="E723" s="2606">
        <f>'Part VI-Pro Forma'!E16</f>
        <v>5703.0166886399993</v>
      </c>
      <c r="F723" s="2606">
        <f>'Part VI-Pro Forma'!F16</f>
        <v>5817.0770224128</v>
      </c>
      <c r="G723" s="2606">
        <f>'Part VI-Pro Forma'!G16</f>
        <v>5933.4185628610558</v>
      </c>
      <c r="H723" s="2606">
        <f>'Part VI-Pro Forma'!H16</f>
        <v>6052.086934118277</v>
      </c>
      <c r="I723" s="2606">
        <f>'Part VI-Pro Forma'!I16</f>
        <v>6173.1286728006417</v>
      </c>
      <c r="J723" s="2606">
        <f>'Part VI-Pro Forma'!J16</f>
        <v>6296.5912462566548</v>
      </c>
      <c r="K723" s="2606">
        <f>'Part VI-Pro Forma'!K16</f>
        <v>6422.5230711817885</v>
      </c>
    </row>
    <row r="724" spans="1:11">
      <c r="A724" s="357" t="s">
        <v>2216</v>
      </c>
      <c r="B724" s="2606">
        <f>'Part VI-Pro Forma'!B17</f>
        <v>-19185.465600000003</v>
      </c>
      <c r="C724" s="2606">
        <f>'Part VI-Pro Forma'!C17</f>
        <v>-19569.174912000006</v>
      </c>
      <c r="D724" s="2606">
        <f>'Part VI-Pro Forma'!D17</f>
        <v>-19960.558410239999</v>
      </c>
      <c r="E724" s="2606">
        <f>'Part VI-Pro Forma'!E17</f>
        <v>-20359.769578444801</v>
      </c>
      <c r="F724" s="2606">
        <f>'Part VI-Pro Forma'!F17</f>
        <v>-20766.964970013698</v>
      </c>
      <c r="G724" s="2606">
        <f>'Part VI-Pro Forma'!G17</f>
        <v>-21182.304269413969</v>
      </c>
      <c r="H724" s="2606">
        <f>'Part VI-Pro Forma'!H17</f>
        <v>-21605.950354802255</v>
      </c>
      <c r="I724" s="2606">
        <f>'Part VI-Pro Forma'!I17</f>
        <v>-22038.069361898295</v>
      </c>
      <c r="J724" s="2606">
        <f>'Part VI-Pro Forma'!J17</f>
        <v>-22478.830749136261</v>
      </c>
      <c r="K724" s="2606">
        <f>'Part VI-Pro Forma'!K17</f>
        <v>-22928.407364118986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254892.61440000002</v>
      </c>
      <c r="C727" s="2606">
        <f>'Part VI-Pro Forma'!C20</f>
        <v>259990.46668800001</v>
      </c>
      <c r="D727" s="2606">
        <f>'Part VI-Pro Forma'!D20</f>
        <v>265190.27602175996</v>
      </c>
      <c r="E727" s="2606">
        <f>'Part VI-Pro Forma'!E20</f>
        <v>270494.08154219517</v>
      </c>
      <c r="F727" s="2606">
        <f>'Part VI-Pro Forma'!F20</f>
        <v>275903.96317303908</v>
      </c>
      <c r="G727" s="2606">
        <f>'Part VI-Pro Forma'!G20</f>
        <v>281422.04243649985</v>
      </c>
      <c r="H727" s="2606">
        <f>'Part VI-Pro Forma'!H20</f>
        <v>287050.48328522994</v>
      </c>
      <c r="I727" s="2606">
        <f>'Part VI-Pro Forma'!I20</f>
        <v>292791.49295093445</v>
      </c>
      <c r="J727" s="2606">
        <f>'Part VI-Pro Forma'!J20</f>
        <v>298647.32280995313</v>
      </c>
      <c r="K727" s="2606">
        <f>'Part VI-Pro Forma'!K20</f>
        <v>304620.26926615223</v>
      </c>
    </row>
    <row r="728" spans="1:11">
      <c r="A728" s="357" t="s">
        <v>572</v>
      </c>
      <c r="B728" s="2606">
        <f>'Part VI-Pro Forma'!B21</f>
        <v>-153569</v>
      </c>
      <c r="C728" s="2606">
        <f>'Part VI-Pro Forma'!C21</f>
        <v>-158176.07</v>
      </c>
      <c r="D728" s="2606">
        <f>'Part VI-Pro Forma'!D21</f>
        <v>-162921.35209999999</v>
      </c>
      <c r="E728" s="2606">
        <f>'Part VI-Pro Forma'!E21</f>
        <v>-167808.99266300001</v>
      </c>
      <c r="F728" s="2606">
        <f>'Part VI-Pro Forma'!F21</f>
        <v>-172843.26244288997</v>
      </c>
      <c r="G728" s="2606">
        <f>'Part VI-Pro Forma'!G21</f>
        <v>-178028.56031617668</v>
      </c>
      <c r="H728" s="2606">
        <f>'Part VI-Pro Forma'!H21</f>
        <v>-183369.41712566197</v>
      </c>
      <c r="I728" s="2606">
        <f>'Part VI-Pro Forma'!I21</f>
        <v>-188870.49963943186</v>
      </c>
      <c r="J728" s="2606">
        <f>'Part VI-Pro Forma'!J21</f>
        <v>-194536.6146286148</v>
      </c>
      <c r="K728" s="2606">
        <f>'Part VI-Pro Forma'!K21</f>
        <v>-200372.71306747323</v>
      </c>
    </row>
    <row r="729" spans="1:11">
      <c r="A729" s="357" t="s">
        <v>1050</v>
      </c>
      <c r="B729" s="2606">
        <f>'Part VI-Pro Forma'!B22</f>
        <v>-15294</v>
      </c>
      <c r="C729" s="2606">
        <f>'Part VI-Pro Forma'!C22</f>
        <v>-15599</v>
      </c>
      <c r="D729" s="2606">
        <f>'Part VI-Pro Forma'!D22</f>
        <v>-15911</v>
      </c>
      <c r="E729" s="2606">
        <f>'Part VI-Pro Forma'!E22</f>
        <v>-16230</v>
      </c>
      <c r="F729" s="2606">
        <f>'Part VI-Pro Forma'!F22</f>
        <v>-16554</v>
      </c>
      <c r="G729" s="2606">
        <f>'Part VI-Pro Forma'!G22</f>
        <v>-16885</v>
      </c>
      <c r="H729" s="2606">
        <f>'Part VI-Pro Forma'!H22</f>
        <v>-17223</v>
      </c>
      <c r="I729" s="2606">
        <f>'Part VI-Pro Forma'!I22</f>
        <v>-17567</v>
      </c>
      <c r="J729" s="2606">
        <f>'Part VI-Pro Forma'!J22</f>
        <v>-17919</v>
      </c>
      <c r="K729" s="2606">
        <f>'Part VI-Pro Forma'!K22</f>
        <v>-18277</v>
      </c>
    </row>
    <row r="730" spans="1:11">
      <c r="A730" s="357" t="s">
        <v>1128</v>
      </c>
      <c r="B730" s="2606">
        <f>'Part VI-Pro Forma'!B23</f>
        <v>-15050</v>
      </c>
      <c r="C730" s="2606">
        <f>'Part VI-Pro Forma'!C23</f>
        <v>-15501.5</v>
      </c>
      <c r="D730" s="2606">
        <f>'Part VI-Pro Forma'!D23</f>
        <v>-15966.545</v>
      </c>
      <c r="E730" s="2606">
        <f>'Part VI-Pro Forma'!E23</f>
        <v>-16445.54135</v>
      </c>
      <c r="F730" s="2606">
        <f>'Part VI-Pro Forma'!F23</f>
        <v>-16938.907590499999</v>
      </c>
      <c r="G730" s="2606">
        <f>'Part VI-Pro Forma'!G23</f>
        <v>-17447.074818214998</v>
      </c>
      <c r="H730" s="2606">
        <f>'Part VI-Pro Forma'!H23</f>
        <v>-17970.487062761447</v>
      </c>
      <c r="I730" s="2606">
        <f>'Part VI-Pro Forma'!I23</f>
        <v>-18509.601674644295</v>
      </c>
      <c r="J730" s="2606">
        <f>'Part VI-Pro Forma'!J23</f>
        <v>-19064.889724883618</v>
      </c>
      <c r="K730" s="2606">
        <f>'Part VI-Pro Forma'!K23</f>
        <v>-19636.836416630129</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70979.61440000002</v>
      </c>
      <c r="C732" s="2606">
        <f t="shared" ref="C732:J732" si="377">SUM(C727:C731)</f>
        <v>70713.896688000008</v>
      </c>
      <c r="D732" s="2606">
        <f t="shared" si="377"/>
        <v>70391.37892175997</v>
      </c>
      <c r="E732" s="2606">
        <f t="shared" si="377"/>
        <v>70009.547529195159</v>
      </c>
      <c r="F732" s="2606">
        <f t="shared" si="377"/>
        <v>69567.793139649119</v>
      </c>
      <c r="G732" s="2606">
        <f t="shared" si="377"/>
        <v>69061.407302108171</v>
      </c>
      <c r="H732" s="2606">
        <f t="shared" si="377"/>
        <v>68487.579096806527</v>
      </c>
      <c r="I732" s="2606">
        <f t="shared" si="377"/>
        <v>67844.391636858301</v>
      </c>
      <c r="J732" s="2606">
        <f t="shared" si="377"/>
        <v>67126.818456454712</v>
      </c>
      <c r="K732" s="2606">
        <f>SUM(K727:K731)</f>
        <v>66333.719782048865</v>
      </c>
    </row>
    <row r="733" spans="1:11">
      <c r="A733" s="357" t="s">
        <v>1486</v>
      </c>
      <c r="B733" s="2606">
        <f>'Part VI-Pro Forma'!B26</f>
        <v>-21829.469948534566</v>
      </c>
      <c r="C733" s="2606">
        <f>'Part VI-Pro Forma'!C26</f>
        <v>-21829.469948534566</v>
      </c>
      <c r="D733" s="2606">
        <f>'Part VI-Pro Forma'!D26</f>
        <v>-21829.469948534566</v>
      </c>
      <c r="E733" s="2606">
        <f>'Part VI-Pro Forma'!E26</f>
        <v>-21829.469948534566</v>
      </c>
      <c r="F733" s="2606">
        <f>'Part VI-Pro Forma'!F26</f>
        <v>-21829.469948534566</v>
      </c>
      <c r="G733" s="2606">
        <f>'Part VI-Pro Forma'!G26</f>
        <v>-21829.469948534566</v>
      </c>
      <c r="H733" s="2606">
        <f>'Part VI-Pro Forma'!H26</f>
        <v>-21829.469948534566</v>
      </c>
      <c r="I733" s="2606">
        <f>'Part VI-Pro Forma'!I26</f>
        <v>-21829.469948534566</v>
      </c>
      <c r="J733" s="2606">
        <f>'Part VI-Pro Forma'!J26</f>
        <v>-21829.469948534566</v>
      </c>
      <c r="K733" s="2606">
        <f>'Part VI-Pro Forma'!K26</f>
        <v>-21829.469948534566</v>
      </c>
    </row>
    <row r="734" spans="1:11">
      <c r="A734" s="357" t="s">
        <v>1487</v>
      </c>
      <c r="B734" s="2606">
        <f>'Part VI-Pro Forma'!B27</f>
        <v>-23634.013092405363</v>
      </c>
      <c r="C734" s="2606">
        <f>'Part VI-Pro Forma'!C27</f>
        <v>-23634.013092405363</v>
      </c>
      <c r="D734" s="2606">
        <f>'Part VI-Pro Forma'!D27</f>
        <v>-23634.013092405363</v>
      </c>
      <c r="E734" s="2606">
        <f>'Part VI-Pro Forma'!E27</f>
        <v>-23634.013092405363</v>
      </c>
      <c r="F734" s="2606">
        <f>'Part VI-Pro Forma'!F27</f>
        <v>-23634.013092405363</v>
      </c>
      <c r="G734" s="2606">
        <f>'Part VI-Pro Forma'!G27</f>
        <v>-23634.013092405363</v>
      </c>
      <c r="H734" s="2606">
        <f>'Part VI-Pro Forma'!H27</f>
        <v>-23634.013092405363</v>
      </c>
      <c r="I734" s="2606">
        <f>'Part VI-Pro Forma'!I27</f>
        <v>-23634.013092405363</v>
      </c>
      <c r="J734" s="2606">
        <f>'Part VI-Pro Forma'!J27</f>
        <v>-23634.013092405363</v>
      </c>
      <c r="K734" s="2606">
        <f>'Part VI-Pro Forma'!K27</f>
        <v>-23634.013092405363</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-3000</v>
      </c>
      <c r="C738" s="2606">
        <f>'Part VI-Pro Forma'!C31</f>
        <v>-3000</v>
      </c>
      <c r="D738" s="2606">
        <f>'Part VI-Pro Forma'!D31</f>
        <v>-3000</v>
      </c>
      <c r="E738" s="2606">
        <f>'Part VI-Pro Forma'!E31</f>
        <v>-3000</v>
      </c>
      <c r="F738" s="2606">
        <f>'Part VI-Pro Forma'!F31</f>
        <v>-3000</v>
      </c>
      <c r="G738" s="2606">
        <f>'Part VI-Pro Forma'!G31</f>
        <v>-3000</v>
      </c>
      <c r="H738" s="2606">
        <f>'Part VI-Pro Forma'!H31</f>
        <v>-3000</v>
      </c>
      <c r="I738" s="2606">
        <f>'Part VI-Pro Forma'!I31</f>
        <v>-3000</v>
      </c>
      <c r="J738" s="2606">
        <f>'Part VI-Pro Forma'!J31</f>
        <v>-3000</v>
      </c>
      <c r="K738" s="2606">
        <f>'Part VI-Pro Forma'!K31</f>
        <v>-3000</v>
      </c>
    </row>
    <row r="739" spans="1:11">
      <c r="A739" s="357" t="s">
        <v>3361</v>
      </c>
      <c r="B739" s="2606">
        <f>'Part VI-Pro Forma'!B32</f>
        <v>-22516</v>
      </c>
      <c r="C739" s="2606">
        <f>'Part VI-Pro Forma'!C32</f>
        <v>-22250</v>
      </c>
      <c r="D739" s="2606">
        <f>'Part VI-Pro Forma'!D32</f>
        <v>-19676</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0.13135906009483733</v>
      </c>
      <c r="C740" s="2606">
        <f t="shared" si="378"/>
        <v>0.41364706008243957</v>
      </c>
      <c r="D740" s="2606">
        <f t="shared" si="378"/>
        <v>2251.8958808200441</v>
      </c>
      <c r="E740" s="2606">
        <f t="shared" si="378"/>
        <v>21546.064488255233</v>
      </c>
      <c r="F740" s="2606">
        <f t="shared" si="378"/>
        <v>21104.310098709193</v>
      </c>
      <c r="G740" s="2606">
        <f t="shared" si="378"/>
        <v>20597.924261168246</v>
      </c>
      <c r="H740" s="2606">
        <f t="shared" si="378"/>
        <v>20024.096055866601</v>
      </c>
      <c r="I740" s="2606">
        <f t="shared" si="378"/>
        <v>19380.908595918376</v>
      </c>
      <c r="J740" s="2606">
        <f t="shared" si="378"/>
        <v>18663.335415514786</v>
      </c>
      <c r="K740" s="2606">
        <f t="shared" si="378"/>
        <v>17870.23674110894</v>
      </c>
    </row>
    <row r="741" spans="1:11">
      <c r="A741" s="357" t="str">
        <f>IF('Part II-Sources of Funds'!$E$40 = "Neither", "", "DCR Mortgage A")</f>
        <v>DCR Mortgage A</v>
      </c>
      <c r="B741" s="2607">
        <f t="shared" ref="B741:K741" si="379">IF(B733=0,"",-B732/B733)</f>
        <v>3.2515500636223624</v>
      </c>
      <c r="C741" s="2607">
        <f t="shared" si="379"/>
        <v>3.2393776328383597</v>
      </c>
      <c r="D741" s="2607">
        <f t="shared" si="379"/>
        <v>3.2246032124332644</v>
      </c>
      <c r="E741" s="2607">
        <f t="shared" si="379"/>
        <v>3.2071116565931539</v>
      </c>
      <c r="F741" s="2607">
        <f t="shared" si="379"/>
        <v>3.1868750502720875</v>
      </c>
      <c r="G741" s="2607">
        <f t="shared" si="379"/>
        <v>3.1636777010586248</v>
      </c>
      <c r="H741" s="2607">
        <f t="shared" si="379"/>
        <v>3.1373908417507943</v>
      </c>
      <c r="I741" s="2607">
        <f t="shared" si="379"/>
        <v>3.1079266604644591</v>
      </c>
      <c r="J741" s="2607">
        <f t="shared" si="379"/>
        <v>3.0750548966472273</v>
      </c>
      <c r="K741" s="2607">
        <f t="shared" si="379"/>
        <v>3.0387233376915739</v>
      </c>
    </row>
    <row r="742" spans="1:11">
      <c r="A742" s="357" t="str">
        <f>IF('Part II-Sources of Funds'!$E$40 = "Neither", "", "DCR Mortgage B")</f>
        <v>DCR Mortgage B</v>
      </c>
      <c r="B742" s="2607">
        <f t="shared" ref="B742:K742" si="380">IF(B734=0,"",-(B732+B733)/B734)</f>
        <v>2.079636000001182</v>
      </c>
      <c r="C742" s="2607">
        <f t="shared" si="380"/>
        <v>2.0683929787266702</v>
      </c>
      <c r="D742" s="2607">
        <f t="shared" si="380"/>
        <v>2.0547466392337093</v>
      </c>
      <c r="E742" s="2607">
        <f t="shared" si="380"/>
        <v>2.0385906275114554</v>
      </c>
      <c r="F742" s="2607">
        <f t="shared" si="380"/>
        <v>2.0198991599295915</v>
      </c>
      <c r="G742" s="2607">
        <f t="shared" si="380"/>
        <v>1.9984730129793864</v>
      </c>
      <c r="H742" s="2607">
        <f t="shared" si="380"/>
        <v>1.9741932513046312</v>
      </c>
      <c r="I742" s="2607">
        <f t="shared" si="380"/>
        <v>1.9469787677789827</v>
      </c>
      <c r="J742" s="2607">
        <f t="shared" si="380"/>
        <v>1.9166168830834811</v>
      </c>
      <c r="K742" s="2607">
        <f t="shared" si="380"/>
        <v>1.883059371233718</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1.5612445341260541</v>
      </c>
      <c r="C745" s="2607">
        <f t="shared" si="383"/>
        <v>1.5553998936755911</v>
      </c>
      <c r="D745" s="2607">
        <f t="shared" si="383"/>
        <v>1.5483058976887547</v>
      </c>
      <c r="E745" s="2607">
        <f t="shared" si="383"/>
        <v>1.5399072584507321</v>
      </c>
      <c r="F745" s="2607">
        <f t="shared" si="383"/>
        <v>1.5301905724425739</v>
      </c>
      <c r="G745" s="2607">
        <f t="shared" si="383"/>
        <v>1.5190522741057537</v>
      </c>
      <c r="H745" s="2607">
        <f t="shared" si="383"/>
        <v>1.5064305353624878</v>
      </c>
      <c r="I745" s="2607">
        <f t="shared" si="383"/>
        <v>1.4922831929917102</v>
      </c>
      <c r="J745" s="2607">
        <f t="shared" si="383"/>
        <v>1.4764996864847975</v>
      </c>
      <c r="K745" s="2607">
        <f t="shared" si="383"/>
        <v>1.4590549457531721</v>
      </c>
    </row>
    <row r="746" spans="1:11">
      <c r="A746" s="357" t="s">
        <v>718</v>
      </c>
      <c r="B746" s="2608">
        <f t="shared" ref="B746:K746" si="384">IF(OR(B729="Choose mgt fee",B729="Choose One!"),"",(B722+B723+B724+B725+B726) / -(B728+B729+B730))</f>
        <v>1.3859412570073895</v>
      </c>
      <c r="C746" s="2608">
        <f t="shared" si="384"/>
        <v>1.3736008988751223</v>
      </c>
      <c r="D746" s="2608">
        <f t="shared" si="384"/>
        <v>1.361354093733008</v>
      </c>
      <c r="E746" s="2608">
        <f t="shared" si="384"/>
        <v>1.3492017370509763</v>
      </c>
      <c r="F746" s="2608">
        <f t="shared" si="384"/>
        <v>1.3371575285534836</v>
      </c>
      <c r="G746" s="2608">
        <f t="shared" si="384"/>
        <v>1.3252081406631833</v>
      </c>
      <c r="H746" s="2608">
        <f t="shared" si="384"/>
        <v>1.3133540860976265</v>
      </c>
      <c r="I746" s="2608">
        <f t="shared" si="384"/>
        <v>1.3016015376083128</v>
      </c>
      <c r="J746" s="2608">
        <f t="shared" si="384"/>
        <v>1.2899389781648096</v>
      </c>
      <c r="K746" s="2608">
        <f t="shared" si="384"/>
        <v>1.2783779442258201</v>
      </c>
    </row>
    <row r="747" spans="1:11">
      <c r="A747" s="357" t="s">
        <v>2405</v>
      </c>
      <c r="B747" s="2606">
        <f>'Part VI-Pro Forma'!B40</f>
        <v>845343.13404880872</v>
      </c>
      <c r="C747" s="2606">
        <f>'Part VI-Pro Forma'!C40</f>
        <v>831905.6179806235</v>
      </c>
      <c r="D747" s="2606">
        <f>'Part VI-Pro Forma'!D40</f>
        <v>818333.10915159644</v>
      </c>
      <c r="E747" s="2606">
        <f>'Part VI-Pro Forma'!E40</f>
        <v>804624.25142973196</v>
      </c>
      <c r="F747" s="2606">
        <f>'Part VI-Pro Forma'!F40</f>
        <v>790777.67505938571</v>
      </c>
      <c r="G747" s="2606">
        <f>'Part VI-Pro Forma'!G40</f>
        <v>776791.99652440159</v>
      </c>
      <c r="H747" s="2606">
        <f>'Part VI-Pro Forma'!H40</f>
        <v>762665.81840987434</v>
      </c>
      <c r="I747" s="2606">
        <f>'Part VI-Pro Forma'!I40</f>
        <v>748397.72926252324</v>
      </c>
      <c r="J747" s="2606">
        <f>'Part VI-Pro Forma'!J40</f>
        <v>733986.3034496631</v>
      </c>
      <c r="K747" s="2606">
        <f>'Part VI-Pro Forma'!K40</f>
        <v>719430.10101675848</v>
      </c>
    </row>
    <row r="748" spans="1:11">
      <c r="A748" s="357" t="s">
        <v>2406</v>
      </c>
      <c r="B748" s="2606">
        <f>'Part VI-Pro Forma'!B41</f>
        <v>421970.17536931526</v>
      </c>
      <c r="C748" s="2606">
        <f>'Part VI-Pro Forma'!C41</f>
        <v>413641.47865823674</v>
      </c>
      <c r="D748" s="2606">
        <f>'Part VI-Pro Forma'!D41</f>
        <v>405002.78577320738</v>
      </c>
      <c r="E748" s="2606">
        <f>'Part VI-Pro Forma'!E41</f>
        <v>396042.55857912655</v>
      </c>
      <c r="F748" s="2606">
        <f>'Part VI-Pro Forma'!F41</f>
        <v>386748.82948862045</v>
      </c>
      <c r="G748" s="2606">
        <f>'Part VI-Pro Forma'!G41</f>
        <v>377109.18547772104</v>
      </c>
      <c r="H748" s="2606">
        <f>'Part VI-Pro Forma'!H41</f>
        <v>367110.75150660466</v>
      </c>
      <c r="I748" s="2606">
        <f>'Part VI-Pro Forma'!I41</f>
        <v>356740.1733232463</v>
      </c>
      <c r="J748" s="2606">
        <f>'Part VI-Pro Forma'!J41</f>
        <v>345983.59962702176</v>
      </c>
      <c r="K748" s="2606">
        <f>'Part VI-Pro Forma'!K41</f>
        <v>334826.66356843448</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41926</v>
      </c>
      <c r="C751" s="2606">
        <f>'Part VI-Pro Forma'!C44</f>
        <v>19676</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327548.67663027119</v>
      </c>
      <c r="C754" s="2606">
        <f>'Part VI-Pro Forma'!C47</f>
        <v>334099.65016287658</v>
      </c>
      <c r="D754" s="2606">
        <f>'Part VI-Pro Forma'!D47</f>
        <v>340781.64316613419</v>
      </c>
      <c r="E754" s="2606">
        <f>'Part VI-Pro Forma'!E47</f>
        <v>347597.27602945681</v>
      </c>
      <c r="F754" s="2606">
        <f>'Part VI-Pro Forma'!F47</f>
        <v>354549.221550046</v>
      </c>
      <c r="G754" s="2606">
        <f>'Part VI-Pro Forma'!G47</f>
        <v>361640.20598104683</v>
      </c>
      <c r="H754" s="2606">
        <f>'Part VI-Pro Forma'!H47</f>
        <v>368873.01010066783</v>
      </c>
      <c r="I754" s="2606">
        <f>'Part VI-Pro Forma'!I47</f>
        <v>376250.47030268121</v>
      </c>
      <c r="J754" s="2606">
        <f>'Part VI-Pro Forma'!J47</f>
        <v>383775.47970873478</v>
      </c>
      <c r="K754" s="2606">
        <f>'Part VI-Pro Forma'!K47</f>
        <v>391450.98930290947</v>
      </c>
    </row>
    <row r="755" spans="1:11">
      <c r="A755" s="357" t="s">
        <v>952</v>
      </c>
      <c r="B755" s="2606">
        <f>'Part VI-Pro Forma'!B48</f>
        <v>6550.9735326054242</v>
      </c>
      <c r="C755" s="2606">
        <f>'Part VI-Pro Forma'!C48</f>
        <v>6681.9930032575312</v>
      </c>
      <c r="D755" s="2606">
        <f>'Part VI-Pro Forma'!D48</f>
        <v>6815.6328633226831</v>
      </c>
      <c r="E755" s="2606">
        <f>'Part VI-Pro Forma'!E48</f>
        <v>6951.9455205891363</v>
      </c>
      <c r="F755" s="2606">
        <f>'Part VI-Pro Forma'!F48</f>
        <v>7090.9844310009203</v>
      </c>
      <c r="G755" s="2606">
        <f>'Part VI-Pro Forma'!G48</f>
        <v>7232.804119620936</v>
      </c>
      <c r="H755" s="2606">
        <f>'Part VI-Pro Forma'!H48</f>
        <v>7377.4602020133561</v>
      </c>
      <c r="I755" s="2606">
        <f>'Part VI-Pro Forma'!I48</f>
        <v>7525.0094060536239</v>
      </c>
      <c r="J755" s="2606">
        <f>'Part VI-Pro Forma'!J48</f>
        <v>7675.5095941746958</v>
      </c>
      <c r="K755" s="2606">
        <f>'Part VI-Pro Forma'!K48</f>
        <v>7829.0197860581893</v>
      </c>
    </row>
    <row r="756" spans="1:11">
      <c r="A756" s="357" t="s">
        <v>2216</v>
      </c>
      <c r="B756" s="2606">
        <f>'Part VI-Pro Forma'!B49</f>
        <v>-23386.975511401368</v>
      </c>
      <c r="C756" s="2606">
        <f>'Part VI-Pro Forma'!C49</f>
        <v>-23854.715021629392</v>
      </c>
      <c r="D756" s="2606">
        <f>'Part VI-Pro Forma'!D49</f>
        <v>-24331.809322061985</v>
      </c>
      <c r="E756" s="2606">
        <f>'Part VI-Pro Forma'!E49</f>
        <v>-24818.445508503217</v>
      </c>
      <c r="F756" s="2606">
        <f>'Part VI-Pro Forma'!F49</f>
        <v>-25314.814418673286</v>
      </c>
      <c r="G756" s="2606">
        <f>'Part VI-Pro Forma'!G49</f>
        <v>-25821.110707046748</v>
      </c>
      <c r="H756" s="2606">
        <f>'Part VI-Pro Forma'!H49</f>
        <v>-26337.532921187685</v>
      </c>
      <c r="I756" s="2606">
        <f>'Part VI-Pro Forma'!I49</f>
        <v>-26864.283579611441</v>
      </c>
      <c r="J756" s="2606">
        <f>'Part VI-Pro Forma'!J49</f>
        <v>-27401.569251203666</v>
      </c>
      <c r="K756" s="2606">
        <f>'Part VI-Pro Forma'!K49</f>
        <v>-27949.600636227737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310712.67465147527</v>
      </c>
      <c r="C759" s="2606">
        <f>'Part VI-Pro Forma'!C52</f>
        <v>316926.92814450472</v>
      </c>
      <c r="D759" s="2606">
        <f>'Part VI-Pro Forma'!D52</f>
        <v>323265.46670739487</v>
      </c>
      <c r="E759" s="2606">
        <f>'Part VI-Pro Forma'!E52</f>
        <v>329730.7760415427</v>
      </c>
      <c r="F759" s="2606">
        <f>'Part VI-Pro Forma'!F52</f>
        <v>336325.39156237361</v>
      </c>
      <c r="G759" s="2606">
        <f>'Part VI-Pro Forma'!G52</f>
        <v>343051.89939362102</v>
      </c>
      <c r="H759" s="2606">
        <f>'Part VI-Pro Forma'!H52</f>
        <v>349912.93738149351</v>
      </c>
      <c r="I759" s="2606">
        <f>'Part VI-Pro Forma'!I52</f>
        <v>356911.19612912339</v>
      </c>
      <c r="J759" s="2606">
        <f>'Part VI-Pro Forma'!J52</f>
        <v>364049.42005170579</v>
      </c>
      <c r="K759" s="2606">
        <f>'Part VI-Pro Forma'!K52</f>
        <v>371330.40845273988</v>
      </c>
    </row>
    <row r="760" spans="1:11">
      <c r="A760" s="357" t="s">
        <v>572</v>
      </c>
      <c r="B760" s="2606">
        <f>'Part VI-Pro Forma'!B53</f>
        <v>-206383.89445949745</v>
      </c>
      <c r="C760" s="2606">
        <f>'Part VI-Pro Forma'!C53</f>
        <v>-212575.41129328238</v>
      </c>
      <c r="D760" s="2606">
        <f>'Part VI-Pro Forma'!D53</f>
        <v>-218952.67363208081</v>
      </c>
      <c r="E760" s="2606">
        <f>'Part VI-Pro Forma'!E53</f>
        <v>-225521.25384104322</v>
      </c>
      <c r="F760" s="2606">
        <f>'Part VI-Pro Forma'!F53</f>
        <v>-232286.89145627455</v>
      </c>
      <c r="G760" s="2606">
        <f>'Part VI-Pro Forma'!G53</f>
        <v>-239255.49819996281</v>
      </c>
      <c r="H760" s="2606">
        <f>'Part VI-Pro Forma'!H53</f>
        <v>-246433.16314596162</v>
      </c>
      <c r="I760" s="2606">
        <f>'Part VI-Pro Forma'!I53</f>
        <v>-253826.1580403405</v>
      </c>
      <c r="J760" s="2606">
        <f>'Part VI-Pro Forma'!J53</f>
        <v>-261440.94278155069</v>
      </c>
      <c r="K760" s="2606">
        <f>'Part VI-Pro Forma'!K53</f>
        <v>-269284.17106499721</v>
      </c>
    </row>
    <row r="761" spans="1:11">
      <c r="A761" s="357" t="s">
        <v>1050</v>
      </c>
      <c r="B761" s="2606">
        <f>'Part VI-Pro Forma'!B54</f>
        <v>-18643</v>
      </c>
      <c r="C761" s="2606">
        <f>'Part VI-Pro Forma'!C54</f>
        <v>-19016</v>
      </c>
      <c r="D761" s="2606">
        <f>'Part VI-Pro Forma'!D54</f>
        <v>-19396</v>
      </c>
      <c r="E761" s="2606">
        <f>'Part VI-Pro Forma'!E54</f>
        <v>-19784</v>
      </c>
      <c r="F761" s="2606">
        <f>'Part VI-Pro Forma'!F54</f>
        <v>-20180</v>
      </c>
      <c r="G761" s="2606">
        <f>'Part VI-Pro Forma'!G54</f>
        <v>-20583</v>
      </c>
      <c r="H761" s="2606">
        <f>'Part VI-Pro Forma'!H54</f>
        <v>-20995</v>
      </c>
      <c r="I761" s="2606">
        <f>'Part VI-Pro Forma'!I54</f>
        <v>-21415</v>
      </c>
      <c r="J761" s="2606">
        <f>'Part VI-Pro Forma'!J54</f>
        <v>-21843</v>
      </c>
      <c r="K761" s="2606">
        <f>'Part VI-Pro Forma'!K54</f>
        <v>-22280</v>
      </c>
    </row>
    <row r="762" spans="1:11">
      <c r="A762" s="357" t="s">
        <v>1128</v>
      </c>
      <c r="B762" s="2606">
        <f>'Part VI-Pro Forma'!B55</f>
        <v>-20225.941509129032</v>
      </c>
      <c r="C762" s="2606">
        <f>'Part VI-Pro Forma'!C55</f>
        <v>-20832.719754402904</v>
      </c>
      <c r="D762" s="2606">
        <f>'Part VI-Pro Forma'!D55</f>
        <v>-21457.701347034988</v>
      </c>
      <c r="E762" s="2606">
        <f>'Part VI-Pro Forma'!E55</f>
        <v>-22101.432387446035</v>
      </c>
      <c r="F762" s="2606">
        <f>'Part VI-Pro Forma'!F55</f>
        <v>-22764.47535906942</v>
      </c>
      <c r="G762" s="2606">
        <f>'Part VI-Pro Forma'!G55</f>
        <v>-23447.409619841506</v>
      </c>
      <c r="H762" s="2606">
        <f>'Part VI-Pro Forma'!H55</f>
        <v>-24150.831908436747</v>
      </c>
      <c r="I762" s="2606">
        <f>'Part VI-Pro Forma'!I55</f>
        <v>-24875.35686568985</v>
      </c>
      <c r="J762" s="2606">
        <f>'Part VI-Pro Forma'!J55</f>
        <v>-25621.617571660543</v>
      </c>
      <c r="K762" s="2606">
        <f>'Part VI-Pro Forma'!K55</f>
        <v>-26390.26609881036</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65459.8386828488</v>
      </c>
      <c r="C764" s="2606">
        <f t="shared" si="386"/>
        <v>64502.797096819442</v>
      </c>
      <c r="D764" s="2606">
        <f t="shared" si="386"/>
        <v>63459.091728279061</v>
      </c>
      <c r="E764" s="2606">
        <f t="shared" si="386"/>
        <v>62324.089813053448</v>
      </c>
      <c r="F764" s="2606">
        <f t="shared" si="386"/>
        <v>61094.024747029645</v>
      </c>
      <c r="G764" s="2606">
        <f t="shared" si="386"/>
        <v>59765.991573816704</v>
      </c>
      <c r="H764" s="2606">
        <f t="shared" si="386"/>
        <v>58333.942327095145</v>
      </c>
      <c r="I764" s="2606">
        <f t="shared" si="386"/>
        <v>56794.681223093045</v>
      </c>
      <c r="J764" s="2606">
        <f t="shared" si="386"/>
        <v>55143.859698494554</v>
      </c>
      <c r="K764" s="2606">
        <f t="shared" si="386"/>
        <v>53375.971288932313</v>
      </c>
    </row>
    <row r="765" spans="1:11">
      <c r="A765" s="357" t="str">
        <f>$A733</f>
        <v>Mortgage A</v>
      </c>
      <c r="B765" s="2606">
        <f>'Part VI-Pro Forma'!B58</f>
        <v>-21829.469948534566</v>
      </c>
      <c r="C765" s="2606">
        <f>'Part VI-Pro Forma'!C58</f>
        <v>-21829.469948534566</v>
      </c>
      <c r="D765" s="2606">
        <f>'Part VI-Pro Forma'!D58</f>
        <v>-21829.469948534566</v>
      </c>
      <c r="E765" s="2606">
        <f>'Part VI-Pro Forma'!E58</f>
        <v>-21829.469948534566</v>
      </c>
      <c r="F765" s="2606">
        <f>'Part VI-Pro Forma'!F58</f>
        <v>-21829.469948534566</v>
      </c>
      <c r="G765" s="2606">
        <f>'Part VI-Pro Forma'!G58</f>
        <v>-21829.469948534566</v>
      </c>
      <c r="H765" s="2606">
        <f>'Part VI-Pro Forma'!H58</f>
        <v>-21829.469948534566</v>
      </c>
      <c r="I765" s="2606">
        <f>'Part VI-Pro Forma'!I58</f>
        <v>-21829.469948534566</v>
      </c>
      <c r="J765" s="2606">
        <f>'Part VI-Pro Forma'!J58</f>
        <v>-21829.469948534566</v>
      </c>
      <c r="K765" s="2606">
        <f>'Part VI-Pro Forma'!K58</f>
        <v>-21829.469948534566</v>
      </c>
    </row>
    <row r="766" spans="1:11">
      <c r="A766" s="357" t="str">
        <f>$A734</f>
        <v>Mortgage B</v>
      </c>
      <c r="B766" s="2606">
        <f>'Part VI-Pro Forma'!B59</f>
        <v>-23634.013092405363</v>
      </c>
      <c r="C766" s="2606">
        <f>'Part VI-Pro Forma'!C59</f>
        <v>-23634.013092405363</v>
      </c>
      <c r="D766" s="2606">
        <f>'Part VI-Pro Forma'!D59</f>
        <v>-23634.013092405363</v>
      </c>
      <c r="E766" s="2606">
        <f>'Part VI-Pro Forma'!E59</f>
        <v>-23634.013092405363</v>
      </c>
      <c r="F766" s="2606">
        <f>'Part VI-Pro Forma'!F59</f>
        <v>-23634.013092405363</v>
      </c>
      <c r="G766" s="2606">
        <f>'Part VI-Pro Forma'!G59</f>
        <v>-23634.013092405363</v>
      </c>
      <c r="H766" s="2606">
        <f>'Part VI-Pro Forma'!H59</f>
        <v>-23634.013092405363</v>
      </c>
      <c r="I766" s="2606">
        <f>'Part VI-Pro Forma'!I59</f>
        <v>-23634.013092405363</v>
      </c>
      <c r="J766" s="2606">
        <f>'Part VI-Pro Forma'!J59</f>
        <v>-23634.013092405363</v>
      </c>
      <c r="K766" s="2606">
        <f>'Part VI-Pro Forma'!K59</f>
        <v>-23634.013092405363</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-3000</v>
      </c>
      <c r="C770" s="2606">
        <f>'Part VI-Pro Forma'!C63</f>
        <v>-3000</v>
      </c>
      <c r="D770" s="2606">
        <f>'Part VI-Pro Forma'!D63</f>
        <v>-3000</v>
      </c>
      <c r="E770" s="2606">
        <f>'Part VI-Pro Forma'!E63</f>
        <v>-3000</v>
      </c>
      <c r="F770" s="2606">
        <f>'Part VI-Pro Forma'!F63</f>
        <v>-3000</v>
      </c>
      <c r="G770" s="2606">
        <f>'Part VI-Pro Forma'!G63</f>
        <v>-3000</v>
      </c>
      <c r="H770" s="2606">
        <f>'Part VI-Pro Forma'!H63</f>
        <v>-3000</v>
      </c>
      <c r="I770" s="2606">
        <f>'Part VI-Pro Forma'!I63</f>
        <v>-3000</v>
      </c>
      <c r="J770" s="2606">
        <f>'Part VI-Pro Forma'!J63</f>
        <v>-3000</v>
      </c>
      <c r="K770" s="2606">
        <f>'Part VI-Pro Forma'!K63</f>
        <v>-3000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16996.355641908875</v>
      </c>
      <c r="C772" s="2606">
        <f t="shared" si="387"/>
        <v>16039.314055879517</v>
      </c>
      <c r="D772" s="2606">
        <f t="shared" si="387"/>
        <v>14995.608687339136</v>
      </c>
      <c r="E772" s="2606">
        <f t="shared" si="387"/>
        <v>13860.606772113522</v>
      </c>
      <c r="F772" s="2606">
        <f t="shared" si="387"/>
        <v>12630.54170608972</v>
      </c>
      <c r="G772" s="2606">
        <f t="shared" si="387"/>
        <v>11302.508532876778</v>
      </c>
      <c r="H772" s="2606">
        <f t="shared" si="387"/>
        <v>9870.4592861552119</v>
      </c>
      <c r="I772" s="2606">
        <f t="shared" si="387"/>
        <v>8331.1981821531117</v>
      </c>
      <c r="J772" s="2606">
        <f t="shared" si="387"/>
        <v>6680.3766575546215</v>
      </c>
      <c r="K772" s="2606">
        <f t="shared" si="387"/>
        <v>4912.4882479923835</v>
      </c>
    </row>
    <row r="773" spans="1:11">
      <c r="A773" s="357" t="str">
        <f>$A741</f>
        <v>DCR Mortgage A</v>
      </c>
      <c r="B773" s="2607">
        <f t="shared" ref="B773:K773" si="388">IF(B765=0,"",-B764/B765)</f>
        <v>2.9986911655288808</v>
      </c>
      <c r="C773" s="2607">
        <f t="shared" si="388"/>
        <v>2.9548494420108251</v>
      </c>
      <c r="D773" s="2607">
        <f t="shared" si="388"/>
        <v>2.9070376824490478</v>
      </c>
      <c r="E773" s="2607">
        <f t="shared" si="388"/>
        <v>2.8550436616184225</v>
      </c>
      <c r="F773" s="2607">
        <f t="shared" si="388"/>
        <v>2.7986948327680738</v>
      </c>
      <c r="G773" s="2607">
        <f t="shared" si="388"/>
        <v>2.7378581209127733</v>
      </c>
      <c r="H773" s="2607">
        <f t="shared" si="388"/>
        <v>2.6722564709369481</v>
      </c>
      <c r="I773" s="2607">
        <f t="shared" si="388"/>
        <v>2.6017434851598735</v>
      </c>
      <c r="J773" s="2607">
        <f t="shared" si="388"/>
        <v>2.5261199574933526</v>
      </c>
      <c r="K773" s="2607">
        <f t="shared" si="388"/>
        <v>2.4451336388273366</v>
      </c>
    </row>
    <row r="774" spans="1:11">
      <c r="A774" s="357" t="str">
        <f>$A742</f>
        <v>DCR Mortgage B</v>
      </c>
      <c r="B774" s="2607">
        <f t="shared" ref="B774:K774" si="389">IF(B766=0,"",-(B764+B765)/B766)</f>
        <v>1.8460838014993981</v>
      </c>
      <c r="C774" s="2607">
        <f t="shared" si="389"/>
        <v>1.805589553557355</v>
      </c>
      <c r="D774" s="2607">
        <f t="shared" si="389"/>
        <v>1.7614283963108199</v>
      </c>
      <c r="E774" s="2607">
        <f t="shared" si="389"/>
        <v>1.7134043087050488</v>
      </c>
      <c r="F774" s="2607">
        <f t="shared" si="389"/>
        <v>1.6613579185632461</v>
      </c>
      <c r="G774" s="2607">
        <f t="shared" si="389"/>
        <v>1.6051663116609172</v>
      </c>
      <c r="H774" s="2607">
        <f t="shared" si="389"/>
        <v>1.5445735870515809</v>
      </c>
      <c r="I774" s="2607">
        <f t="shared" si="389"/>
        <v>1.4794445250516646</v>
      </c>
      <c r="J774" s="2607">
        <f t="shared" si="389"/>
        <v>1.4095951296847402</v>
      </c>
      <c r="K774" s="2607">
        <f t="shared" si="389"/>
        <v>1.3347924119808079</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1.4398333410553283</v>
      </c>
      <c r="C777" s="2607">
        <f t="shared" si="392"/>
        <v>1.4187825653114738</v>
      </c>
      <c r="D777" s="2607">
        <f t="shared" si="392"/>
        <v>1.3958255611681591</v>
      </c>
      <c r="E777" s="2607">
        <f t="shared" si="392"/>
        <v>1.370860427849985</v>
      </c>
      <c r="F777" s="2607">
        <f t="shared" si="392"/>
        <v>1.3438043163568087</v>
      </c>
      <c r="G777" s="2607">
        <f t="shared" si="392"/>
        <v>1.3145933302117954</v>
      </c>
      <c r="H777" s="2607">
        <f t="shared" si="392"/>
        <v>1.2830944403130167</v>
      </c>
      <c r="I777" s="2607">
        <f t="shared" si="392"/>
        <v>1.2492373532390679</v>
      </c>
      <c r="J777" s="2607">
        <f t="shared" si="392"/>
        <v>1.2129264194042817</v>
      </c>
      <c r="K777" s="2607">
        <f t="shared" si="392"/>
        <v>1.1740405204077122</v>
      </c>
    </row>
    <row r="778" spans="1:11">
      <c r="A778" s="357" t="s">
        <v>718</v>
      </c>
      <c r="B778" s="2608">
        <f t="shared" ref="B778:K778" si="393">IF(OR(B761="Choose mgt fee",B761="Choose One!"),"",(B754+B755+B756+B757+B758) / -(B760+B761+B762))</f>
        <v>1.2669075708108126</v>
      </c>
      <c r="C778" s="2608">
        <f t="shared" si="393"/>
        <v>1.2555334025677374</v>
      </c>
      <c r="D778" s="2608">
        <f t="shared" si="393"/>
        <v>1.2442553295059837</v>
      </c>
      <c r="E778" s="2608">
        <f t="shared" si="393"/>
        <v>1.2330685544631437</v>
      </c>
      <c r="F778" s="2608">
        <f t="shared" si="393"/>
        <v>1.2219733363022478</v>
      </c>
      <c r="G778" s="2608">
        <f t="shared" si="393"/>
        <v>1.2109741075148479</v>
      </c>
      <c r="H778" s="2608">
        <f t="shared" si="393"/>
        <v>1.2000622243595158</v>
      </c>
      <c r="I778" s="2608">
        <f t="shared" si="393"/>
        <v>1.1892421056564515</v>
      </c>
      <c r="J778" s="2608">
        <f t="shared" si="393"/>
        <v>1.178513651989435</v>
      </c>
      <c r="K778" s="2608">
        <f t="shared" si="393"/>
        <v>1.167873019055977</v>
      </c>
    </row>
    <row r="779" spans="1:11">
      <c r="A779" s="357" t="s">
        <v>2405</v>
      </c>
      <c r="B779" s="2606">
        <f>'Part VI-Pro Forma'!B72</f>
        <v>704727.667543547</v>
      </c>
      <c r="C779" s="2606">
        <f>'Part VI-Pro Forma'!C72</f>
        <v>689877.5339987172</v>
      </c>
      <c r="D779" s="2606">
        <f>'Part VI-Pro Forma'!D72</f>
        <v>674878.21659312665</v>
      </c>
      <c r="E779" s="2606">
        <f>'Part VI-Pro Forma'!E72</f>
        <v>659728.2166315451</v>
      </c>
      <c r="F779" s="2606">
        <f>'Part VI-Pro Forma'!F72</f>
        <v>644426.02036290872</v>
      </c>
      <c r="G779" s="2606">
        <f>'Part VI-Pro Forma'!G72</f>
        <v>628970.09882906964</v>
      </c>
      <c r="H779" s="2606">
        <f>'Part VI-Pro Forma'!H72</f>
        <v>613358.90771202638</v>
      </c>
      <c r="I779" s="2606">
        <f>'Part VI-Pro Forma'!I72</f>
        <v>597590.88717961893</v>
      </c>
      <c r="J779" s="2606">
        <f>'Part VI-Pro Forma'!J72</f>
        <v>581664.46172967472</v>
      </c>
      <c r="K779" s="2606">
        <f>'Part VI-Pro Forma'!K72</f>
        <v>565578.04003258771</v>
      </c>
    </row>
    <row r="780" spans="1:11">
      <c r="A780" s="357" t="s">
        <v>2406</v>
      </c>
      <c r="B780" s="2606">
        <f>'Part VI-Pro Forma'!B73</f>
        <v>323254.46356025763</v>
      </c>
      <c r="C780" s="2606">
        <f>'Part VI-Pro Forma'!C73</f>
        <v>311251.54337446194</v>
      </c>
      <c r="D780" s="2606">
        <f>'Part VI-Pro Forma'!D73</f>
        <v>298801.87149834656</v>
      </c>
      <c r="E780" s="2606">
        <f>'Part VI-Pro Forma'!E73</f>
        <v>285888.81972229964</v>
      </c>
      <c r="F780" s="2606">
        <f>'Part VI-Pro Forma'!F73</f>
        <v>272495.14093059022</v>
      </c>
      <c r="G780" s="2606">
        <f>'Part VI-Pro Forma'!G73</f>
        <v>258602.94606552756</v>
      </c>
      <c r="H780" s="2606">
        <f>'Part VI-Pro Forma'!H73</f>
        <v>244193.68023422104</v>
      </c>
      <c r="I780" s="2606">
        <f>'Part VI-Pro Forma'!I73</f>
        <v>229248.09792602752</v>
      </c>
      <c r="J780" s="2606">
        <f>'Part VI-Pro Forma'!J73</f>
        <v>213746.23730758589</v>
      </c>
      <c r="K780" s="2606">
        <f>'Part VI-Pro Forma'!K73</f>
        <v>197667.39356110641</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399280.00908896769</v>
      </c>
      <c r="C786" s="2606">
        <f>'Part VI-Pro Forma'!C79</f>
        <v>407265.60927074699</v>
      </c>
      <c r="D786" s="2606">
        <f>'Part VI-Pro Forma'!D79</f>
        <v>415410.921456162</v>
      </c>
      <c r="E786" s="2606">
        <f>'Part VI-Pro Forma'!E79</f>
        <v>423719.13988528517</v>
      </c>
      <c r="F786" s="2606">
        <f>'Part VI-Pro Forma'!F79</f>
        <v>432193.52268299088</v>
      </c>
      <c r="G786" s="2606">
        <f>'Part VI-Pro Forma'!G79</f>
        <v>440837.39313665067</v>
      </c>
      <c r="H786" s="2606">
        <f>'Part VI-Pro Forma'!H79</f>
        <v>449654.14099938376</v>
      </c>
      <c r="I786" s="2606">
        <f>'Part VI-Pro Forma'!I79</f>
        <v>458647.22381937131</v>
      </c>
      <c r="J786" s="2606">
        <f>'Part VI-Pro Forma'!J79</f>
        <v>467820.16829575889</v>
      </c>
      <c r="K786" s="2606">
        <f>'Part VI-Pro Forma'!K79</f>
        <v>477176.57166167395</v>
      </c>
    </row>
    <row r="787" spans="1:11">
      <c r="A787" s="357" t="s">
        <v>952</v>
      </c>
      <c r="B787" s="2606">
        <f>'Part VI-Pro Forma'!B80</f>
        <v>7985.600181779354</v>
      </c>
      <c r="C787" s="2606">
        <f>'Part VI-Pro Forma'!C80</f>
        <v>8145.3121854149404</v>
      </c>
      <c r="D787" s="2606">
        <f>'Part VI-Pro Forma'!D80</f>
        <v>8308.2184291232388</v>
      </c>
      <c r="E787" s="2606">
        <f>'Part VI-Pro Forma'!E80</f>
        <v>8474.3827977057026</v>
      </c>
      <c r="F787" s="2606">
        <f>'Part VI-Pro Forma'!F80</f>
        <v>8643.8704536598179</v>
      </c>
      <c r="G787" s="2606">
        <f>'Part VI-Pro Forma'!G80</f>
        <v>8816.7478627330129</v>
      </c>
      <c r="H787" s="2606">
        <f>'Part VI-Pro Forma'!H80</f>
        <v>8993.0828199876742</v>
      </c>
      <c r="I787" s="2606">
        <f>'Part VI-Pro Forma'!I80</f>
        <v>9172.9444763874271</v>
      </c>
      <c r="J787" s="2606">
        <f>'Part VI-Pro Forma'!J80</f>
        <v>9356.4033659151773</v>
      </c>
      <c r="K787" s="2606">
        <f>'Part VI-Pro Forma'!K80</f>
        <v>9543.5314332334801</v>
      </c>
    </row>
    <row r="788" spans="1:11">
      <c r="A788" s="357" t="s">
        <v>2216</v>
      </c>
      <c r="B788" s="2606">
        <f>'Part VI-Pro Forma'!B81</f>
        <v>-28508.592648952297</v>
      </c>
      <c r="C788" s="2606">
        <f>'Part VI-Pro Forma'!C81</f>
        <v>-29078.764501931339</v>
      </c>
      <c r="D788" s="2606">
        <f>'Part VI-Pro Forma'!D81</f>
        <v>-29660.339791969967</v>
      </c>
      <c r="E788" s="2606">
        <f>'Part VI-Pro Forma'!E81</f>
        <v>-30253.546587809364</v>
      </c>
      <c r="F788" s="2606">
        <f>'Part VI-Pro Forma'!F81</f>
        <v>-30858.617519565549</v>
      </c>
      <c r="G788" s="2606">
        <f>'Part VI-Pro Forma'!G81</f>
        <v>-31475.789869956861</v>
      </c>
      <c r="H788" s="2606">
        <f>'Part VI-Pro Forma'!H81</f>
        <v>-32105.305667356002</v>
      </c>
      <c r="I788" s="2606">
        <f>'Part VI-Pro Forma'!I81</f>
        <v>-32747.411780703114</v>
      </c>
      <c r="J788" s="2606">
        <f>'Part VI-Pro Forma'!J81</f>
        <v>-33402.360016317187</v>
      </c>
      <c r="K788" s="2606">
        <f>'Part VI-Pro Forma'!K81</f>
        <v>-34070.407216643522</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378757.01662179478</v>
      </c>
      <c r="C791" s="2606">
        <f>'Part VI-Pro Forma'!C84</f>
        <v>386332.15695423062</v>
      </c>
      <c r="D791" s="2606">
        <f>'Part VI-Pro Forma'!D84</f>
        <v>394058.80009331525</v>
      </c>
      <c r="E791" s="2606">
        <f>'Part VI-Pro Forma'!E84</f>
        <v>401939.97609518154</v>
      </c>
      <c r="F791" s="2606">
        <f>'Part VI-Pro Forma'!F84</f>
        <v>409978.77561708511</v>
      </c>
      <c r="G791" s="2606">
        <f>'Part VI-Pro Forma'!G84</f>
        <v>418178.35112942685</v>
      </c>
      <c r="H791" s="2606">
        <f>'Part VI-Pro Forma'!H84</f>
        <v>426541.91815201542</v>
      </c>
      <c r="I791" s="2606">
        <f>'Part VI-Pro Forma'!I84</f>
        <v>435072.7565150556</v>
      </c>
      <c r="J791" s="2606">
        <f>'Part VI-Pro Forma'!J84</f>
        <v>443774.2116453569</v>
      </c>
      <c r="K791" s="2606">
        <f>'Part VI-Pro Forma'!K84</f>
        <v>452649.69587826391</v>
      </c>
    </row>
    <row r="792" spans="1:11">
      <c r="A792" s="357" t="s">
        <v>572</v>
      </c>
      <c r="B792" s="2606">
        <f>'Part VI-Pro Forma'!B85</f>
        <v>-277362.69619694713</v>
      </c>
      <c r="C792" s="2606">
        <f>'Part VI-Pro Forma'!C85</f>
        <v>-285683.57708285551</v>
      </c>
      <c r="D792" s="2606">
        <f>'Part VI-Pro Forma'!D85</f>
        <v>-294254.08439534117</v>
      </c>
      <c r="E792" s="2606">
        <f>'Part VI-Pro Forma'!E85</f>
        <v>-303081.70692720142</v>
      </c>
      <c r="F792" s="2606">
        <f>'Part VI-Pro Forma'!F85</f>
        <v>-312174.15813501744</v>
      </c>
      <c r="G792" s="2606">
        <f>'Part VI-Pro Forma'!G85</f>
        <v>-321539.38287906797</v>
      </c>
      <c r="H792" s="2606">
        <f>'Part VI-Pro Forma'!H85</f>
        <v>-331185.56436544005</v>
      </c>
      <c r="I792" s="2606">
        <f>'Part VI-Pro Forma'!I85</f>
        <v>-341121.13129640324</v>
      </c>
      <c r="J792" s="2606">
        <f>'Part VI-Pro Forma'!J85</f>
        <v>-351354.76523529529</v>
      </c>
      <c r="K792" s="2606">
        <f>'Part VI-Pro Forma'!K85</f>
        <v>-361895.40819235414</v>
      </c>
    </row>
    <row r="793" spans="1:11">
      <c r="A793" s="357" t="s">
        <v>1050</v>
      </c>
      <c r="B793" s="2606">
        <f>'Part VI-Pro Forma'!B86</f>
        <v>-22725</v>
      </c>
      <c r="C793" s="2606">
        <f>'Part VI-Pro Forma'!C86</f>
        <v>-23180</v>
      </c>
      <c r="D793" s="2606">
        <f>'Part VI-Pro Forma'!D86</f>
        <v>-23644</v>
      </c>
      <c r="E793" s="2606">
        <f>'Part VI-Pro Forma'!E86</f>
        <v>-24116</v>
      </c>
      <c r="F793" s="2606">
        <f>'Part VI-Pro Forma'!F86</f>
        <v>-24599</v>
      </c>
      <c r="G793" s="2606">
        <f>'Part VI-Pro Forma'!G86</f>
        <v>-25091</v>
      </c>
      <c r="H793" s="2606">
        <f>'Part VI-Pro Forma'!H86</f>
        <v>-25593</v>
      </c>
      <c r="I793" s="2606">
        <f>'Part VI-Pro Forma'!I86</f>
        <v>-26104</v>
      </c>
      <c r="J793" s="2606">
        <f>'Part VI-Pro Forma'!J86</f>
        <v>-26626</v>
      </c>
      <c r="K793" s="2606">
        <f>'Part VI-Pro Forma'!K86</f>
        <v>-27159</v>
      </c>
    </row>
    <row r="794" spans="1:11">
      <c r="A794" s="357" t="s">
        <v>1128</v>
      </c>
      <c r="B794" s="2606">
        <f>'Part VI-Pro Forma'!B87</f>
        <v>-27181.974081774668</v>
      </c>
      <c r="C794" s="2606">
        <f>'Part VI-Pro Forma'!C87</f>
        <v>-27997.433304227907</v>
      </c>
      <c r="D794" s="2606">
        <f>'Part VI-Pro Forma'!D87</f>
        <v>-28837.356303354747</v>
      </c>
      <c r="E794" s="2606">
        <f>'Part VI-Pro Forma'!E87</f>
        <v>-29702.476992455391</v>
      </c>
      <c r="F794" s="2606">
        <f>'Part VI-Pro Forma'!F87</f>
        <v>-30593.551302229047</v>
      </c>
      <c r="G794" s="2606">
        <f>'Part VI-Pro Forma'!G87</f>
        <v>-31511.357841295918</v>
      </c>
      <c r="H794" s="2606">
        <f>'Part VI-Pro Forma'!H87</f>
        <v>-32456.6985765348</v>
      </c>
      <c r="I794" s="2606">
        <f>'Part VI-Pro Forma'!I87</f>
        <v>-33430.399533830838</v>
      </c>
      <c r="J794" s="2606">
        <f>'Part VI-Pro Forma'!J87</f>
        <v>-34433.311519845767</v>
      </c>
      <c r="K794" s="2606">
        <f>'Part VI-Pro Forma'!K87</f>
        <v>-35466.310865441134</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51487.34634307299</v>
      </c>
      <c r="C796" s="2606">
        <f t="shared" si="395"/>
        <v>49471.146567147211</v>
      </c>
      <c r="D796" s="2606">
        <f t="shared" si="395"/>
        <v>47323.359394619336</v>
      </c>
      <c r="E796" s="2606">
        <f t="shared" si="395"/>
        <v>45039.79217552473</v>
      </c>
      <c r="F796" s="2606">
        <f t="shared" si="395"/>
        <v>42612.066179838621</v>
      </c>
      <c r="G796" s="2606">
        <f t="shared" si="395"/>
        <v>40036.610409062967</v>
      </c>
      <c r="H796" s="2606">
        <f t="shared" si="395"/>
        <v>37306.655210040575</v>
      </c>
      <c r="I796" s="2606">
        <f t="shared" si="395"/>
        <v>34417.225684821526</v>
      </c>
      <c r="J796" s="2606">
        <f t="shared" si="395"/>
        <v>31360.13489021585</v>
      </c>
      <c r="K796" s="2606">
        <f t="shared" si="395"/>
        <v>28128.976820468641</v>
      </c>
    </row>
    <row r="797" spans="1:11">
      <c r="A797" s="357" t="str">
        <f>$A765</f>
        <v>Mortgage A</v>
      </c>
      <c r="B797" s="2606">
        <f>'Part VI-Pro Forma'!B90</f>
        <v>-21829.469948534566</v>
      </c>
      <c r="C797" s="2606">
        <f>'Part VI-Pro Forma'!C90</f>
        <v>-21829.469948534566</v>
      </c>
      <c r="D797" s="2606">
        <f>'Part VI-Pro Forma'!D90</f>
        <v>-21829.469948534566</v>
      </c>
      <c r="E797" s="2606">
        <f>'Part VI-Pro Forma'!E90</f>
        <v>-21829.469948534566</v>
      </c>
      <c r="F797" s="2606">
        <f>'Part VI-Pro Forma'!F90</f>
        <v>-21829.469948534566</v>
      </c>
      <c r="G797" s="2606">
        <f>'Part VI-Pro Forma'!G90</f>
        <v>-21829.469948534566</v>
      </c>
      <c r="H797" s="2606">
        <f>'Part VI-Pro Forma'!H90</f>
        <v>-21829.469948534566</v>
      </c>
      <c r="I797" s="2606">
        <f>'Part VI-Pro Forma'!I90</f>
        <v>-21829.469948534566</v>
      </c>
      <c r="J797" s="2606">
        <f>'Part VI-Pro Forma'!J90</f>
        <v>-21829.469948534566</v>
      </c>
      <c r="K797" s="2606">
        <f>'Part VI-Pro Forma'!K90</f>
        <v>-21829.469948534566</v>
      </c>
    </row>
    <row r="798" spans="1:11">
      <c r="A798" s="357" t="str">
        <f>$A766</f>
        <v>Mortgage B</v>
      </c>
      <c r="B798" s="2606">
        <f>'Part VI-Pro Forma'!B91</f>
        <v>-23634.013092405363</v>
      </c>
      <c r="C798" s="2606">
        <f>'Part VI-Pro Forma'!C91</f>
        <v>-23634.013092405363</v>
      </c>
      <c r="D798" s="2606">
        <f>'Part VI-Pro Forma'!D91</f>
        <v>-23634.013092405363</v>
      </c>
      <c r="E798" s="2606">
        <f>'Part VI-Pro Forma'!E91</f>
        <v>-23634.013092405363</v>
      </c>
      <c r="F798" s="2606">
        <f>'Part VI-Pro Forma'!F91</f>
        <v>-23634.013092405363</v>
      </c>
      <c r="G798" s="2606">
        <f>'Part VI-Pro Forma'!G91</f>
        <v>-23634.013092405363</v>
      </c>
      <c r="H798" s="2606">
        <f>'Part VI-Pro Forma'!H91</f>
        <v>-23634.013092405363</v>
      </c>
      <c r="I798" s="2606">
        <f>'Part VI-Pro Forma'!I91</f>
        <v>-23634.013092405363</v>
      </c>
      <c r="J798" s="2606">
        <f>'Part VI-Pro Forma'!J91</f>
        <v>-23634.013092405363</v>
      </c>
      <c r="K798" s="2606">
        <f>'Part VI-Pro Forma'!K91</f>
        <v>-23634.013092405363</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-3000</v>
      </c>
      <c r="C802" s="2606">
        <f>'Part VI-Pro Forma'!C95</f>
        <v>-3000</v>
      </c>
      <c r="D802" s="2606">
        <f>'Part VI-Pro Forma'!D95</f>
        <v>-3000</v>
      </c>
      <c r="E802" s="2606">
        <f>'Part VI-Pro Forma'!E95</f>
        <v>-3000</v>
      </c>
      <c r="F802" s="2606">
        <f>'Part VI-Pro Forma'!F95</f>
        <v>-3000</v>
      </c>
      <c r="G802" s="2606">
        <f>'Part VI-Pro Forma'!G95</f>
        <v>-3000</v>
      </c>
      <c r="H802" s="2606">
        <f>'Part VI-Pro Forma'!H95</f>
        <v>-3000</v>
      </c>
      <c r="I802" s="2606">
        <f>'Part VI-Pro Forma'!I95</f>
        <v>-3000</v>
      </c>
      <c r="J802" s="2606">
        <f>'Part VI-Pro Forma'!J95</f>
        <v>-3000</v>
      </c>
      <c r="K802" s="2606">
        <f>'Part VI-Pro Forma'!K95</f>
        <v>-3000</v>
      </c>
    </row>
    <row r="803" spans="1:11">
      <c r="A803" s="357" t="s">
        <v>1096</v>
      </c>
      <c r="B803" s="2606">
        <f t="shared" ref="B803:K803" si="396">SUM(B796:B802)</f>
        <v>3023.8633021330606</v>
      </c>
      <c r="C803" s="2606">
        <f t="shared" si="396"/>
        <v>1007.6635262072814</v>
      </c>
      <c r="D803" s="2606">
        <f t="shared" si="396"/>
        <v>-1140.1236463205933</v>
      </c>
      <c r="E803" s="2606">
        <f t="shared" si="396"/>
        <v>-3423.6908654151994</v>
      </c>
      <c r="F803" s="2606">
        <f t="shared" si="396"/>
        <v>-5851.4168611013083</v>
      </c>
      <c r="G803" s="2606">
        <f t="shared" si="396"/>
        <v>-8426.8726318769623</v>
      </c>
      <c r="H803" s="2606">
        <f t="shared" si="396"/>
        <v>-11156.827830899354</v>
      </c>
      <c r="I803" s="2606">
        <f t="shared" si="396"/>
        <v>-14046.257356118404</v>
      </c>
      <c r="J803" s="2606">
        <f t="shared" si="396"/>
        <v>-17103.348150724079</v>
      </c>
      <c r="K803" s="2606">
        <f t="shared" si="396"/>
        <v>-20334.506220471289</v>
      </c>
    </row>
    <row r="804" spans="1:11">
      <c r="A804" s="357" t="str">
        <f>$A773</f>
        <v>DCR Mortgage A</v>
      </c>
      <c r="B804" s="2607">
        <f t="shared" ref="B804:K804" si="397">IF(B797=0,"",-B796/B797)</f>
        <v>2.3586164237821721</v>
      </c>
      <c r="C804" s="2607">
        <f t="shared" si="397"/>
        <v>2.2662550526321072</v>
      </c>
      <c r="D804" s="2607">
        <f t="shared" si="397"/>
        <v>2.1678657111780306</v>
      </c>
      <c r="E804" s="2607">
        <f t="shared" si="397"/>
        <v>2.0632563356650944</v>
      </c>
      <c r="F804" s="2607">
        <f t="shared" si="397"/>
        <v>1.952043099548517</v>
      </c>
      <c r="G804" s="2607">
        <f t="shared" si="397"/>
        <v>1.8340624166987922</v>
      </c>
      <c r="H804" s="2607">
        <f t="shared" si="397"/>
        <v>1.7090041717914002</v>
      </c>
      <c r="I804" s="2607">
        <f t="shared" si="397"/>
        <v>1.5766404665786211</v>
      </c>
      <c r="J804" s="2607">
        <f t="shared" si="397"/>
        <v>1.4365962602001285</v>
      </c>
      <c r="K804" s="2607">
        <f t="shared" si="397"/>
        <v>1.288578095885327</v>
      </c>
    </row>
    <row r="805" spans="1:11">
      <c r="A805" s="357" t="str">
        <f>$A774</f>
        <v>DCR Mortgage B</v>
      </c>
      <c r="B805" s="2607">
        <f t="shared" ref="B805:K805" si="398">IF(B798=0,"",-(B796+B797)/B798)</f>
        <v>1.2548811020193937</v>
      </c>
      <c r="C805" s="2607">
        <f t="shared" si="398"/>
        <v>1.1695718585979424</v>
      </c>
      <c r="D805" s="2607">
        <f t="shared" si="398"/>
        <v>1.0786949024022106</v>
      </c>
      <c r="E805" s="2607">
        <f t="shared" si="398"/>
        <v>0.98207283444590499</v>
      </c>
      <c r="F805" s="2607">
        <f t="shared" si="398"/>
        <v>0.87935113474158166</v>
      </c>
      <c r="G805" s="2607">
        <f t="shared" si="398"/>
        <v>0.77037870755767446</v>
      </c>
      <c r="H805" s="2607">
        <f t="shared" si="398"/>
        <v>0.65486911600635023</v>
      </c>
      <c r="I805" s="2607">
        <f t="shared" si="398"/>
        <v>0.53261186270273975</v>
      </c>
      <c r="J805" s="2607">
        <f t="shared" si="398"/>
        <v>0.40326054252478605</v>
      </c>
      <c r="K805" s="2607">
        <f t="shared" si="398"/>
        <v>0.26654410519719901</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1.132498939791053</v>
      </c>
      <c r="C808" s="2607">
        <f t="shared" si="401"/>
        <v>1.0881512646665978</v>
      </c>
      <c r="D808" s="2607">
        <f t="shared" si="401"/>
        <v>1.0409092359246779</v>
      </c>
      <c r="E808" s="2607">
        <f t="shared" si="401"/>
        <v>0.99068063339903667</v>
      </c>
      <c r="F808" s="2607">
        <f t="shared" si="401"/>
        <v>0.93728116126664551</v>
      </c>
      <c r="G808" s="2607">
        <f t="shared" si="401"/>
        <v>0.88063227300490687</v>
      </c>
      <c r="H808" s="2607">
        <f t="shared" si="401"/>
        <v>0.82058506552271593</v>
      </c>
      <c r="I808" s="2607">
        <f t="shared" si="401"/>
        <v>0.75703011258131647</v>
      </c>
      <c r="J808" s="2607">
        <f t="shared" si="401"/>
        <v>0.68978733683857885</v>
      </c>
      <c r="K808" s="2607">
        <f t="shared" si="401"/>
        <v>0.61871583387349482</v>
      </c>
    </row>
    <row r="809" spans="1:11">
      <c r="A809" s="357" t="s">
        <v>718</v>
      </c>
      <c r="B809" s="2608">
        <f>IF(OR(B793="Choose mgt fee",B793="Choose One!"),"",(B786+B787+B788+B789+B790) / -(B792+B793+B794))</f>
        <v>1.1573239166929932</v>
      </c>
      <c r="C809" s="2608">
        <f t="shared" ref="C809:K809" si="402">IF(OR(C793="Choose mgt fee",C793="Choose One!"),"",(C786+C787+C788+C789+C790) / -(C792+C793+C794))</f>
        <v>1.1468592239579773</v>
      </c>
      <c r="D809" s="2608">
        <f t="shared" si="402"/>
        <v>1.1364826142353937</v>
      </c>
      <c r="E809" s="2608">
        <f t="shared" si="402"/>
        <v>1.1261971671767583</v>
      </c>
      <c r="F809" s="2608">
        <f t="shared" si="402"/>
        <v>1.1159932707161033</v>
      </c>
      <c r="G809" s="2608">
        <f t="shared" si="402"/>
        <v>1.1058772573818294</v>
      </c>
      <c r="H809" s="2608">
        <f t="shared" si="402"/>
        <v>1.0958460313386407</v>
      </c>
      <c r="I809" s="2608">
        <f t="shared" si="402"/>
        <v>1.0859022852211788</v>
      </c>
      <c r="J809" s="2608">
        <f t="shared" si="402"/>
        <v>1.0760404085548105</v>
      </c>
      <c r="K809" s="2608">
        <f t="shared" si="402"/>
        <v>1.0662605511526027</v>
      </c>
    </row>
    <row r="810" spans="1:11">
      <c r="A810" s="357" t="s">
        <v>2405</v>
      </c>
      <c r="B810" s="2606">
        <f>'Part VI-Pro Forma'!B103</f>
        <v>549330.01477231714</v>
      </c>
      <c r="C810" s="2606">
        <f>'Part VI-Pro Forma'!C103</f>
        <v>532918.76248578797</v>
      </c>
      <c r="D810" s="2606">
        <f>'Part VI-Pro Forma'!D103</f>
        <v>516342.6434006787</v>
      </c>
      <c r="E810" s="2606">
        <f>'Part VI-Pro Forma'!E103</f>
        <v>499600.00127157918</v>
      </c>
      <c r="F810" s="2606">
        <f>'Part VI-Pro Forma'!F103</f>
        <v>482689.16321450262</v>
      </c>
      <c r="G810" s="2606">
        <f>'Part VI-Pro Forma'!G103</f>
        <v>465608.43953973526</v>
      </c>
      <c r="H810" s="2606">
        <f>'Part VI-Pro Forma'!H103</f>
        <v>448356.12358300644</v>
      </c>
      <c r="I810" s="2606">
        <f>'Part VI-Pro Forma'!I103</f>
        <v>430930.49153496302</v>
      </c>
      <c r="J810" s="2606">
        <f>'Part VI-Pro Forma'!J103</f>
        <v>413329.80226893059</v>
      </c>
      <c r="K810" s="2606">
        <f>'Part VI-Pro Forma'!K103</f>
        <v>395552.29716694419</v>
      </c>
    </row>
    <row r="811" spans="1:11">
      <c r="A811" s="357" t="s">
        <v>2406</v>
      </c>
      <c r="B811" s="2606">
        <f>'Part VI-Pro Forma'!B104</f>
        <v>180990.09123030456</v>
      </c>
      <c r="C811" s="2606">
        <f>'Part VI-Pro Forma'!C104</f>
        <v>163692.05553704352</v>
      </c>
      <c r="D811" s="2606">
        <f>'Part VI-Pro Forma'!D104</f>
        <v>145750.18263037503</v>
      </c>
      <c r="E811" s="2606">
        <f>'Part VI-Pro Forma'!E104</f>
        <v>127140.50872824207</v>
      </c>
      <c r="F811" s="2606">
        <f>'Part VI-Pro Forma'!F104</f>
        <v>107838.17811062792</v>
      </c>
      <c r="G811" s="2606">
        <f>'Part VI-Pro Forma'!G104</f>
        <v>87817.409921402374</v>
      </c>
      <c r="H811" s="2606">
        <f>'Part VI-Pro Forma'!H104</f>
        <v>67051.463734524237</v>
      </c>
      <c r="I811" s="2606">
        <f>'Part VI-Pro Forma'!I104</f>
        <v>45512.603838609357</v>
      </c>
      <c r="J811" s="2606">
        <f>'Part VI-Pro Forma'!J104</f>
        <v>23172.062192161287</v>
      </c>
      <c r="K811" s="2606">
        <f>'Part VI-Pro Forma'!K104</f>
        <v>-1.3580574886873364E-8</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486720.10309490748</v>
      </c>
      <c r="C816" s="2606">
        <f>'Part VI-Pro Forma'!C109</f>
        <v>496454.50515680551</v>
      </c>
      <c r="D816" s="2606">
        <f>'Part VI-Pro Forma'!D109</f>
        <v>506383.59525994177</v>
      </c>
      <c r="E816" s="2606">
        <f>'Part VI-Pro Forma'!E109</f>
        <v>516511.2671651406</v>
      </c>
      <c r="F816" s="2606">
        <f>'Part VI-Pro Forma'!F109</f>
        <v>526841.49250844342</v>
      </c>
      <c r="G816" s="2606"/>
      <c r="H816" s="2606"/>
      <c r="I816" s="2606"/>
      <c r="J816" s="2606"/>
      <c r="K816" s="2606"/>
    </row>
    <row r="817" spans="1:11">
      <c r="A817" s="357" t="s">
        <v>952</v>
      </c>
      <c r="B817" s="2606">
        <f>'Part VI-Pro Forma'!B110</f>
        <v>9734.4020618981504</v>
      </c>
      <c r="C817" s="2606">
        <f>'Part VI-Pro Forma'!C110</f>
        <v>9929.09010313611</v>
      </c>
      <c r="D817" s="2606">
        <f>'Part VI-Pro Forma'!D110</f>
        <v>10127.671905198835</v>
      </c>
      <c r="E817" s="2606">
        <f>'Part VI-Pro Forma'!E110</f>
        <v>10330.225343302813</v>
      </c>
      <c r="F817" s="2606">
        <f>'Part VI-Pro Forma'!F110</f>
        <v>10536.829850168868</v>
      </c>
      <c r="G817" s="2606"/>
      <c r="H817" s="2606"/>
      <c r="I817" s="2606"/>
      <c r="J817" s="2606"/>
      <c r="K817" s="2606"/>
    </row>
    <row r="818" spans="1:11">
      <c r="A818" s="357" t="s">
        <v>2216</v>
      </c>
      <c r="B818" s="2606">
        <f>'Part VI-Pro Forma'!B111</f>
        <v>-34751.815360976398</v>
      </c>
      <c r="C818" s="2606">
        <f>'Part VI-Pro Forma'!C111</f>
        <v>-35446.851668195915</v>
      </c>
      <c r="D818" s="2606">
        <f>'Part VI-Pro Forma'!D111</f>
        <v>-36155.788701559846</v>
      </c>
      <c r="E818" s="2606">
        <f>'Part VI-Pro Forma'!E111</f>
        <v>-36878.904475591044</v>
      </c>
      <c r="F818" s="2606">
        <f>'Part VI-Pro Forma'!F111</f>
        <v>-37616.482565102866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461702.68979582924</v>
      </c>
      <c r="C821" s="2606">
        <f>'Part VI-Pro Forma'!C114</f>
        <v>470936.74359174568</v>
      </c>
      <c r="D821" s="2606">
        <f>'Part VI-Pro Forma'!D114</f>
        <v>480355.47846358077</v>
      </c>
      <c r="E821" s="2606">
        <f>'Part VI-Pro Forma'!E114</f>
        <v>489962.58803285239</v>
      </c>
      <c r="F821" s="2606">
        <f>'Part VI-Pro Forma'!F114</f>
        <v>499761.83979350945</v>
      </c>
      <c r="G821" s="2606"/>
      <c r="H821" s="2606"/>
      <c r="I821" s="2606"/>
      <c r="J821" s="2606"/>
      <c r="K821" s="2606"/>
    </row>
    <row r="822" spans="1:11">
      <c r="A822" s="357" t="s">
        <v>572</v>
      </c>
      <c r="B822" s="2606">
        <f>'Part VI-Pro Forma'!B115</f>
        <v>-372752.27043812477</v>
      </c>
      <c r="C822" s="2606">
        <f>'Part VI-Pro Forma'!C115</f>
        <v>-383934.83855126856</v>
      </c>
      <c r="D822" s="2606">
        <f>'Part VI-Pro Forma'!D115</f>
        <v>-395452.88370780653</v>
      </c>
      <c r="E822" s="2606">
        <f>'Part VI-Pro Forma'!E115</f>
        <v>-407316.47021904076</v>
      </c>
      <c r="F822" s="2606">
        <f>'Part VI-Pro Forma'!F115</f>
        <v>-419535.96432561189</v>
      </c>
      <c r="G822" s="2606"/>
      <c r="H822" s="2606"/>
      <c r="I822" s="2606"/>
      <c r="J822" s="2606"/>
      <c r="K822" s="2606"/>
    </row>
    <row r="823" spans="1:11">
      <c r="A823" s="357" t="s">
        <v>1050</v>
      </c>
      <c r="B823" s="2606">
        <f>'Part VI-Pro Forma'!B116</f>
        <v>-27702</v>
      </c>
      <c r="C823" s="2606">
        <f>'Part VI-Pro Forma'!C116</f>
        <v>-28256</v>
      </c>
      <c r="D823" s="2606">
        <f>'Part VI-Pro Forma'!D116</f>
        <v>-28821</v>
      </c>
      <c r="E823" s="2606">
        <f>'Part VI-Pro Forma'!E116</f>
        <v>-29398</v>
      </c>
      <c r="F823" s="2606">
        <f>'Part VI-Pro Forma'!F116</f>
        <v>-29986</v>
      </c>
      <c r="G823" s="2606"/>
      <c r="H823" s="2606"/>
      <c r="I823" s="2606"/>
      <c r="J823" s="2606"/>
      <c r="K823" s="2606"/>
    </row>
    <row r="824" spans="1:11">
      <c r="A824" s="357" t="s">
        <v>1128</v>
      </c>
      <c r="B824" s="2606">
        <f>'Part VI-Pro Forma'!B117</f>
        <v>-36530.300191404371</v>
      </c>
      <c r="C824" s="2606">
        <f>'Part VI-Pro Forma'!C117</f>
        <v>-37626.209197146505</v>
      </c>
      <c r="D824" s="2606">
        <f>'Part VI-Pro Forma'!D117</f>
        <v>-38754.995473060895</v>
      </c>
      <c r="E824" s="2606">
        <f>'Part VI-Pro Forma'!E117</f>
        <v>-39917.645337252725</v>
      </c>
      <c r="F824" s="2606">
        <f>'Part VI-Pro Forma'!F117</f>
        <v>-41115.174697370298</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24718.119166300094</v>
      </c>
      <c r="C826" s="2606">
        <f>SUM(C821:C825)</f>
        <v>21119.695843330606</v>
      </c>
      <c r="D826" s="2606">
        <f>SUM(D821:D825)</f>
        <v>17326.599282713352</v>
      </c>
      <c r="E826" s="2606">
        <f>SUM(E821:E825)</f>
        <v>13330.472476558913</v>
      </c>
      <c r="F826" s="2606">
        <f>SUM(F821:F825)</f>
        <v>9124.7007705272699</v>
      </c>
      <c r="G826" s="2606"/>
      <c r="H826" s="2606"/>
      <c r="I826" s="2606"/>
      <c r="J826" s="2606"/>
      <c r="K826" s="2606"/>
    </row>
    <row r="827" spans="1:11">
      <c r="A827" s="357" t="str">
        <f>$A797</f>
        <v>Mortgage A</v>
      </c>
      <c r="B827" s="2606">
        <f>'Part VI-Pro Forma'!B120</f>
        <v>-21829.469948534566</v>
      </c>
      <c r="C827" s="2606">
        <f>'Part VI-Pro Forma'!C120</f>
        <v>-21829.469948534566</v>
      </c>
      <c r="D827" s="2606">
        <f>'Part VI-Pro Forma'!D120</f>
        <v>-21829.469948534566</v>
      </c>
      <c r="E827" s="2606">
        <f>'Part VI-Pro Forma'!E120</f>
        <v>-21829.469948534566</v>
      </c>
      <c r="F827" s="2606">
        <f>'Part VI-Pro Forma'!F120</f>
        <v>-21829.469948534566</v>
      </c>
      <c r="G827" s="2606"/>
      <c r="H827" s="2606"/>
      <c r="I827" s="2606"/>
      <c r="J827" s="2606"/>
      <c r="K827" s="2606"/>
    </row>
    <row r="828" spans="1:11">
      <c r="A828" s="357" t="str">
        <f>$A798</f>
        <v>Mortgage B</v>
      </c>
      <c r="B828" s="2606">
        <f>'Part VI-Pro Forma'!B121</f>
        <v>-23634.013092405363</v>
      </c>
      <c r="C828" s="2606">
        <f>'Part VI-Pro Forma'!C121</f>
        <v>-23634.013092405363</v>
      </c>
      <c r="D828" s="2606">
        <f>'Part VI-Pro Forma'!D121</f>
        <v>-23634.013092405363</v>
      </c>
      <c r="E828" s="2606">
        <f>'Part VI-Pro Forma'!E121</f>
        <v>-23634.013092405363</v>
      </c>
      <c r="F828" s="2606">
        <f>'Part VI-Pro Forma'!F121</f>
        <v>-23634.013092405363</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-3000</v>
      </c>
      <c r="C832" s="2606">
        <f>'Part VI-Pro Forma'!C125</f>
        <v>-3000</v>
      </c>
      <c r="D832" s="2606">
        <f>'Part VI-Pro Forma'!D125</f>
        <v>-3000</v>
      </c>
      <c r="E832" s="2606">
        <f>'Part VI-Pro Forma'!E125</f>
        <v>-3000</v>
      </c>
      <c r="F832" s="2606">
        <f>'Part VI-Pro Forma'!F125</f>
        <v>-3000</v>
      </c>
      <c r="G832" s="2606"/>
      <c r="H832" s="2606"/>
      <c r="I832" s="2606"/>
      <c r="J832" s="2606"/>
      <c r="K832" s="2606"/>
    </row>
    <row r="833" spans="1:11">
      <c r="A833" s="357" t="s">
        <v>1096</v>
      </c>
      <c r="B833" s="2606">
        <f>SUM(B826:B832)</f>
        <v>-23745.363874639836</v>
      </c>
      <c r="C833" s="2606">
        <f>SUM(C826:C832)</f>
        <v>-27343.787197609323</v>
      </c>
      <c r="D833" s="2606">
        <f>SUM(D826:D832)</f>
        <v>-31136.883758226577</v>
      </c>
      <c r="E833" s="2606">
        <f>SUM(E826:E832)</f>
        <v>-35133.010564381017</v>
      </c>
      <c r="F833" s="2606">
        <f>SUM(F826:F832)</f>
        <v>-39338.782270412659</v>
      </c>
      <c r="G833" s="2606"/>
      <c r="H833" s="2606"/>
      <c r="I833" s="2606"/>
      <c r="J833" s="2606"/>
      <c r="K833" s="2606"/>
    </row>
    <row r="834" spans="1:11">
      <c r="A834" s="357" t="str">
        <f>$A804</f>
        <v>DCR Mortgage A</v>
      </c>
      <c r="B834" s="2607">
        <f>IF(B827=0,"",-B826/B827)</f>
        <v>1.1323279596149536</v>
      </c>
      <c r="C834" s="2607">
        <f>IF(C827=0,"",-C826/C827)</f>
        <v>0.96748550895292773</v>
      </c>
      <c r="D834" s="2607">
        <f>IF(D827=0,"",-D826/D827)</f>
        <v>0.79372514878110922</v>
      </c>
      <c r="E834" s="2607">
        <f>IF(E827=0,"",-E826/E827)</f>
        <v>0.61066404763775772</v>
      </c>
      <c r="F834" s="2607">
        <f>IF(F827=0,"",-F826/F827)</f>
        <v>0.41799919063723395</v>
      </c>
      <c r="G834" s="2606"/>
      <c r="H834" s="2606"/>
      <c r="I834" s="2606"/>
      <c r="J834" s="2606"/>
      <c r="K834" s="2606"/>
    </row>
    <row r="835" spans="1:11">
      <c r="A835" s="357" t="str">
        <f>$A805</f>
        <v>DCR Mortgage B</v>
      </c>
      <c r="B835" s="2607">
        <f>IF(B828=0,"",-(B826+B827)/B828)</f>
        <v>0.12222423701262043</v>
      </c>
      <c r="C835" s="2607">
        <f>IF(C828=0,"",-(C826+C827)/C828)</f>
        <v>-3.0031891005088823E-2</v>
      </c>
      <c r="D835" s="2607">
        <f>IF(D828=0,"",-(D826+D827)/D828)</f>
        <v>-0.19052501359865043</v>
      </c>
      <c r="E835" s="2607">
        <f>IF(E828=0,"",-(E826+E827)/E828)</f>
        <v>-0.3596087316506883</v>
      </c>
      <c r="F835" s="2607">
        <f>IF(F828=0,"",-(F826+F827)/F828)</f>
        <v>-0.53756292375457349</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0.54369171724131637</v>
      </c>
      <c r="C838" s="2607">
        <f>IF(AND(C827=0,C828=0,C829=0,C830=0),"",-C826/(C827+C828+C829+C830))</f>
        <v>0.46454196710604623</v>
      </c>
      <c r="D838" s="2607">
        <f>IF(AND(D827=0,D828=0,D829=0,D830=0),"",-D826/(D827+D828+D829+D830))</f>
        <v>0.38111024769287311</v>
      </c>
      <c r="E838" s="2607">
        <f>IF(AND(E827=0,E828=0,E829=0,E830=0),"",-E826/(E827+E828+E829+E830))</f>
        <v>0.29321274097179933</v>
      </c>
      <c r="F838" s="2607">
        <f>IF(AND(F827=0,F828=0,F829=0,F830=0),"",-F826/(F827+F828+F829+F830))</f>
        <v>0.20070395315533709</v>
      </c>
      <c r="G838" s="2606"/>
      <c r="H838" s="2606"/>
      <c r="I838" s="2606"/>
      <c r="J838" s="2606"/>
      <c r="K838" s="2606"/>
    </row>
    <row r="839" spans="1:11">
      <c r="A839" s="357" t="s">
        <v>718</v>
      </c>
      <c r="B839" s="2608">
        <f>IF(OR(B823="Choose mgt fee",B823="Choose One!"),"",(B816+B817+B818+B819+B820) / -(B822+B823+B824))</f>
        <v>1.0565651989283984</v>
      </c>
      <c r="C839" s="2608">
        <f>IF(OR(C823="Choose mgt fee",C823="Choose One!"),"",(C816+C817+C818+C819+C820) / -(C822+C823+C824))</f>
        <v>1.0469517461577911</v>
      </c>
      <c r="D839" s="2608">
        <f>IF(OR(D823="Choose mgt fee",D823="Choose One!"),"",(D816+D817+D818+D819+D820) / -(D822+D823+D824))</f>
        <v>1.0374201266093066</v>
      </c>
      <c r="E839" s="2608">
        <f>IF(OR(E823="Choose mgt fee",E823="Choose One!"),"",(E816+E817+E818+E819+E820) / -(E822+E823+E824))</f>
        <v>1.0279680534346716</v>
      </c>
      <c r="F839" s="2608">
        <f>IF(OR(F823="Choose mgt fee",F823="Choose One!"),"",(F816+F817+F818+F819+F820) / -(F822+F823+F824))</f>
        <v>1.0185976560777634</v>
      </c>
      <c r="G839" s="2606"/>
      <c r="H839" s="2606"/>
      <c r="I839" s="2606"/>
      <c r="J839" s="2606"/>
      <c r="K839" s="2606"/>
    </row>
    <row r="840" spans="1:11">
      <c r="A840" s="357" t="s">
        <v>2405</v>
      </c>
      <c r="B840" s="2606">
        <f>'Part VI-Pro Forma'!B133</f>
        <v>377596.19994403154</v>
      </c>
      <c r="C840" s="2606">
        <f>'Part VI-Pro Forma'!C133</f>
        <v>359459.71647073113</v>
      </c>
      <c r="D840" s="2606">
        <f>'Part VI-Pro Forma'!D133</f>
        <v>341141.03459382692</v>
      </c>
      <c r="E840" s="2606">
        <f>'Part VI-Pro Forma'!E133</f>
        <v>322638.32395528263</v>
      </c>
      <c r="F840" s="2606">
        <f>'Part VI-Pro Forma'!F133</f>
        <v>303949.73580935673</v>
      </c>
      <c r="G840" s="2606"/>
      <c r="H840" s="2606"/>
      <c r="I840" s="2606"/>
      <c r="J840" s="2606"/>
      <c r="K840" s="2606"/>
    </row>
    <row r="841" spans="1:11">
      <c r="A841" s="357" t="s">
        <v>2406</v>
      </c>
      <c r="B841" s="2606">
        <f>'Part VI-Pro Forma'!B134</f>
        <v>-24034.532140526335</v>
      </c>
      <c r="C841" s="2606">
        <f>'Part VI-Pro Forma'!C134</f>
        <v>-48963.63557649131</v>
      </c>
      <c r="D841" s="2606">
        <f>'Part VI-Pro Forma'!D134</f>
        <v>-74820.606475188513</v>
      </c>
      <c r="E841" s="2606">
        <f>'Part VI-Pro Forma'!E134</f>
        <v>-101639.98029556891</v>
      </c>
      <c r="F841" s="2606">
        <f>'Part VI-Pro Forma'!F134</f>
        <v>-129457.57791500026</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 xml:space="preserve">There are no debt service payment amounts that deviate from the amount shown in Permanent Sources on Tab II of the Core Application.  The debt service coverage is greater than 1.25 at year 15 as required by the QAP.  Also, the proforma reflects a Effective Gross Income to Total Annual Expenses of 1.15 at year 15 as required per the QAP.  </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Hillmont Apartments,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The applicant has submitted a proposed project which conforms to the guidelines in the 2023 GA DCA QAP.  All costs for the proposed redevelopment and construction have been carefully underwritten and reviewed by the experienced parties of the team.  Both the federal ($0.83) and state ($0.52) equity pricing terms and rates are competitive and have been provided by experienced syndicators/investment partners.  The projected approximate operating costs of approximately $3925 per unit have been reviewed and approved by the proposed management agent (Hallmark Management, Inc.).  Total Developer Fee and Deferred Developer Fee are within the 2023 GA DCA QAP limits.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14">
      <c r="A892" s="2860" t="str">
        <f>'Part VII-Threshold Criteria'!A41</f>
        <v xml:space="preserve">The tenancy selected withiin the Emphasys is Elderly.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270.75">
      <c r="A900" s="2860" t="str">
        <f>'Part VII-Threshold Criteria'!A49</f>
        <v>The applicant will include 4 services from the three categories as required for elderly projects per the 2023 DCA QAP.</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&amp; Associates</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0.997</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0</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The proposed rehabilitation has an effective capture rate of 0% as the subject is fully occupied by income qualified tenants.  The Strengths according to the market study are :
Preservation of Elderly Affordable Housing
Waiting list of 16
41 units of PBRA
Excellent Location
No Weaknesses</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8.5">
      <c r="A914" s="2871"/>
      <c r="B914" s="2106" t="s">
        <v>6780</v>
      </c>
      <c r="C914" s="2106"/>
      <c r="D914" s="2106"/>
      <c r="E914" s="2106"/>
      <c r="F914" s="2106"/>
      <c r="G914" s="2106"/>
      <c r="H914" s="2106"/>
      <c r="I914" s="2860"/>
      <c r="J914" s="2860" t="str">
        <f>'Part VII-Threshold Criteria'!J63</f>
        <v>Gill Group</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Martin H. Petersen is the Manager of the current owner of the property as well as the Manager of the purchaser of the property.  The appraised value of the security value of the property is $1,167,000 (total between the "as is" Market Value of $705,000 and the Value of the Interest Credit Subsidy from the Existing USDA RD Section 515 loan $462,000).  The real estate purchase contract matches the appraised value.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14.25">
      <c r="A934" s="2106"/>
      <c r="B934" s="2860" t="str">
        <f>'Part VII-Threshold Criteria'!B83</f>
        <v>None</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 Based on the findings presented in this report, Terracon found no obvious environmental concerns or risks associated with the property.</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Hallmark Hillmont,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 xml:space="preserve">The applicant has site control for the purchase price of $1,167,000, which matches the appraisal.  Site control is in place until 12-31-25.  A current deed of the owner along with the legal description is included within the application.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The existing Hillmont Apartments has direct access to Lakes Boulevard, a public road.  Please see the Site Access tab which reflects photographs from the entrance to Lakes Boulevard, orginal plans, and the Conceptual Site Development Plan verifying public road access.  </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256.5">
      <c r="A959" s="2860" t="str">
        <f>'Part VII-Threshold Criteria'!A108</f>
        <v xml:space="preserve">Per QAP, site zoning verification not required for rehabilitation projects where no new units are being constructed.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270.75">
      <c r="A968" s="2860" t="str">
        <f>'Part VII-Threshold Criteria'!A117</f>
        <v xml:space="preserve">Per QAP, operating utilities verification not required for rehabilitation projects where no new units are being constructed.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Lowndes County</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Lowndes County</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270.75">
      <c r="A977" s="2860" t="str">
        <f>'Part VII-Threshold Criteria'!A126</f>
        <v xml:space="preserve">Per QAP, public water/sewer verification not required for rehabilitation projects where no new units are being constructed.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171">
      <c r="A996" s="2860" t="str">
        <f>'Part VII-Threshold Criteria'!A145</f>
        <v xml:space="preserve">The proposed amenities are appropriately geared towards the elderly tenancy.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8.5">
      <c r="A1004" s="2871"/>
      <c r="B1004" s="2106" t="s">
        <v>1806</v>
      </c>
      <c r="C1004" s="2106"/>
      <c r="D1004" s="2106"/>
      <c r="E1004" s="2106"/>
      <c r="F1004" s="2106"/>
      <c r="G1004" s="2106"/>
      <c r="H1004" s="2860" t="str">
        <f>'Part VII-Threshold Criteria'!H153</f>
        <v>Gill Group</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 xml:space="preserve">The applicant is proposing the renovation of all 43 units and all accessory structures as detailed in the rehab scope of work form.  A waiver was obtained at pre-application for the closets, bathrooms, and minimum unit sizes.  The accessibility work sheet is provided by the PNA provider.  All items required to be completed with the form are included in the costs of the Work Scope Form.  Please see the PNA, Work Scope Form, and other required documentation in the Rehabilitation Standards Tab 14 of the application.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The site plan produced by Studio 8 Design outlines all required information in accordance to the 2023 GA DCA QAP.  Please also see maps, site pictures, and aerial photos, which are contained in Tab 15 of the application.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Renovation</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 xml:space="preserve">The applicant agrees to the Sustainability Standards required by DCA.  The applicant will be certified EarthCraft Multifamily Renovation upon completion of the project.  Please see the draft scoring sheet for Hillmont Apartments in Tab 16.  </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 xml:space="preserve">The applicant agrees to comply with all accessibility standards and engage a third party (non-related) DCA qualified consultant, Zeffert &amp; Associates, to monitor accessibility requirements and compliance.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applicant received a waiver which is in the application.  Also, the applicant agrees to provide high speed internet access to the community room for the entirety of the compliance and extended use period.</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Principal</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 xml:space="preserve">Martin H. Petersen and Hallmark Development Services, LLC is determined "Qualified" as the Certifying Principal and Developer.  The DCA Determination is included within the application in Tab 19.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Disagree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09.5">
      <c r="A1079" s="2860" t="str">
        <f>'Part VII-Threshold Criteria'!A228</f>
        <v xml:space="preserve">1)	Hillmont Apartments is assisted with a USDA RD 515 Loan.  
2)	Hillmont Apartments has project based rental assistance in at least one unit per building, and 50% of the overall revenue units.
3)	Meets the definition of Preservation within the QAP as the proposed Hillmont renovation is a substantial rehabilitation of existing housing units.  
4)	The applicant also certifies that the seller will not receive any operating, maintenance, or the reserve funds as a result of or concurrent with the sale of the asset.  
All required Documentation is within tab 20 of the application.  </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2.75">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t="str">
        <f>'Part VII-Threshold Criteria'!D254</f>
        <v>NA</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285">
      <c r="A1107" s="2860" t="str">
        <f>'Part VII-Threshold Criteria'!A256</f>
        <v xml:space="preserve">Hillmont Apartments is eligible for Acquistion Credits.  Please see the Tax Credit Opinion from Coleman Talley as verification in Tab 22.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23 of the application.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The applicant and proposed management agent (Hallmark Management, Inc.) agree to submit an (AFFH) Plan as outlined in the selections above.  This plan will ensure the required Affrimatively Furthering Fair Housing procedures are enacted and carried out on the project.</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applicant strongly believes utilizing the LIHTC program to acquire, rehabilitate and preserve affordable housing at this over 30 year old property is the best use of DCA resources.  The applicant agrees to all the applicable guidelines for optimal utilization of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Hillmont Apartments,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43</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71.25">
      <c r="A1164" s="2913" t="s">
        <v>1668</v>
      </c>
      <c r="B1164" s="2403" t="s">
        <v>3393</v>
      </c>
      <c r="C1164" s="2406"/>
      <c r="D1164" s="2406"/>
      <c r="E1164" s="2914">
        <f>'Part VIII Scoring Criteria'!E13</f>
        <v>0</v>
      </c>
      <c r="F1164" s="2913" t="str">
        <f>'Part VIII Scoring Criteria'!F13</f>
        <v>Preservation Not Applicable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71.25">
      <c r="A1165" s="2913" t="s">
        <v>496</v>
      </c>
      <c r="B1165" s="2403" t="s">
        <v>4037</v>
      </c>
      <c r="C1165" s="2406"/>
      <c r="D1165" s="2406"/>
      <c r="E1165" s="2916">
        <f>'Part VIII Scoring Criteria'!E14</f>
        <v>0</v>
      </c>
      <c r="F1165" s="2913" t="str">
        <f>'Part VIII Scoring Criteria'!F14</f>
        <v>Preservation Not Applicable</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71.25">
      <c r="A1166" s="2913" t="s">
        <v>720</v>
      </c>
      <c r="B1166" s="2403" t="s">
        <v>3338</v>
      </c>
      <c r="C1166" s="2406"/>
      <c r="D1166" s="2406"/>
      <c r="E1166" s="2916">
        <f>'Part VIII Scoring Criteria'!E15</f>
        <v>0</v>
      </c>
      <c r="F1166" s="2913" t="str">
        <f>'Part VIII Scoring Criteria'!F15</f>
        <v>Preservation Not Applicable</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3394</v>
      </c>
      <c r="C1167" s="2406"/>
      <c r="D1167" s="2406"/>
      <c r="E1167" s="2916">
        <f>'Part VIII Scoring Criteria'!E16</f>
        <v>0</v>
      </c>
      <c r="F1167" s="2913" t="str">
        <f>'Part VIII Scoring Criteria'!F16</f>
        <v>Preservation Not Applicable</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3395</v>
      </c>
      <c r="C1168" s="2406"/>
      <c r="D1168" s="2406"/>
      <c r="E1168" s="2914" t="str">
        <f>'Part VIII Scoring Criteria'!E17</f>
        <v>n/a</v>
      </c>
      <c r="F1168" s="2913" t="str">
        <f>'Part VIII Scoring Criteria'!F17</f>
        <v>Preservation 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Preservation Not Applicable</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4040</v>
      </c>
      <c r="B1170" s="2403" t="s">
        <v>3261</v>
      </c>
      <c r="C1170" s="2406"/>
      <c r="D1170" s="2406"/>
      <c r="E1170" s="2914">
        <f>'Part VIII Scoring Criteria'!E19</f>
        <v>0</v>
      </c>
      <c r="F1170" s="2913" t="str">
        <f>'Part VIII Scoring Criteria'!F19</f>
        <v>Preservation 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4052</v>
      </c>
      <c r="B1171" s="2403" t="s">
        <v>4041</v>
      </c>
      <c r="C1171" s="2406"/>
      <c r="D1171" s="2406"/>
      <c r="E1171" s="2914">
        <f>'Part VIII Scoring Criteria'!E20</f>
        <v>0</v>
      </c>
      <c r="F1171" s="2913" t="str">
        <f>'Part VIII Scoring Criteria'!F20</f>
        <v>Preservation 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71.25">
      <c r="A1172" s="2913" t="s">
        <v>6242</v>
      </c>
      <c r="B1172" s="2403" t="s">
        <v>4042</v>
      </c>
      <c r="C1172" s="2406"/>
      <c r="D1172" s="2406"/>
      <c r="E1172" s="2914">
        <f>'Part VIII Scoring Criteria'!E21</f>
        <v>0</v>
      </c>
      <c r="F1172" s="2913" t="str">
        <f>'Part VIII Scoring Criteria'!F21</f>
        <v>Preservation Not Applicable</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71.25">
      <c r="A1173" s="2913" t="s">
        <v>6636</v>
      </c>
      <c r="B1173" s="2403" t="s">
        <v>6548</v>
      </c>
      <c r="C1173" s="2406"/>
      <c r="D1173" s="2406"/>
      <c r="E1173" s="2914">
        <f>'Part VIII Scoring Criteria'!E22</f>
        <v>0</v>
      </c>
      <c r="F1173" s="2913" t="str">
        <f>'Part VIII Scoring Criteria'!F22</f>
        <v>Preservation 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 xml:space="preserve">Applicant commits to accept resident services coordination from an entity certified as a "3rd Party Resident Services Coordination Contractor" by CORES or other DCA approved program.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2.75">
      <c r="A1176" s="2913" t="s">
        <v>3372</v>
      </c>
      <c r="B1176" s="2403" t="s">
        <v>3396</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1</v>
      </c>
      <c r="F1177" s="2913" t="str">
        <f>'Part VIII Scoring Criteria'!F26</f>
        <v xml:space="preserve">Hillmont Apartments qualifies for 1 point under favorable financing. The Housing Assistance Council has committed $430,000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2.75">
      <c r="A1178" s="2913" t="s">
        <v>3376</v>
      </c>
      <c r="B1178" s="2403" t="s">
        <v>3398</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 xml:space="preserve">No additional comments.  </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6</v>
      </c>
      <c r="F1180" s="2913" t="str">
        <f>'Part VIII Scoring Criteria'!F29</f>
        <v xml:space="preserve">Occupancy has been greater than 95% for 24 months therefore the property qualfies for 6 points.  Please see the rent rolls as well as occupancy table included with the application for verification.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6.75">
      <c r="A1181" s="2913" t="s">
        <v>3802</v>
      </c>
      <c r="B1181" s="2403" t="s">
        <v>6552</v>
      </c>
      <c r="C1181" s="2406"/>
      <c r="D1181" s="2406"/>
      <c r="E1181" s="2914">
        <f>'Part VIII Scoring Criteria'!E30</f>
        <v>2</v>
      </c>
      <c r="F1181" s="2913" t="str">
        <f>'Part VIII Scoring Criteria'!F30</f>
        <v xml:space="preserve">Hillmont Apartments has Rental Assistance Agreement and USDA RD for 41 units.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4</v>
      </c>
      <c r="F1182" s="2913" t="str">
        <f>'Part VIII Scoring Criteria'!F31</f>
        <v xml:space="preserve">The property was built in 1989.  Please see documentation confirming year built within tha application.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3178</v>
      </c>
      <c r="G1201" s="2463" t="s">
        <v>7015</v>
      </c>
      <c r="H1201" s="2463"/>
      <c r="I1201" s="2463"/>
      <c r="J1201" s="2312" t="s">
        <v>3178</v>
      </c>
      <c r="K1201" s="2923" t="s">
        <v>7016</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57.674418604651166</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0.95348837209302328</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71.25">
      <c r="A1232" s="2406" t="str">
        <f>'Part VIII Scoring Criteria'!A81</f>
        <v>Preservation Not Applicable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71.25">
      <c r="A1253" s="2406" t="str">
        <f>'Part VIII Scoring Criteria'!A102</f>
        <v>Preservation Not Applicable</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71.25">
      <c r="A1268" s="2406" t="str">
        <f>'Part VIII Scoring Criteria'!A117</f>
        <v>Preservation Not Applicable</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Preservation Not Applicable</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Preservation 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Preservation Not Applicable</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Preservation 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Preservation 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71.25">
      <c r="A1356" s="2406" t="str">
        <f>'Part VIII Scoring Criteria'!A205</f>
        <v>Preservation Not Applicable</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71.25">
      <c r="A1379" s="2406" t="str">
        <f>'Part VIII Scoring Criteria'!A228</f>
        <v>Preservation 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N/a</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t="str">
        <f>'Part VIII Scoring Criteria'!I254</f>
        <v>NA</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 xml:space="preserve">Applicant commits to accept resident services coordination from an entity certified as a "3rd Party Resident Services Coordination Contractor" by CORES or other DCA approved program.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2.75">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430000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430000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43</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10000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1</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Hillmont Apartments qualifies for 1 point under favorable financing. The Housing Assistance Council has committed $430,000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2.75">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71.25">
      <c r="A1491" s="2406" t="str">
        <f>'Part VIII Scoring Criteria'!A340</f>
        <v xml:space="preserve">No additional comments.  </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84.75">
      <c r="A1498" s="2406" t="str">
        <f>'Part VIII Scoring Criteria'!A347</f>
        <v xml:space="preserve">Occupancy has been greater than 95% for 24 months therefore the property qualfies for 6 points.  Please see the rent rolls as well as occupancy table included with the application for verification.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2</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6.75">
      <c r="A1511" s="2406" t="str">
        <f>'Part VIII Scoring Criteria'!A360</f>
        <v xml:space="preserve">Hillmont Apartments has Rental Assistance Agreement and USDA RD for 41 units.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4</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228">
      <c r="A1520" s="2406" t="str">
        <f>'Part VIII Scoring Criteria'!A369</f>
        <v xml:space="preserve">The property was built in 1989.  Please see documentation confirming year built within tha application.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6222</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2.75">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Hillmont Apartments is an existing multifamily development located in Lake Park, GA.  Originally constructed in 1989, the 43-unit apartment development has supplied housing opportunities to many low- and very low-income families in the community.  The elderly development has provided USDA RD rental assistance to 100% of the revenue (42) units throughout its life. The mostly-brick garden apartment buildings, and leasing office are spread over a site that also includes a gazebo, ample parking, and large green spaces.  
The development is very well situated between the predominantly residential west side of Lake Park and Interstate 75 just a half-mile to the east. Also located within a mile of the development and most of the retail shopping and service businesses in Lake Park. Hillmont Apartments is not only well situated for the elderly, particularly those who might commute to a job, needing quick access to I-75, but also one of very few housing options for those that are considered low-income. As such, this development represents a crucial housing opportunity for working families in Lake Park who need it most.
Preventing the loss of government housing.
Hillmont is both historically and presently at minimum 97% occupied. The recent market analysis of the development included in this application shows an effective capture rate of 0%, the development being able to maintain 100% of its renters. Also, an impressive market occupancy rate of 99.7% a very strong need for housing of low-income residents in the community. The demand is also evidenced by a very low vacancy rate among comparable properties in the market. Despite the current demand for lack of available housing in the Lake Park, Lowndes County, market, the availability of USDA rental assistance on this property ensures a continued desire among low-income families. However, in order to ensure the longevity of that asset, the property must be maintained to certain standards of living and accessibility. Renovation of Hillmont Apartments is necessary and overdue as the property is nearly 35 years old and has never had a major renovation.    
Extent of Physical Distress.
The Physical Needs Assessment included in this application indicates the property needs a minimum rehabilitation totaling about $3.35MM in short-term needs, which is merely to make repairs and replacements as systems surpass their useful life. That figure includes the costs of the major capital improvements that would address accessibility, energy-efficiency, safety and other needed improvements for the property to be able to continue to provide decent, safe and affordable housing. The total hard cost of the renovation proposed in this application is estimated to be over $3.45MM and will extend the life of Hillmont for another 30+ years.   The Physical Needs Assessment meets the following QAP requirement for rehabilitation projects and shows a minimum of $68k per interior dwelling unit in hard construction costs.
The proposed rehabilitation will allow the continued housing of low- and very low-income residents at Hillmont Apartments for many years to come. The rehab will meet the design standards set by DCA, other accessibility requirements, all needs identified in the PNA as being short-term (within one year) and as being necessary within the next 10 years, and the applicable local, state and federal requirements including, but not limited to, new windows and doors, siding and associated components, roofs, added attic insulation, new Energy Star HVAC systems and water-heaters, new gutters and downspouts, replacement with Energy Star windows and appliances, new flooring, new cabinets, replacement of plumbing and water heating systems, and new electrical breakers, devices and fixtures.  Proposed site improvements like a computer center and activities center, landscaping, gazebo, and accessible dumpster pad will offer not only a safer living environment, but also more enjoyment, accessibility, and independence for the development’s residents. More detailed information on the scope of the rehab can be found in the Physical Needs Assessment and Georgia DCA Rehab Work Scope to this LIHTC application.  
Supporting Economic Empowerment.
The value of the housing that Hillmont Apartments is offering to the community is as equally important as the housing assistance rent payments that it provides.  The loss of the housing and the project-based rental subsidies would be extremely detrimental to the Lake Park community, especially the residents of Hillmont. With the lack of other affordable elderly housing opportunities in the market, the development provides a critical economic opportunity for those low-income residents who qualify to live there to not be so overburdened by their housing costs, that they cannot afford food, healthcare, transportation and other resources necessary to upward mobility. Again, the ability of the development to assist with the housing payments of very low-income tenants increases even more the ability of those residents to succeed economically. 
We are very excited about this proposed redevelopment and are pleased to have received resident support for the preservation of Hillmont Apartments. An allocation of LIHTC’s will allow the continued provision of much-needed affordable housing for seniors in Lake Park. As such, we look forward to working with DCA, the U.S. Department of Agriculture’s Rural Development staff, and the Town of Lake Park to continue to ensure that the residents of Hillmont Apartments have safe, affordable, and quality housing appropriate to their needs.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14">
      <c r="A1551" s="2406" t="str">
        <f>'Part VIII Scoring Criteria'!A400</f>
        <v xml:space="preserve">Please see memo in Tab 51 for further documentation.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 xml:space="preserve">On April 10, 2023, Hallmark Hillcrest, LLC (Hillcrest Apartments, 1503 John Collins Road NE, Pelham, Georgia) received an 8823 Report of Noncompliance of Building Disposition.  Martin H. Petersen is the manager of Hallmark Hillcrest, LLC, and the Manager of the applicant Hallmark Charlton Court, LP.  The Project Team and certifying entities (Martin H. Petersen and Hallmark Development Services, LLC) for the Charlton Court application were determined to be Qualified on April 25, 2023.  The applicant did not request a waiver at pre-application for the 8823 Noncompliance, as the notice was received after pre-applications were submitted for the 2023 round.  
The applicant was determined qualified at application and requested any point deductions due to this short-term 8823 to be added back as Martin H. Petersen and Hallmark Development Services, LLC, the Qualified Certifying entities, have a combined 48 total Successful Georgia Affordable Development owned by the project team as reflected in the pre-application submission.  
The applicant has included the following within the Compliance Performance Tab:
•	Listing of only the Georgia Properties for the entire development team, as included in the Compliance History Summary Section of the Performance Workbook
•	A listing of Successful Georgia Affordable Developments owned by the Project Team
Background on the Hillcrest Apartments 8823
In July 2022, a resident at Hillcrest Apartments fell asleep while cooking, causing fire damage to an entire unit.  There was a delay in the repairs due to receiving the engineering and architectural plans.  The permit for the reconstruction of the unit was obtained on March 20, 2023.  All repairs are estimated to be complete by June 30, 2023, and the 8823 will be closed out in July 2023 before application awards.  Please see the attached Weekly Reports for the reconstruction of the unit.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6545</v>
      </c>
      <c r="BD1570" s="3006" t="s">
        <v>6546</v>
      </c>
      <c r="BE1570" s="3006" t="s">
        <v>6547</v>
      </c>
      <c r="BF1570" s="3006">
        <v>0.09</v>
      </c>
      <c r="BG1570" s="3006">
        <v>0.04</v>
      </c>
      <c r="BH1570" s="3006">
        <v>0.04</v>
      </c>
      <c r="BI1570" s="3006" t="s">
        <v>6929</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6947</v>
      </c>
      <c r="AQ1581" s="2312" t="str">
        <f>'Part VIII Scoring Criteria'!AQ430</f>
        <v>Yes</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2</v>
      </c>
      <c r="BB1596" s="3007">
        <f>O1509</f>
        <v>2</v>
      </c>
      <c r="BC1596" s="3007">
        <f>O1509</f>
        <v>2</v>
      </c>
      <c r="BD1596" s="3007">
        <f>O1509</f>
        <v>2</v>
      </c>
      <c r="BE1596" s="3007">
        <f>O1509</f>
        <v>2</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31</v>
      </c>
      <c r="AZ1600" s="2542">
        <f>'Part VIII Scoring Criteria'!AZ449</f>
        <v>29</v>
      </c>
      <c r="BA1600" s="2542">
        <f>'Part VIII Scoring Criteria'!BA449</f>
        <v>41</v>
      </c>
      <c r="BB1600" s="2542">
        <f>'Part VIII Scoring Criteria'!BB449</f>
        <v>41</v>
      </c>
      <c r="BC1600" s="2542">
        <f>'Part VIII Scoring Criteria'!BC449</f>
        <v>43</v>
      </c>
      <c r="BD1600" s="2542">
        <f>'Part VIII Scoring Criteria'!BD449</f>
        <v>43</v>
      </c>
      <c r="BE1600" s="2542">
        <f>'Part VIII Scoring Criteria'!BE449</f>
        <v>43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0" zoomScaleNormal="100" workbookViewId="0">
      <selection activeCell="L60" sqref="L6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Hillmont Apartments, Lake Park, Lowndes County</v>
      </c>
      <c r="B2" s="3103"/>
      <c r="C2" s="3103"/>
      <c r="D2" s="3103"/>
      <c r="E2" s="3103"/>
      <c r="F2" s="3103"/>
      <c r="G2" s="3103"/>
      <c r="H2" s="3103"/>
      <c r="I2" s="3103"/>
      <c r="J2" s="3103"/>
      <c r="K2" s="3103"/>
      <c r="L2" s="3103"/>
      <c r="M2" s="3103"/>
      <c r="N2" s="3103"/>
      <c r="O2" s="3103"/>
      <c r="P2" s="3103"/>
      <c r="Q2" s="3104"/>
      <c r="S2" s="3195" t="str">
        <f>$A$2</f>
        <v>PART TWO - SOURCES OF FUNDS (Proposed)  -  2023-0 Hillmont Apartments, Lake Park, Lowndes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2649</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2649</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2649</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7110</v>
      </c>
      <c r="I22" s="3228"/>
      <c r="J22" s="3228"/>
      <c r="K22" s="3229"/>
      <c r="L22" s="3230">
        <v>858647</v>
      </c>
      <c r="M22" s="3231"/>
      <c r="N22" s="3232">
        <v>0.01</v>
      </c>
      <c r="O22" s="3233"/>
      <c r="P22" s="3234">
        <v>360</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t="s">
        <v>7053</v>
      </c>
      <c r="I23" s="3239"/>
      <c r="J23" s="3239"/>
      <c r="K23" s="3240"/>
      <c r="L23" s="3241">
        <v>430000</v>
      </c>
      <c r="M23" s="3242"/>
      <c r="N23" s="3250">
        <v>3.6600000000000001E-2</v>
      </c>
      <c r="O23" s="3251"/>
      <c r="P23" s="3252">
        <v>18</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t="s">
        <v>7053</v>
      </c>
      <c r="I24" s="3187"/>
      <c r="J24" s="3187"/>
      <c r="K24" s="3188"/>
      <c r="L24" s="3189">
        <v>2888000</v>
      </c>
      <c r="M24" s="3190"/>
      <c r="N24" s="3191">
        <v>7.7499999999999999E-2</v>
      </c>
      <c r="O24" s="3192"/>
      <c r="P24" s="3193">
        <v>18</v>
      </c>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t="s">
        <v>7041</v>
      </c>
      <c r="I27" s="3239"/>
      <c r="J27" s="3239"/>
      <c r="K27" s="3240"/>
      <c r="L27" s="3241">
        <v>300000</v>
      </c>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7108</v>
      </c>
      <c r="I28" s="3239"/>
      <c r="J28" s="3239"/>
      <c r="K28" s="3240"/>
      <c r="L28" s="3241">
        <v>2054042</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7108</v>
      </c>
      <c r="I29" s="3239"/>
      <c r="J29" s="3239"/>
      <c r="K29" s="3240"/>
      <c r="L29" s="3241">
        <v>1320540</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7851229</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7028425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822804</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7110</v>
      </c>
      <c r="F40" s="3228"/>
      <c r="G40" s="3228"/>
      <c r="H40" s="3229"/>
      <c r="I40" s="3287">
        <v>858647</v>
      </c>
      <c r="J40" s="3288"/>
      <c r="K40" s="654">
        <v>0.01</v>
      </c>
      <c r="L40" s="822">
        <v>30</v>
      </c>
      <c r="M40" s="822">
        <v>50</v>
      </c>
      <c r="N40" s="3272" t="s">
        <v>7054</v>
      </c>
      <c r="O40" s="3272"/>
      <c r="P40" s="3286">
        <f>IF(OR(I40&lt;=0,I40=""),"",IF(N40="Cash Flow",0,IF(N40="Amortizing",-PMT(K40/12,M40*12,I40,0,0)*12,"")))</f>
        <v>21829.469948534566</v>
      </c>
      <c r="Q40" s="3286"/>
      <c r="S40" s="3197"/>
      <c r="T40" s="3198"/>
      <c r="Y40" s="1742" t="s">
        <v>6351</v>
      </c>
      <c r="Z40" s="1706">
        <v>40</v>
      </c>
      <c r="AZ40" s="1676" t="s">
        <v>6352</v>
      </c>
    </row>
    <row r="41" spans="1:52" s="223" customFormat="1" ht="15" customHeight="1">
      <c r="A41" s="144"/>
      <c r="B41" s="3236" t="s">
        <v>2403</v>
      </c>
      <c r="C41" s="3237"/>
      <c r="D41" s="3237"/>
      <c r="E41" s="3238" t="s">
        <v>7102</v>
      </c>
      <c r="F41" s="3239"/>
      <c r="G41" s="3239"/>
      <c r="H41" s="3240"/>
      <c r="I41" s="3269">
        <v>430000</v>
      </c>
      <c r="J41" s="3270"/>
      <c r="K41" s="655">
        <v>3.6600000000000001E-2</v>
      </c>
      <c r="L41" s="823">
        <v>10</v>
      </c>
      <c r="M41" s="823">
        <v>30</v>
      </c>
      <c r="N41" s="3268" t="s">
        <v>7054</v>
      </c>
      <c r="O41" s="3268"/>
      <c r="P41" s="3271">
        <f>IF(OR(I41&lt;=0,I41=""),"",IF(N41="Cash Flow",0,IF(N41="Amortizing",-PMT(K41/12,M41*12,I41,0,0)*12,"")))</f>
        <v>23634.013092405363</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5.5793939393939396E-2</v>
      </c>
      <c r="E45" s="3186" t="s">
        <v>7041</v>
      </c>
      <c r="F45" s="3187"/>
      <c r="G45" s="3187"/>
      <c r="H45" s="3188"/>
      <c r="I45" s="3273">
        <v>64442</v>
      </c>
      <c r="J45" s="3274"/>
      <c r="K45" s="653">
        <v>0</v>
      </c>
      <c r="L45" s="652">
        <v>5</v>
      </c>
      <c r="M45" s="652">
        <v>5</v>
      </c>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109344.81547390464</v>
      </c>
      <c r="G47" s="3285"/>
      <c r="H47" s="485" t="s">
        <v>3404</v>
      </c>
      <c r="I47" s="3284">
        <f>IF(OR($I$45="",$I$45=0,'Part VI-Pro Forma'!$R$35=0,'Part VI-Pro Forma'!$R$35=""),"",VLOOKUP($L$45,'Part VI-Pro Forma'!$Q$21:$S$35,2))</f>
        <v>64442</v>
      </c>
      <c r="J47" s="3285"/>
      <c r="K47" s="485" t="s">
        <v>3406</v>
      </c>
      <c r="L47" s="3282">
        <f>IF(OR($F$47 = 0,$F$47 =""),"",$I$47/$F$47)</f>
        <v>0.58934664364932066</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7108</v>
      </c>
      <c r="F51" s="3239"/>
      <c r="G51" s="3239"/>
      <c r="H51" s="3240"/>
      <c r="I51" s="3269">
        <v>4108085</v>
      </c>
      <c r="J51" s="3269"/>
      <c r="L51" s="3280">
        <f>'Part III-A-Uses of Funds'!$J$191*10*'Part III-A-Uses of Funds'!$N$182</f>
        <v>4150000</v>
      </c>
      <c r="M51" s="3280"/>
      <c r="N51" s="3281">
        <f>I51-L51</f>
        <v>-41915</v>
      </c>
      <c r="O51" s="3281"/>
      <c r="P51" s="324">
        <f>I51/I61</f>
        <v>0.50702989563151191</v>
      </c>
      <c r="Q51" s="144"/>
      <c r="S51" s="3199"/>
      <c r="T51" s="3200"/>
      <c r="Y51" s="1742" t="s">
        <v>6359</v>
      </c>
      <c r="Z51" s="1706">
        <v>51</v>
      </c>
      <c r="AZ51" s="1676" t="s">
        <v>6360</v>
      </c>
    </row>
    <row r="52" spans="1:52" s="223" customFormat="1" ht="15" customHeight="1">
      <c r="A52" s="144"/>
      <c r="B52" s="3236" t="s">
        <v>747</v>
      </c>
      <c r="C52" s="3237"/>
      <c r="D52" s="3277"/>
      <c r="E52" s="3238" t="s">
        <v>7108</v>
      </c>
      <c r="F52" s="3239"/>
      <c r="G52" s="3239"/>
      <c r="H52" s="3240"/>
      <c r="I52" s="3269">
        <v>2641080</v>
      </c>
      <c r="J52" s="3269"/>
      <c r="L52" s="3280">
        <f>'Part III-A-Uses of Funds'!$J$191*10*'Part III-A-Uses of Funds'!$Q$182</f>
        <v>2600000</v>
      </c>
      <c r="M52" s="3280"/>
      <c r="N52" s="3281">
        <f>I52-L52</f>
        <v>41080</v>
      </c>
      <c r="O52" s="3281"/>
      <c r="P52" s="324">
        <f>I52/I61</f>
        <v>0.32596855146728304</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0.832998447098795</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8102254</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8102254</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7111</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1" zoomScaleNormal="100" workbookViewId="0">
      <selection activeCell="M79" sqref="M79:N7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Hillmont Apartments, Lake Park, Lowndes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Hillmont Apartments, Lake Park, Lowndes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7500</v>
      </c>
      <c r="H9" s="3231"/>
      <c r="J9" s="3230"/>
      <c r="K9" s="3231"/>
      <c r="L9" s="828"/>
      <c r="M9" s="3230"/>
      <c r="N9" s="3231"/>
      <c r="P9" s="3230">
        <v>7500</v>
      </c>
      <c r="Q9" s="3231"/>
      <c r="S9" s="3230"/>
      <c r="T9" s="3231"/>
      <c r="V9" s="849"/>
      <c r="W9" s="3342"/>
      <c r="X9" s="3343"/>
      <c r="AZ9" s="1968"/>
      <c r="BA9" s="1706">
        <v>9</v>
      </c>
    </row>
    <row r="10" spans="1:53" s="144" customFormat="1" ht="11.25" customHeight="1">
      <c r="B10" s="144" t="s">
        <v>431</v>
      </c>
      <c r="G10" s="3241">
        <v>5500</v>
      </c>
      <c r="H10" s="3242"/>
      <c r="J10" s="3241"/>
      <c r="K10" s="3242"/>
      <c r="L10" s="828"/>
      <c r="M10" s="3241"/>
      <c r="N10" s="3242"/>
      <c r="P10" s="3241">
        <v>5500</v>
      </c>
      <c r="Q10" s="3242"/>
      <c r="S10" s="3241"/>
      <c r="T10" s="3242"/>
      <c r="V10" s="849"/>
      <c r="W10" s="3342"/>
      <c r="X10" s="3343"/>
      <c r="AZ10" s="1968"/>
      <c r="BA10" s="1706">
        <v>10</v>
      </c>
    </row>
    <row r="11" spans="1:53" s="144" customFormat="1" ht="11.25" customHeight="1">
      <c r="B11" s="144" t="s">
        <v>458</v>
      </c>
      <c r="G11" s="3241">
        <v>10000</v>
      </c>
      <c r="H11" s="3242"/>
      <c r="J11" s="3241"/>
      <c r="K11" s="3242"/>
      <c r="L11" s="828"/>
      <c r="M11" s="3241"/>
      <c r="N11" s="3242"/>
      <c r="P11" s="3241">
        <v>10000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v>22150</v>
      </c>
      <c r="H13" s="3242"/>
      <c r="J13" s="3241"/>
      <c r="K13" s="3242"/>
      <c r="L13" s="828"/>
      <c r="M13" s="3241"/>
      <c r="N13" s="3242"/>
      <c r="P13" s="3241">
        <v>22150</v>
      </c>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6721</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45150</v>
      </c>
      <c r="H18" s="3339"/>
      <c r="J18" s="3338">
        <f>SUM(J9:J17)</f>
        <v>0</v>
      </c>
      <c r="K18" s="3339"/>
      <c r="L18" s="828"/>
      <c r="M18" s="3338">
        <f>SUM(M9:M17)</f>
        <v>0</v>
      </c>
      <c r="N18" s="3339"/>
      <c r="P18" s="3338">
        <f>SUM(P9:P17)</f>
        <v>45150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45714.285714285717</v>
      </c>
      <c r="G20" s="3230">
        <v>160000</v>
      </c>
      <c r="H20" s="3231"/>
      <c r="J20" s="283"/>
      <c r="K20" s="280"/>
      <c r="L20" s="283"/>
      <c r="M20" s="283"/>
      <c r="N20" s="280"/>
      <c r="P20" s="283"/>
      <c r="Q20" s="280"/>
      <c r="S20" s="3230">
        <v>160000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v>5000</v>
      </c>
      <c r="H22" s="3242"/>
      <c r="J22" s="283"/>
      <c r="K22" s="280"/>
      <c r="L22" s="283"/>
      <c r="M22" s="3230">
        <v>5000</v>
      </c>
      <c r="N22" s="3231"/>
      <c r="P22" s="283"/>
      <c r="Q22" s="280"/>
      <c r="S22" s="3241"/>
      <c r="T22" s="3242"/>
      <c r="V22" s="849"/>
      <c r="W22" s="3342"/>
      <c r="X22" s="3343"/>
      <c r="AZ22" s="1968"/>
      <c r="BA22" s="1706">
        <v>22</v>
      </c>
    </row>
    <row r="23" spans="1:53" s="144" customFormat="1" ht="11.25" customHeight="1" thickBot="1">
      <c r="B23" s="144" t="s">
        <v>405</v>
      </c>
      <c r="G23" s="3340">
        <v>1007000</v>
      </c>
      <c r="H23" s="3341"/>
      <c r="J23" s="283"/>
      <c r="K23" s="280"/>
      <c r="L23" s="283"/>
      <c r="M23" s="3340">
        <v>1007000</v>
      </c>
      <c r="N23" s="3341"/>
      <c r="P23" s="283"/>
      <c r="Q23" s="280"/>
      <c r="S23" s="3340"/>
      <c r="T23" s="3341"/>
      <c r="V23" s="849"/>
      <c r="W23" s="3349"/>
      <c r="X23" s="3350"/>
      <c r="AZ23" s="1968"/>
      <c r="BA23" s="1706">
        <v>23</v>
      </c>
    </row>
    <row r="24" spans="1:53" s="144" customFormat="1" ht="12.6" customHeight="1" thickTop="1">
      <c r="F24" s="281" t="s">
        <v>184</v>
      </c>
      <c r="G24" s="3338">
        <f>SUM(G20:G23)</f>
        <v>1172000</v>
      </c>
      <c r="H24" s="3339"/>
      <c r="J24" s="283"/>
      <c r="K24" s="280"/>
      <c r="L24" s="283"/>
      <c r="M24" s="3338">
        <f>SUM(M22:M23)</f>
        <v>1012000</v>
      </c>
      <c r="N24" s="3339"/>
      <c r="P24" s="283"/>
      <c r="Q24" s="280"/>
      <c r="S24" s="3338">
        <f>SUM(S20:S23)</f>
        <v>160000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168205.71428571429</v>
      </c>
      <c r="G26" s="3230">
        <v>588720</v>
      </c>
      <c r="H26" s="3231"/>
      <c r="J26" s="3230"/>
      <c r="K26" s="3231"/>
      <c r="L26" s="828"/>
      <c r="M26" s="3379"/>
      <c r="N26" s="3380"/>
      <c r="P26" s="3379">
        <v>588720</v>
      </c>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588720</v>
      </c>
      <c r="H28" s="3339"/>
      <c r="J28" s="3338">
        <f>SUM(J26:J27)</f>
        <v>0</v>
      </c>
      <c r="K28" s="3339"/>
      <c r="L28" s="283"/>
      <c r="M28" s="3338">
        <f>M26</f>
        <v>0</v>
      </c>
      <c r="N28" s="3339"/>
      <c r="P28" s="3338">
        <f>P26</f>
        <v>588720</v>
      </c>
      <c r="Q28" s="3339"/>
      <c r="S28" s="3338">
        <f>SUM(S26:S27)</f>
        <v>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2609730</v>
      </c>
      <c r="H31" s="3242"/>
      <c r="J31" s="3241"/>
      <c r="K31" s="3242"/>
      <c r="L31" s="828"/>
      <c r="M31" s="3241"/>
      <c r="N31" s="3242"/>
      <c r="P31" s="3241">
        <v>2609730</v>
      </c>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v>165400</v>
      </c>
      <c r="H34" s="3242"/>
      <c r="I34" s="144"/>
      <c r="J34" s="3241"/>
      <c r="K34" s="3242"/>
      <c r="L34" s="828"/>
      <c r="M34" s="3241"/>
      <c r="N34" s="3242"/>
      <c r="O34" s="144"/>
      <c r="P34" s="3241">
        <v>165400</v>
      </c>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2775130</v>
      </c>
      <c r="H36" s="3339"/>
      <c r="J36" s="3338">
        <f>SUM(J30:J35)</f>
        <v>0</v>
      </c>
      <c r="K36" s="3339"/>
      <c r="L36" s="828"/>
      <c r="M36" s="3338">
        <f>SUM(M30:M35)</f>
        <v>0</v>
      </c>
      <c r="N36" s="3339"/>
      <c r="P36" s="3338">
        <f>SUM(P30:P35)</f>
        <v>2775130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0.13823446348677854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201831</v>
      </c>
      <c r="F38" s="1949">
        <f>IF(($G$28+$G$36)=0,0,G38/($G$28+$G$36))</f>
        <v>5.9455683220119807E-2</v>
      </c>
      <c r="G38" s="3230">
        <v>200000</v>
      </c>
      <c r="H38" s="3231"/>
      <c r="I38" s="145"/>
      <c r="J38" s="3230"/>
      <c r="K38" s="3231"/>
      <c r="L38" s="828"/>
      <c r="M38" s="3230"/>
      <c r="N38" s="3231"/>
      <c r="P38" s="3230">
        <v>200000</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67277</v>
      </c>
      <c r="F39" s="1949">
        <f>IF(($G$28+$G$36)=0,0,G39/($G$28+$G$36))</f>
        <v>1.9323097046538937E-2</v>
      </c>
      <c r="G39" s="3241">
        <v>65000</v>
      </c>
      <c r="H39" s="3242"/>
      <c r="I39" s="145"/>
      <c r="J39" s="3241"/>
      <c r="K39" s="3242"/>
      <c r="L39" s="828"/>
      <c r="M39" s="3241"/>
      <c r="N39" s="3242"/>
      <c r="P39" s="3241">
        <v>65000</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201831</v>
      </c>
      <c r="F40" s="1952">
        <f>IF(($G$28+$G$36)=0,0,G40/($G$28+$G$36))</f>
        <v>5.9455683220119807E-2</v>
      </c>
      <c r="G40" s="3340">
        <v>200000</v>
      </c>
      <c r="H40" s="3341"/>
      <c r="I40" s="145"/>
      <c r="J40" s="3340"/>
      <c r="K40" s="3341"/>
      <c r="L40" s="828"/>
      <c r="M40" s="3340"/>
      <c r="N40" s="3341"/>
      <c r="P40" s="3340">
        <v>200000</v>
      </c>
      <c r="Q40" s="3341"/>
      <c r="S40" s="3340"/>
      <c r="T40" s="3341"/>
      <c r="V40" s="849"/>
      <c r="W40" s="3349"/>
      <c r="X40" s="3350"/>
      <c r="AZ40" s="1968"/>
      <c r="BA40" s="1706">
        <v>40</v>
      </c>
    </row>
    <row r="41" spans="1:53" s="144" customFormat="1" ht="12.6" customHeight="1" thickTop="1">
      <c r="B41" s="147" t="s">
        <v>3225</v>
      </c>
      <c r="D41" s="761">
        <f>SUM(D38:D40)</f>
        <v>0.14000000000000001</v>
      </c>
      <c r="E41" s="762">
        <f>SUM(E38:E40)</f>
        <v>470939</v>
      </c>
      <c r="F41" s="1946" t="s">
        <v>184</v>
      </c>
      <c r="G41" s="3338">
        <f>SUM(G38:G40)</f>
        <v>465000</v>
      </c>
      <c r="H41" s="3339"/>
      <c r="J41" s="3338">
        <f>SUM(J38:J40)</f>
        <v>0</v>
      </c>
      <c r="K41" s="3339"/>
      <c r="L41" s="283"/>
      <c r="M41" s="3338">
        <f>SUM(M38:M40)</f>
        <v>0</v>
      </c>
      <c r="N41" s="3339"/>
      <c r="P41" s="3338">
        <f>SUM(P38:P40)</f>
        <v>465000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3828850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89043.023255813954</v>
      </c>
      <c r="G48" s="1668" t="s">
        <v>2492</v>
      </c>
      <c r="H48" s="1669"/>
      <c r="I48" s="1669"/>
      <c r="J48" s="3398">
        <f>C49/'Part V-Revenues &amp; Expenses'!$P$67</f>
        <v>89043.023255813954</v>
      </c>
      <c r="K48" s="3398"/>
      <c r="L48" s="1669"/>
      <c r="M48" s="3399" t="s">
        <v>6475</v>
      </c>
      <c r="N48" s="3399"/>
      <c r="O48" s="1669"/>
      <c r="P48" s="3398">
        <f>C49/'Part V-Revenues &amp; Expenses'!$K$175</f>
        <v>123.9029836256553</v>
      </c>
      <c r="Q48" s="3398"/>
      <c r="R48" s="1669"/>
      <c r="S48" s="3400" t="s">
        <v>6477</v>
      </c>
      <c r="T48" s="3401"/>
      <c r="V48" s="852"/>
      <c r="W48" s="3392"/>
      <c r="X48" s="3393"/>
      <c r="AZ48" s="1968"/>
      <c r="BA48" s="1706">
        <v>48</v>
      </c>
    </row>
    <row r="49" spans="1:53" s="144" customFormat="1" ht="12.6" customHeight="1">
      <c r="B49" s="1714" t="s">
        <v>6488</v>
      </c>
      <c r="C49" s="1713">
        <f>G28+G36+G41+G46</f>
        <v>3828850</v>
      </c>
      <c r="E49" s="3397"/>
      <c r="F49" s="1670">
        <f>C49/'Part V-Revenues &amp; Expenses'!$P$166</f>
        <v>134.80916836842476</v>
      </c>
      <c r="G49" s="1671" t="s">
        <v>2493</v>
      </c>
      <c r="H49" s="1672"/>
      <c r="I49" s="1672"/>
      <c r="J49" s="3386">
        <f>C49/'Part V-Revenues &amp; Expenses'!$P$168</f>
        <v>134.80916836842476</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382885</v>
      </c>
      <c r="F55" s="1756">
        <f>G55/C49</f>
        <v>9.7940634916489286E-2</v>
      </c>
      <c r="G55" s="3388">
        <v>375000</v>
      </c>
      <c r="H55" s="3389"/>
      <c r="I55" s="144"/>
      <c r="J55" s="3388"/>
      <c r="K55" s="3389"/>
      <c r="L55" s="828"/>
      <c r="M55" s="3388"/>
      <c r="N55" s="3389"/>
      <c r="O55" s="144"/>
      <c r="P55" s="3388">
        <v>375000</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97763.953488372092</v>
      </c>
      <c r="G57" s="1668" t="s">
        <v>2492</v>
      </c>
      <c r="H57" s="1669"/>
      <c r="I57" s="1669"/>
      <c r="J57" s="3398">
        <f>B58/'Part V-Revenues &amp; Expenses'!$P$67</f>
        <v>97763.953488372092</v>
      </c>
      <c r="K57" s="3398"/>
      <c r="L57" s="1669"/>
      <c r="M57" s="3399" t="s">
        <v>6475</v>
      </c>
      <c r="N57" s="3399"/>
      <c r="O57" s="1669"/>
      <c r="P57" s="3398">
        <f>B58/'Part V-Revenues &amp; Expenses'!$K$175</f>
        <v>136.03812050999935</v>
      </c>
      <c r="Q57" s="3398"/>
      <c r="R57" s="1669"/>
      <c r="S57" s="3400" t="s">
        <v>6477</v>
      </c>
      <c r="T57" s="3401"/>
      <c r="V57" s="852"/>
      <c r="W57" s="3392"/>
      <c r="X57" s="3393"/>
      <c r="AZ57" s="1968"/>
      <c r="BA57" s="1706">
        <v>54</v>
      </c>
    </row>
    <row r="58" spans="1:53" s="144" customFormat="1" ht="12.6" customHeight="1">
      <c r="B58" s="3479">
        <f>C49+G55</f>
        <v>4203850</v>
      </c>
      <c r="C58" s="3480"/>
      <c r="E58" s="3482"/>
      <c r="F58" s="1670">
        <f>B58/'Part V-Revenues &amp; Expenses'!$P$166</f>
        <v>148.01246391099218</v>
      </c>
      <c r="G58" s="1671" t="s">
        <v>2493</v>
      </c>
      <c r="H58" s="1672"/>
      <c r="I58" s="1672"/>
      <c r="J58" s="3386">
        <f>B58/'Part V-Revenues &amp; Expenses'!$P$168</f>
        <v>148.01246391099218</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47620</v>
      </c>
      <c r="H63" s="3242"/>
      <c r="J63" s="3241"/>
      <c r="K63" s="3242"/>
      <c r="L63" s="828"/>
      <c r="M63" s="3241"/>
      <c r="N63" s="3242"/>
      <c r="P63" s="3241">
        <v>47620</v>
      </c>
      <c r="Q63" s="3242"/>
      <c r="S63" s="3241"/>
      <c r="T63" s="3242"/>
      <c r="V63" s="853"/>
      <c r="W63" s="3342"/>
      <c r="X63" s="3343"/>
      <c r="AZ63" s="1968"/>
      <c r="BA63" s="1706">
        <v>63</v>
      </c>
    </row>
    <row r="64" spans="1:53" s="144" customFormat="1" ht="12" customHeight="1">
      <c r="B64" s="144" t="s">
        <v>2167</v>
      </c>
      <c r="G64" s="3241">
        <v>251553</v>
      </c>
      <c r="H64" s="3242"/>
      <c r="J64" s="3241"/>
      <c r="K64" s="3242"/>
      <c r="L64" s="828"/>
      <c r="M64" s="3241"/>
      <c r="N64" s="3242"/>
      <c r="P64" s="3241">
        <v>91761</v>
      </c>
      <c r="Q64" s="3242"/>
      <c r="S64" s="3241">
        <v>159792</v>
      </c>
      <c r="T64" s="3242"/>
      <c r="V64" s="853"/>
      <c r="W64" s="3342"/>
      <c r="X64" s="3343"/>
      <c r="AZ64" s="1968"/>
      <c r="BA64" s="1706">
        <v>64</v>
      </c>
    </row>
    <row r="65" spans="1:53" s="144" customFormat="1" ht="12" customHeight="1">
      <c r="B65" s="144" t="s">
        <v>2168</v>
      </c>
      <c r="G65" s="3241">
        <v>25000</v>
      </c>
      <c r="H65" s="3242"/>
      <c r="J65" s="3241"/>
      <c r="K65" s="3242"/>
      <c r="L65" s="828"/>
      <c r="M65" s="3241"/>
      <c r="N65" s="3242"/>
      <c r="P65" s="3241">
        <v>25000</v>
      </c>
      <c r="Q65" s="3242"/>
      <c r="S65" s="3241"/>
      <c r="T65" s="3242"/>
      <c r="V65" s="853"/>
      <c r="W65" s="3342"/>
      <c r="X65" s="3343"/>
      <c r="AZ65" s="1968" t="s">
        <v>6375</v>
      </c>
      <c r="BA65" s="1706">
        <v>65</v>
      </c>
    </row>
    <row r="66" spans="1:53" s="144" customFormat="1" ht="12" customHeight="1">
      <c r="B66" s="144" t="s">
        <v>2450</v>
      </c>
      <c r="G66" s="3241">
        <v>20000</v>
      </c>
      <c r="H66" s="3242"/>
      <c r="J66" s="3241"/>
      <c r="K66" s="3242"/>
      <c r="L66" s="828"/>
      <c r="M66" s="3241"/>
      <c r="N66" s="3242"/>
      <c r="P66" s="3241">
        <v>20000</v>
      </c>
      <c r="Q66" s="3242"/>
      <c r="S66" s="3241"/>
      <c r="T66" s="3242"/>
      <c r="V66" s="853"/>
      <c r="W66" s="3342"/>
      <c r="X66" s="3343"/>
      <c r="AZ66" s="1968" t="s">
        <v>6376</v>
      </c>
      <c r="BA66" s="1706">
        <v>66</v>
      </c>
    </row>
    <row r="67" spans="1:53" s="144" customFormat="1" ht="12" customHeight="1">
      <c r="B67" s="144" t="s">
        <v>676</v>
      </c>
      <c r="G67" s="3241">
        <v>16869</v>
      </c>
      <c r="H67" s="3242"/>
      <c r="J67" s="3241"/>
      <c r="K67" s="3242"/>
      <c r="L67" s="828"/>
      <c r="M67" s="3241"/>
      <c r="N67" s="3242"/>
      <c r="P67" s="3241"/>
      <c r="Q67" s="3242"/>
      <c r="S67" s="3241">
        <v>16869</v>
      </c>
      <c r="T67" s="3242"/>
      <c r="V67" s="853"/>
      <c r="W67" s="3342"/>
      <c r="X67" s="3343"/>
      <c r="AZ67" s="1968" t="s">
        <v>6377</v>
      </c>
      <c r="BA67" s="1706">
        <v>67</v>
      </c>
    </row>
    <row r="68" spans="1:53" s="144" customFormat="1" ht="12" customHeight="1">
      <c r="B68" s="144" t="s">
        <v>2169</v>
      </c>
      <c r="G68" s="3241">
        <v>25000</v>
      </c>
      <c r="H68" s="3242"/>
      <c r="J68" s="3241"/>
      <c r="K68" s="3242"/>
      <c r="L68" s="828"/>
      <c r="M68" s="3241"/>
      <c r="N68" s="3242"/>
      <c r="P68" s="3241">
        <v>10000</v>
      </c>
      <c r="Q68" s="3242"/>
      <c r="S68" s="3241">
        <v>15000</v>
      </c>
      <c r="T68" s="3242"/>
      <c r="V68" s="853"/>
      <c r="W68" s="3342"/>
      <c r="X68" s="3343"/>
      <c r="AZ68" s="1968"/>
      <c r="BA68" s="1706">
        <v>68</v>
      </c>
    </row>
    <row r="69" spans="1:53" s="144" customFormat="1" ht="12" customHeight="1">
      <c r="B69" s="144" t="s">
        <v>1200</v>
      </c>
      <c r="G69" s="3241">
        <v>25000</v>
      </c>
      <c r="H69" s="3242"/>
      <c r="J69" s="3241"/>
      <c r="K69" s="3242"/>
      <c r="L69" s="828"/>
      <c r="M69" s="3241"/>
      <c r="N69" s="3242"/>
      <c r="P69" s="3241">
        <v>25000</v>
      </c>
      <c r="Q69" s="3242"/>
      <c r="S69" s="3241"/>
      <c r="T69" s="3242"/>
      <c r="V69" s="853"/>
      <c r="W69" s="3342"/>
      <c r="X69" s="3343"/>
      <c r="AZ69" s="1968"/>
      <c r="BA69" s="1706">
        <v>69</v>
      </c>
    </row>
    <row r="70" spans="1:53" s="144" customFormat="1" ht="12" customHeight="1">
      <c r="B70" s="287" t="s">
        <v>1085</v>
      </c>
      <c r="D70" s="285"/>
      <c r="E70" s="285"/>
      <c r="F70" s="286"/>
      <c r="G70" s="3241">
        <v>25000</v>
      </c>
      <c r="H70" s="3242"/>
      <c r="I70" s="145"/>
      <c r="J70" s="3241"/>
      <c r="K70" s="3242"/>
      <c r="L70" s="828"/>
      <c r="M70" s="3241"/>
      <c r="N70" s="3242"/>
      <c r="P70" s="3241">
        <v>25000</v>
      </c>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436042</v>
      </c>
      <c r="H73" s="3339"/>
      <c r="J73" s="3338">
        <f>SUM(J61:J72)</f>
        <v>0</v>
      </c>
      <c r="K73" s="3339"/>
      <c r="L73" s="283"/>
      <c r="M73" s="3338">
        <f>SUM(M61:M72)</f>
        <v>0</v>
      </c>
      <c r="N73" s="3339"/>
      <c r="P73" s="3338">
        <f>SUM(P61:P72)</f>
        <v>244381</v>
      </c>
      <c r="Q73" s="3339"/>
      <c r="S73" s="3338">
        <f>SUM(S61:S72)</f>
        <v>191661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200000</v>
      </c>
      <c r="H75" s="3231"/>
      <c r="J75" s="3230"/>
      <c r="K75" s="3231"/>
      <c r="L75" s="828"/>
      <c r="M75" s="3230"/>
      <c r="N75" s="3231"/>
      <c r="P75" s="3230">
        <v>200000</v>
      </c>
      <c r="Q75" s="3231"/>
      <c r="S75" s="3230"/>
      <c r="T75" s="3231"/>
      <c r="V75" s="849"/>
      <c r="W75" s="3342"/>
      <c r="X75" s="3343"/>
      <c r="AZ75" s="1968"/>
      <c r="BA75" s="1706">
        <v>75</v>
      </c>
    </row>
    <row r="76" spans="1:53" s="144" customFormat="1" ht="12" customHeight="1">
      <c r="B76" s="144" t="s">
        <v>451</v>
      </c>
      <c r="G76" s="3241">
        <v>50000</v>
      </c>
      <c r="H76" s="3242"/>
      <c r="J76" s="3241"/>
      <c r="K76" s="3242"/>
      <c r="L76" s="828"/>
      <c r="M76" s="3241"/>
      <c r="N76" s="3242"/>
      <c r="P76" s="3241">
        <v>50000</v>
      </c>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c r="K77" s="3242"/>
      <c r="L77" s="828"/>
      <c r="M77" s="3241"/>
      <c r="N77" s="3242"/>
      <c r="P77" s="3241">
        <v>20000</v>
      </c>
      <c r="Q77" s="3242"/>
      <c r="S77" s="3241"/>
      <c r="T77" s="3242"/>
      <c r="V77" s="849"/>
      <c r="W77" s="3342"/>
      <c r="X77" s="3343"/>
      <c r="AZ77" s="1968"/>
      <c r="BA77" s="1706">
        <v>77</v>
      </c>
    </row>
    <row r="78" spans="1:53" s="144" customFormat="1" ht="12" customHeight="1">
      <c r="B78" s="144" t="s">
        <v>1062</v>
      </c>
      <c r="G78" s="3241">
        <v>20000</v>
      </c>
      <c r="H78" s="3242"/>
      <c r="J78" s="3241"/>
      <c r="K78" s="3242"/>
      <c r="L78" s="828"/>
      <c r="M78" s="3241"/>
      <c r="N78" s="3242"/>
      <c r="P78" s="3241">
        <v>20000</v>
      </c>
      <c r="Q78" s="3242"/>
      <c r="S78" s="3241"/>
      <c r="T78" s="3242"/>
      <c r="V78" s="849"/>
      <c r="W78" s="3342"/>
      <c r="X78" s="3343"/>
      <c r="AZ78" s="1968"/>
      <c r="BA78" s="1706">
        <v>78</v>
      </c>
    </row>
    <row r="79" spans="1:53" s="144" customFormat="1" ht="12" customHeight="1">
      <c r="B79" s="144" t="s">
        <v>1063</v>
      </c>
      <c r="G79" s="3241">
        <v>5000</v>
      </c>
      <c r="H79" s="3242"/>
      <c r="J79" s="3241"/>
      <c r="K79" s="3242"/>
      <c r="L79" s="828"/>
      <c r="M79" s="3241"/>
      <c r="N79" s="3242"/>
      <c r="P79" s="3241">
        <v>5000</v>
      </c>
      <c r="Q79" s="3242"/>
      <c r="S79" s="3241"/>
      <c r="T79" s="3242"/>
      <c r="V79" s="849"/>
      <c r="W79" s="3342"/>
      <c r="X79" s="3343"/>
      <c r="AZ79" s="1968" t="s">
        <v>6378</v>
      </c>
      <c r="BA79" s="1706">
        <v>79</v>
      </c>
    </row>
    <row r="80" spans="1:53" s="144" customFormat="1" ht="12" customHeight="1">
      <c r="B80" s="144" t="s">
        <v>1064</v>
      </c>
      <c r="G80" s="3241">
        <v>5000</v>
      </c>
      <c r="H80" s="3242"/>
      <c r="J80" s="3241"/>
      <c r="K80" s="3242"/>
      <c r="L80" s="828"/>
      <c r="M80" s="3241"/>
      <c r="N80" s="3242"/>
      <c r="P80" s="3241">
        <v>5000</v>
      </c>
      <c r="Q80" s="3242"/>
      <c r="S80" s="3241"/>
      <c r="T80" s="3242"/>
      <c r="V80" s="849"/>
      <c r="W80" s="3342"/>
      <c r="X80" s="3343"/>
      <c r="AZ80" s="1968" t="s">
        <v>6379</v>
      </c>
      <c r="BA80" s="1706">
        <v>80</v>
      </c>
    </row>
    <row r="81" spans="1:53" s="144" customFormat="1" ht="12" customHeight="1">
      <c r="B81" s="144" t="s">
        <v>452</v>
      </c>
      <c r="G81" s="3241">
        <v>25000</v>
      </c>
      <c r="H81" s="3242"/>
      <c r="J81" s="3241"/>
      <c r="K81" s="3242"/>
      <c r="L81" s="828"/>
      <c r="M81" s="3241"/>
      <c r="N81" s="3242"/>
      <c r="P81" s="3241">
        <v>25000</v>
      </c>
      <c r="Q81" s="3242"/>
      <c r="S81" s="3241"/>
      <c r="T81" s="3242"/>
      <c r="V81" s="849"/>
      <c r="W81" s="3342"/>
      <c r="X81" s="3343"/>
      <c r="AZ81" s="744"/>
      <c r="BA81" s="1706">
        <v>81</v>
      </c>
    </row>
    <row r="82" spans="1:53" s="144" customFormat="1" ht="12" customHeight="1">
      <c r="B82" s="144" t="s">
        <v>453</v>
      </c>
      <c r="G82" s="3241">
        <v>100000</v>
      </c>
      <c r="H82" s="3242"/>
      <c r="J82" s="3241"/>
      <c r="K82" s="3242"/>
      <c r="L82" s="828"/>
      <c r="M82" s="3241"/>
      <c r="N82" s="3242"/>
      <c r="P82" s="3241">
        <v>100000</v>
      </c>
      <c r="Q82" s="3242"/>
      <c r="S82" s="3241"/>
      <c r="T82" s="3242"/>
      <c r="V82" s="849"/>
      <c r="W82" s="3342"/>
      <c r="X82" s="3343"/>
      <c r="AZ82" s="1968"/>
      <c r="BA82" s="1706">
        <v>82</v>
      </c>
    </row>
    <row r="83" spans="1:53" s="144" customFormat="1" ht="12" customHeight="1">
      <c r="B83" s="144" t="s">
        <v>1899</v>
      </c>
      <c r="G83" s="3241">
        <v>25000</v>
      </c>
      <c r="H83" s="3242"/>
      <c r="J83" s="3241"/>
      <c r="K83" s="3242"/>
      <c r="L83" s="828"/>
      <c r="M83" s="3241"/>
      <c r="N83" s="3242"/>
      <c r="P83" s="3241">
        <v>25000</v>
      </c>
      <c r="Q83" s="3242"/>
      <c r="S83" s="3241"/>
      <c r="T83" s="3242"/>
      <c r="V83" s="849"/>
      <c r="W83" s="3342"/>
      <c r="X83" s="3343"/>
      <c r="AZ83" s="1968"/>
      <c r="BA83" s="1706">
        <v>83</v>
      </c>
    </row>
    <row r="84" spans="1:53" s="144" customFormat="1" ht="12" customHeight="1">
      <c r="B84" s="144" t="s">
        <v>1201</v>
      </c>
      <c r="G84" s="3241">
        <v>10000</v>
      </c>
      <c r="H84" s="3242"/>
      <c r="J84" s="3241"/>
      <c r="K84" s="3242"/>
      <c r="L84" s="828"/>
      <c r="M84" s="3241"/>
      <c r="N84" s="3242"/>
      <c r="P84" s="3241">
        <v>10000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460000</v>
      </c>
      <c r="H86" s="3339"/>
      <c r="J86" s="3338">
        <f>SUM(J75:J85)</f>
        <v>0</v>
      </c>
      <c r="K86" s="3339"/>
      <c r="L86" s="283"/>
      <c r="M86" s="3338">
        <f>SUM(M75:M85)</f>
        <v>0</v>
      </c>
      <c r="N86" s="3339"/>
      <c r="P86" s="3338">
        <f>SUM(P75:P85)</f>
        <v>460000</v>
      </c>
      <c r="Q86" s="3339"/>
      <c r="S86" s="3338">
        <f>SUM(S75:S85)</f>
        <v>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136.81395348837211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5883</v>
      </c>
      <c r="H88" s="3231"/>
      <c r="J88" s="3230"/>
      <c r="K88" s="3231"/>
      <c r="L88" s="828"/>
      <c r="M88" s="3230"/>
      <c r="N88" s="3231"/>
      <c r="P88" s="3230">
        <v>5883</v>
      </c>
      <c r="Q88" s="3231"/>
      <c r="S88" s="3230"/>
      <c r="T88" s="3231"/>
      <c r="V88" s="849"/>
      <c r="W88" s="3342"/>
      <c r="X88" s="3343"/>
      <c r="AZ88" s="1968"/>
      <c r="BA88" s="1706">
        <v>88</v>
      </c>
    </row>
    <row r="89" spans="1:53" s="144" customFormat="1" ht="12" customHeight="1">
      <c r="B89" s="144" t="s">
        <v>1195</v>
      </c>
      <c r="G89" s="3241">
        <v>0</v>
      </c>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5883</v>
      </c>
      <c r="H92" s="3339"/>
      <c r="J92" s="3338">
        <f>SUM(J88:J91)</f>
        <v>0</v>
      </c>
      <c r="K92" s="3339"/>
      <c r="L92" s="283"/>
      <c r="M92" s="3338">
        <f>SUM(M88:M91)</f>
        <v>0</v>
      </c>
      <c r="N92" s="3339"/>
      <c r="P92" s="3338">
        <f>SUM(P88:P91)</f>
        <v>5883</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c r="H97" s="3231"/>
      <c r="J97" s="3410"/>
      <c r="K97" s="3410"/>
      <c r="L97" s="828"/>
      <c r="M97" s="3410"/>
      <c r="N97" s="3410"/>
      <c r="P97" s="3410"/>
      <c r="Q97" s="3410"/>
      <c r="S97" s="3230"/>
      <c r="T97" s="3231"/>
      <c r="V97" s="849"/>
      <c r="W97" s="3342"/>
      <c r="X97" s="3343"/>
      <c r="AZ97" s="1968" t="s">
        <v>6382</v>
      </c>
      <c r="BA97" s="1706">
        <v>97</v>
      </c>
    </row>
    <row r="98" spans="1:53" s="144" customFormat="1" ht="12" customHeight="1">
      <c r="B98" s="144" t="s">
        <v>1199</v>
      </c>
      <c r="G98" s="3241">
        <v>5000</v>
      </c>
      <c r="H98" s="3242"/>
      <c r="J98" s="3410"/>
      <c r="K98" s="3410"/>
      <c r="L98" s="828"/>
      <c r="M98" s="3410"/>
      <c r="N98" s="3410"/>
      <c r="P98" s="3410"/>
      <c r="Q98" s="3410"/>
      <c r="S98" s="3241">
        <v>5000</v>
      </c>
      <c r="T98" s="3242"/>
      <c r="V98" s="849"/>
      <c r="W98" s="3342"/>
      <c r="X98" s="3343"/>
      <c r="AZ98" s="1968"/>
      <c r="BA98" s="1706">
        <v>98</v>
      </c>
    </row>
    <row r="99" spans="1:53" s="144" customFormat="1" ht="12" customHeight="1">
      <c r="B99" s="144" t="s">
        <v>1200</v>
      </c>
      <c r="G99" s="3241">
        <v>15000</v>
      </c>
      <c r="H99" s="3242"/>
      <c r="J99" s="3410"/>
      <c r="K99" s="3410"/>
      <c r="L99" s="828"/>
      <c r="M99" s="3410"/>
      <c r="N99" s="3410"/>
      <c r="P99" s="3410"/>
      <c r="Q99" s="3410"/>
      <c r="S99" s="3241">
        <v>15000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20000</v>
      </c>
      <c r="H103" s="3339"/>
      <c r="J103" s="3410"/>
      <c r="K103" s="3410"/>
      <c r="L103" s="283"/>
      <c r="M103" s="3410"/>
      <c r="N103" s="3410"/>
      <c r="P103" s="3410"/>
      <c r="Q103" s="3410"/>
      <c r="S103" s="3338">
        <f>SUM(S97:S102)</f>
        <v>20000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43</v>
      </c>
      <c r="AZ106" s="1968" t="s">
        <v>6383</v>
      </c>
      <c r="BA106" s="1706">
        <v>106</v>
      </c>
    </row>
    <row r="107" spans="1:53" s="144" customFormat="1" ht="12.6" customHeight="1">
      <c r="B107" s="144" t="s">
        <v>3318</v>
      </c>
      <c r="G107" s="3241">
        <v>2500</v>
      </c>
      <c r="H107" s="3242"/>
      <c r="J107" s="283"/>
      <c r="K107" s="283"/>
      <c r="L107" s="290"/>
      <c r="M107" s="283"/>
      <c r="N107" s="283"/>
      <c r="P107" s="283"/>
      <c r="Q107" s="283"/>
      <c r="S107" s="3241">
        <v>2500</v>
      </c>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40000</v>
      </c>
      <c r="F108" s="3412"/>
      <c r="G108" s="3241">
        <v>40000</v>
      </c>
      <c r="H108" s="3242"/>
      <c r="J108" s="764" t="str">
        <f>IF(E108&gt;G108,"WARNING!  LIHTC Allocation Fee proposed is below minimum required.","")</f>
        <v/>
      </c>
      <c r="K108" s="283"/>
      <c r="L108" s="828"/>
      <c r="M108" s="283"/>
      <c r="N108" s="283"/>
      <c r="P108" s="283"/>
      <c r="Q108" s="283"/>
      <c r="S108" s="3241">
        <v>40000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34400</v>
      </c>
      <c r="F109" s="3412"/>
      <c r="G109" s="3241">
        <v>34400</v>
      </c>
      <c r="H109" s="3242"/>
      <c r="I109" s="3346" t="str">
        <f>IF(E109&gt;G109,"WARNING!  LIHTC Compliance Fee proposed is below minimum required.","")</f>
        <v/>
      </c>
      <c r="J109" s="3347"/>
      <c r="K109" s="3347"/>
      <c r="L109" s="3347"/>
      <c r="M109" s="3347"/>
      <c r="N109" s="3347"/>
      <c r="O109" s="3347"/>
      <c r="P109" s="3347"/>
      <c r="Q109" s="3347"/>
      <c r="R109" s="3348"/>
      <c r="S109" s="3241">
        <v>34400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43</v>
      </c>
      <c r="AF113" s="1934">
        <f>IF($AD$105="Income Averaging",AD113*'DCA Underwriting Assumptions'!$Q$61,AD113*'DCA Underwriting Assumptions'!$Q$60)</f>
        <v>34400</v>
      </c>
      <c r="AZ113" s="1968" t="s">
        <v>6386</v>
      </c>
      <c r="BA113" s="1706">
        <v>113</v>
      </c>
    </row>
    <row r="114" spans="1:53" s="144" customFormat="1" ht="12.6" customHeight="1" thickTop="1">
      <c r="F114" s="281" t="s">
        <v>184</v>
      </c>
      <c r="G114" s="3338">
        <f>SUM(G105:G113)</f>
        <v>97900</v>
      </c>
      <c r="H114" s="3339"/>
      <c r="J114" s="283"/>
      <c r="K114" s="283"/>
      <c r="L114" s="828"/>
      <c r="M114" s="283"/>
      <c r="N114" s="283"/>
      <c r="P114" s="283"/>
      <c r="Q114" s="283"/>
      <c r="S114" s="3338">
        <f>SUM(S105:S113)</f>
        <v>97900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43</v>
      </c>
      <c r="AF115" s="1935">
        <f>SUM(AF113:AF114)</f>
        <v>34400</v>
      </c>
      <c r="AZ115" s="1959"/>
      <c r="BA115" s="1706">
        <v>115</v>
      </c>
    </row>
    <row r="116" spans="1:53" s="144" customFormat="1" ht="12.6" customHeight="1">
      <c r="B116" s="144" t="s">
        <v>267</v>
      </c>
      <c r="G116" s="3230">
        <v>500</v>
      </c>
      <c r="H116" s="3231"/>
      <c r="J116" s="3410"/>
      <c r="K116" s="3410"/>
      <c r="L116" s="828"/>
      <c r="M116" s="3410"/>
      <c r="N116" s="3410"/>
      <c r="P116" s="3410"/>
      <c r="Q116" s="3410"/>
      <c r="S116" s="3230">
        <v>500</v>
      </c>
      <c r="T116" s="3231"/>
      <c r="V116" s="849"/>
      <c r="W116" s="3342"/>
      <c r="X116" s="3343"/>
      <c r="AZ116" s="1959"/>
      <c r="BA116" s="1706">
        <v>116</v>
      </c>
    </row>
    <row r="117" spans="1:53" s="144" customFormat="1" ht="12.6" customHeight="1">
      <c r="B117" s="144" t="s">
        <v>268</v>
      </c>
      <c r="G117" s="3241">
        <v>1000</v>
      </c>
      <c r="H117" s="3242"/>
      <c r="J117" s="3410"/>
      <c r="K117" s="3410"/>
      <c r="L117" s="828"/>
      <c r="M117" s="3410"/>
      <c r="N117" s="3410"/>
      <c r="P117" s="3410"/>
      <c r="Q117" s="3410"/>
      <c r="S117" s="3241">
        <v>1000</v>
      </c>
      <c r="T117" s="3242"/>
      <c r="V117" s="849"/>
      <c r="W117" s="3342"/>
      <c r="X117" s="3343"/>
      <c r="AZ117" s="1959"/>
      <c r="BA117" s="1706">
        <v>117</v>
      </c>
    </row>
    <row r="118" spans="1:53" s="144" customFormat="1" ht="12.6" customHeight="1">
      <c r="B118" s="144" t="s">
        <v>2200</v>
      </c>
      <c r="G118" s="3241">
        <v>40000</v>
      </c>
      <c r="H118" s="3242"/>
      <c r="J118" s="3410"/>
      <c r="K118" s="3410"/>
      <c r="L118" s="828"/>
      <c r="M118" s="3410"/>
      <c r="N118" s="3410"/>
      <c r="P118" s="3410"/>
      <c r="Q118" s="3410"/>
      <c r="S118" s="3241">
        <v>40000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41500</v>
      </c>
      <c r="H120" s="3339"/>
      <c r="J120" s="3410"/>
      <c r="K120" s="3410"/>
      <c r="L120" s="828"/>
      <c r="M120" s="3410"/>
      <c r="N120" s="3410"/>
      <c r="P120" s="3410"/>
      <c r="Q120" s="3410"/>
      <c r="S120" s="3338">
        <f>SUM(S116:S119)</f>
        <v>41500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0.5</v>
      </c>
      <c r="G122" s="3413">
        <v>577500</v>
      </c>
      <c r="H122" s="3413"/>
      <c r="J122" s="3414"/>
      <c r="K122" s="3415"/>
      <c r="L122" s="282"/>
      <c r="M122" s="3414"/>
      <c r="N122" s="3415"/>
      <c r="P122" s="3414">
        <v>577500</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1182500</v>
      </c>
      <c r="AF122" s="3370">
        <f>SUM(AE122:AE124)</f>
        <v>1182500</v>
      </c>
      <c r="AG122" s="3497">
        <f>'DCA Underwriting Assumptions'!$Q$74</f>
        <v>2000000</v>
      </c>
      <c r="AH122" s="3489">
        <f>MIN(AF122,AG122)</f>
        <v>1182500</v>
      </c>
      <c r="AI122" s="3490"/>
      <c r="AZ122" s="1959"/>
      <c r="BA122" s="1706">
        <v>122</v>
      </c>
    </row>
    <row r="123" spans="1:53" s="144" customFormat="1" ht="12.6" customHeight="1">
      <c r="B123" s="144" t="s">
        <v>3411</v>
      </c>
      <c r="F123" s="949">
        <v>300000</v>
      </c>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1182500</v>
      </c>
      <c r="AF125" s="3370">
        <f>SUM(AE125:AE127)</f>
        <v>1182500</v>
      </c>
      <c r="AG125" s="3370">
        <f>'DCA Underwriting Assumptions'!$Q$75</f>
        <v>3500000</v>
      </c>
      <c r="AH125" s="3489">
        <f>MIN(AF125,AG125)</f>
        <v>1182500</v>
      </c>
      <c r="AI125" s="3490"/>
      <c r="AZ125" s="1959"/>
      <c r="BA125" s="1706">
        <v>125</v>
      </c>
    </row>
    <row r="126" spans="1:53" s="144" customFormat="1" ht="12.6" customHeight="1" thickBot="1">
      <c r="B126" s="144" t="s">
        <v>1717</v>
      </c>
      <c r="F126" s="323">
        <f>IF($G$127=0,0,G126/$G$127)</f>
        <v>0.5</v>
      </c>
      <c r="G126" s="3189">
        <v>577500</v>
      </c>
      <c r="H126" s="3190"/>
      <c r="J126" s="3189"/>
      <c r="K126" s="3190"/>
      <c r="L126" s="828"/>
      <c r="M126" s="3189"/>
      <c r="N126" s="3190"/>
      <c r="P126" s="3189">
        <v>577500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1182500</v>
      </c>
      <c r="F127" s="281" t="s">
        <v>184</v>
      </c>
      <c r="G127" s="3338">
        <f>SUM(G122:G126)</f>
        <v>1155000</v>
      </c>
      <c r="H127" s="3416"/>
      <c r="J127" s="3338">
        <f>SUM(J122:J126)</f>
        <v>0</v>
      </c>
      <c r="K127" s="3416"/>
      <c r="L127" s="828"/>
      <c r="M127" s="3338">
        <f>SUM(M122:M126)</f>
        <v>0</v>
      </c>
      <c r="N127" s="3416"/>
      <c r="P127" s="3338">
        <f>SUM(P122:P126)</f>
        <v>1155000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500</v>
      </c>
      <c r="H129" s="3231"/>
      <c r="J129" s="291"/>
      <c r="K129" s="291"/>
      <c r="L129" s="291"/>
      <c r="M129" s="291"/>
      <c r="N129" s="291"/>
      <c r="P129" s="291"/>
      <c r="Q129" s="291"/>
      <c r="S129" s="3230">
        <v>500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42215.75</v>
      </c>
      <c r="G130" s="3241">
        <v>42216</v>
      </c>
      <c r="H130" s="3242"/>
      <c r="J130" s="765" t="str">
        <f>IF(E130&gt;G130,"WARNING! Rent-Up Reserves proposed is below minimum - add comment.","")</f>
        <v/>
      </c>
      <c r="K130" s="765"/>
      <c r="L130" s="828"/>
      <c r="M130" s="750"/>
      <c r="N130" s="750"/>
      <c r="P130" s="750"/>
      <c r="Q130" s="750"/>
      <c r="S130" s="3241">
        <v>42216</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107163.24152046996</v>
      </c>
      <c r="G131" s="3241">
        <v>107163</v>
      </c>
      <c r="H131" s="3242"/>
      <c r="J131" s="765" t="str">
        <f>IF(E131&gt;G131,"WARNING! ODR proposed is below minimum - add comment.","")</f>
        <v/>
      </c>
      <c r="K131" s="290"/>
      <c r="L131" s="290"/>
      <c r="M131" s="290"/>
      <c r="N131" s="290"/>
      <c r="P131" s="290"/>
      <c r="Q131" s="290"/>
      <c r="S131" s="3241">
        <v>107163</v>
      </c>
      <c r="T131" s="3242"/>
      <c r="V131" s="849"/>
      <c r="W131" s="3342"/>
      <c r="X131" s="3343"/>
      <c r="Y131"/>
      <c r="Z131" s="1307"/>
      <c r="AB131" s="236"/>
      <c r="AD131"/>
      <c r="AG131"/>
      <c r="AH131"/>
      <c r="AI131"/>
      <c r="AZ131" s="1968"/>
      <c r="BA131" s="1706">
        <v>131</v>
      </c>
    </row>
    <row r="132" spans="1:53" s="144" customFormat="1" ht="12.6" customHeight="1">
      <c r="B132" s="144" t="s">
        <v>1170</v>
      </c>
      <c r="G132" s="3241">
        <v>15050</v>
      </c>
      <c r="H132" s="3242"/>
      <c r="J132" s="291"/>
      <c r="K132" s="291"/>
      <c r="L132" s="291"/>
      <c r="M132" s="291"/>
      <c r="N132" s="291"/>
      <c r="P132" s="291"/>
      <c r="Q132" s="291"/>
      <c r="S132" s="3241">
        <v>15050</v>
      </c>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1162.7906976744187</v>
      </c>
      <c r="G133" s="3241">
        <v>50000</v>
      </c>
      <c r="H133" s="3242"/>
      <c r="J133" s="3230"/>
      <c r="K133" s="3231"/>
      <c r="L133" s="828"/>
      <c r="M133" s="3230"/>
      <c r="N133" s="3231"/>
      <c r="P133" s="3230">
        <v>50000</v>
      </c>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214929</v>
      </c>
      <c r="H135" s="3339"/>
      <c r="J135" s="3338">
        <f>SUM(J133:J134)</f>
        <v>0</v>
      </c>
      <c r="K135" s="3339"/>
      <c r="L135" s="828"/>
      <c r="M135" s="3338">
        <f>SUM(M133:M134)</f>
        <v>0</v>
      </c>
      <c r="N135" s="3339"/>
      <c r="P135" s="3338">
        <f>SUM(P133:P134)</f>
        <v>50000</v>
      </c>
      <c r="Q135" s="3339"/>
      <c r="S135" s="3338">
        <f>SUM(S129:S134)</f>
        <v>164929</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250000</v>
      </c>
      <c r="H142" s="3231"/>
      <c r="J142" s="3230"/>
      <c r="K142" s="3231"/>
      <c r="L142" s="282"/>
      <c r="M142" s="3230"/>
      <c r="N142" s="3231"/>
      <c r="P142" s="3230">
        <v>250000</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250000</v>
      </c>
      <c r="H144" s="3339"/>
      <c r="J144" s="3338">
        <f>SUM(J142:J143)</f>
        <v>0</v>
      </c>
      <c r="K144" s="3339"/>
      <c r="L144" s="828"/>
      <c r="M144" s="3338">
        <f>SUM(M142:M143)</f>
        <v>0</v>
      </c>
      <c r="N144" s="3339"/>
      <c r="P144" s="3338">
        <f>SUM(P142:P143)</f>
        <v>250000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8102254</v>
      </c>
      <c r="H146" s="3487"/>
      <c r="J146" s="3486">
        <f>J18+J24+J28+J36+J41+J46+J55+J73+J86+J92+J103+J114+J120+J127+J135+J144</f>
        <v>0</v>
      </c>
      <c r="K146" s="3487"/>
      <c r="M146" s="3486">
        <f>M18+M24+M28+M36+M41+M46+M55+M73+M86+M92+M103+M114+M120+M127+M135+M144</f>
        <v>1012000</v>
      </c>
      <c r="N146" s="3487"/>
      <c r="P146" s="3486">
        <f>P18+P24+P28+P36+P41+P46+P55+P73+P86+P92+P103+P114+P120+P127+P135+P144</f>
        <v>6414264</v>
      </c>
      <c r="Q146" s="3487"/>
      <c r="S146" s="3486">
        <f>S18+S24+S28+S36+S41+S46+S55+S73+S86+S92+S103+S114+S120+S127+S135+S144</f>
        <v>675990</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188424.51162790696</v>
      </c>
      <c r="E148" s="3483"/>
      <c r="F148" s="390" t="s">
        <v>2487</v>
      </c>
      <c r="G148" s="3484">
        <f>IF('Part V-Revenues &amp; Expenses'!$K$175=0,0,G146/'Part V-Revenues &amp; Expenses'!$K$175)</f>
        <v>262.19189696459779</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1012000</v>
      </c>
      <c r="N162" s="3337"/>
      <c r="P162" s="3334">
        <f>P146</f>
        <v>6414264</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1012000</v>
      </c>
      <c r="N164" s="3354"/>
      <c r="P164" s="3355">
        <f>P162-P163</f>
        <v>6414264</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v>1</v>
      </c>
      <c r="Q165" s="3422"/>
      <c r="R165" s="3470" t="s">
        <v>3204</v>
      </c>
      <c r="S165" s="3471"/>
      <c r="T165" s="3472"/>
      <c r="U165" s="1170"/>
      <c r="V165" s="849"/>
      <c r="W165" s="3342"/>
      <c r="X165" s="3343"/>
      <c r="AZ165" s="1968"/>
      <c r="BA165" s="1706">
        <v>165</v>
      </c>
    </row>
    <row r="166" spans="1:53" s="144" customFormat="1" ht="14.1" customHeight="1">
      <c r="B166" s="144" t="s">
        <v>1903</v>
      </c>
      <c r="J166" s="3355">
        <f>J164*J165</f>
        <v>0</v>
      </c>
      <c r="K166" s="3356"/>
      <c r="M166" s="3334">
        <f>+M164</f>
        <v>1012000</v>
      </c>
      <c r="N166" s="3335"/>
      <c r="P166" s="3355">
        <f>P164*P165</f>
        <v>6414264</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1012000</v>
      </c>
      <c r="N168" s="3356"/>
      <c r="P168" s="3355">
        <f>P166*P167</f>
        <v>6414264</v>
      </c>
      <c r="Q168" s="3356"/>
      <c r="V168" s="849"/>
      <c r="W168" s="3342"/>
      <c r="X168" s="3343"/>
      <c r="AZ168" s="1968"/>
      <c r="BA168" s="1706">
        <v>168</v>
      </c>
    </row>
    <row r="169" spans="1:53" s="144" customFormat="1" ht="14.1" customHeight="1">
      <c r="B169" s="144" t="s">
        <v>1896</v>
      </c>
      <c r="J169" s="3421">
        <v>0.09</v>
      </c>
      <c r="K169" s="3422"/>
      <c r="M169" s="3421">
        <v>0.04</v>
      </c>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40480</v>
      </c>
      <c r="N170" s="3427"/>
      <c r="P170" s="3426">
        <f>P168*P169</f>
        <v>577283.76</v>
      </c>
      <c r="Q170" s="3427"/>
      <c r="V170" s="856"/>
      <c r="W170" s="3349"/>
      <c r="X170" s="3350"/>
      <c r="AZ170" s="1968"/>
      <c r="BA170" s="1706">
        <v>170</v>
      </c>
    </row>
    <row r="171" spans="1:53" s="144" customFormat="1" ht="14.1" customHeight="1" thickBot="1">
      <c r="B171" s="243" t="s">
        <v>1339</v>
      </c>
      <c r="J171" s="3314">
        <f>ROUNDDOWN(J170+M170+P170,0)</f>
        <v>617763</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8102254</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1288647</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6813607</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681360.7</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1.35</v>
      </c>
      <c r="K182" s="3441"/>
      <c r="L182" s="3442"/>
      <c r="M182" s="248" t="s">
        <v>1212</v>
      </c>
      <c r="N182" s="3443">
        <v>0.83</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504711</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500000</v>
      </c>
      <c r="K187" s="3446"/>
      <c r="L187" s="3447"/>
      <c r="Q187" s="147" t="s">
        <v>6247</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500000</v>
      </c>
      <c r="K189" s="3446"/>
      <c r="L189" s="3447"/>
      <c r="M189" s="3430" t="str">
        <f>IF(J187=0,"",IF(J189&gt;J187,"Request can't exceed Maximum - REVISE (Try Round Down)!",""))</f>
        <v/>
      </c>
      <c r="N189" s="3430"/>
      <c r="O189" s="3430"/>
      <c r="P189" s="3430"/>
      <c r="Q189" s="241" t="s">
        <v>6543</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500000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7112</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Hillmont Apartments  -  Lake Park  -  Lowndes,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13" sqref="O13:Q2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Hillmont Apartments, Lake Park, Lowndes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South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6947</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1491</v>
      </c>
      <c r="E12" s="3528"/>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c r="K13" s="1267"/>
      <c r="L13" s="1268"/>
      <c r="M13" s="1268"/>
      <c r="O13" s="3540" t="s">
        <v>3275</v>
      </c>
      <c r="P13" s="3540"/>
      <c r="Q13" s="3540"/>
    </row>
    <row r="14" spans="1:25" s="6" customFormat="1" ht="12" customHeight="1">
      <c r="B14" s="1275" t="s">
        <v>1493</v>
      </c>
      <c r="C14" s="1276"/>
      <c r="D14" s="3547" t="s">
        <v>1491</v>
      </c>
      <c r="E14" s="3548"/>
      <c r="F14" s="208" t="s">
        <v>416</v>
      </c>
      <c r="G14" s="208"/>
      <c r="H14" s="203"/>
      <c r="I14" s="1267"/>
      <c r="J14" s="1267"/>
      <c r="K14" s="1267"/>
      <c r="L14" s="1268"/>
      <c r="M14" s="1268"/>
      <c r="O14" s="3540"/>
      <c r="P14" s="3540"/>
      <c r="Q14" s="3540"/>
    </row>
    <row r="15" spans="1:25" s="6" customFormat="1" ht="12" customHeight="1">
      <c r="B15" s="1277" t="s">
        <v>440</v>
      </c>
      <c r="C15" s="1278"/>
      <c r="D15" s="1277" t="s">
        <v>1491</v>
      </c>
      <c r="E15" s="204"/>
      <c r="F15" s="208" t="s">
        <v>416</v>
      </c>
      <c r="G15" s="208"/>
      <c r="H15" s="802"/>
      <c r="I15" s="1267"/>
      <c r="J15" s="1267"/>
      <c r="K15" s="1267"/>
      <c r="L15" s="1268"/>
      <c r="M15" s="1268"/>
      <c r="O15" s="3540"/>
      <c r="P15" s="3540"/>
      <c r="Q15" s="3540"/>
    </row>
    <row r="16" spans="1:25" s="6" customFormat="1" ht="12" customHeight="1">
      <c r="B16" s="1279" t="s">
        <v>3269</v>
      </c>
      <c r="C16" s="1274"/>
      <c r="D16" s="1273" t="s">
        <v>1491</v>
      </c>
      <c r="E16" s="801"/>
      <c r="F16" s="208" t="s">
        <v>416</v>
      </c>
      <c r="G16" s="208"/>
      <c r="H16" s="803"/>
      <c r="I16" s="1267"/>
      <c r="J16" s="1267"/>
      <c r="K16" s="1267"/>
      <c r="L16" s="1268"/>
      <c r="M16" s="1268"/>
      <c r="O16" s="3540"/>
      <c r="P16" s="3540"/>
      <c r="Q16" s="3540"/>
    </row>
    <row r="17" spans="1:25" s="6" customFormat="1" ht="12" customHeight="1">
      <c r="B17" s="1279" t="s">
        <v>3270</v>
      </c>
      <c r="C17" s="1274"/>
      <c r="D17" s="1273" t="s">
        <v>1491</v>
      </c>
      <c r="E17" s="801"/>
      <c r="F17" s="208" t="s">
        <v>416</v>
      </c>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c r="K18" s="1267"/>
      <c r="L18" s="1268"/>
      <c r="M18" s="1268"/>
      <c r="O18" s="3540"/>
      <c r="P18" s="3540"/>
      <c r="Q18" s="3540"/>
    </row>
    <row r="19" spans="1:25" s="6" customFormat="1" ht="12" customHeight="1">
      <c r="B19" s="1277" t="s">
        <v>1292</v>
      </c>
      <c r="C19" s="1278"/>
      <c r="D19" s="1283" t="s">
        <v>3076</v>
      </c>
      <c r="E19" s="1265" t="s">
        <v>2649</v>
      </c>
      <c r="F19" s="208" t="s">
        <v>416</v>
      </c>
      <c r="G19" s="208"/>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t="s">
        <v>7107</v>
      </c>
      <c r="D21" s="3550"/>
      <c r="E21" s="3551"/>
      <c r="F21" s="209"/>
      <c r="G21" s="209"/>
      <c r="H21" s="805"/>
      <c r="I21" s="1269"/>
      <c r="J21" s="1269">
        <v>129</v>
      </c>
      <c r="K21" s="1269">
        <v>149</v>
      </c>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129</v>
      </c>
      <c r="K22" s="119">
        <f>IF(SUM(K12:K21)=0,0,IF(OR($D12="&lt;&lt;Select Fuel &gt;&gt;",$D13="&lt;&lt;Select Fuel &gt;&gt;",$D14="&lt;&lt;Select Fuel &gt;&gt;"),"Select Fuel",IF($E19="&lt;Select&gt;","Submeter?",SUM(K12:K21))))</f>
        <v>149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117" customHeight="1">
      <c r="B43" s="3541" t="s">
        <v>7063</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Kurrie</cp:lastModifiedBy>
  <cp:lastPrinted>2023-04-28T17:11:20Z</cp:lastPrinted>
  <dcterms:created xsi:type="dcterms:W3CDTF">2005-09-15T20:51:37Z</dcterms:created>
  <dcterms:modified xsi:type="dcterms:W3CDTF">2023-05-18T17:39:47Z</dcterms:modified>
</cp:coreProperties>
</file>