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I:\WIP-Development\Z-Temporary Holding Bin\GA, Douglas, 4947 Stewart Mill Road\07.Financing\E.LIHTC\2.Full App\2023-0xxPksDougAppFldr\"/>
    </mc:Choice>
  </mc:AlternateContent>
  <xr:revisionPtr revIDLastSave="0" documentId="13_ncr:1_{8D05A3F0-9231-4576-88E0-D3F0B740993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8680" yWindow="-18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5" i="78" l="1"/>
  <c r="J33" i="75"/>
  <c r="J32" i="75"/>
  <c r="J31" i="75"/>
  <c r="J30" i="75"/>
  <c r="J29" i="75"/>
  <c r="J28" i="75"/>
  <c r="J27" i="75"/>
  <c r="J26" i="75"/>
  <c r="J25" i="75"/>
  <c r="J24" i="75"/>
  <c r="J23" i="75"/>
  <c r="J22" i="75"/>
  <c r="J21" i="75"/>
  <c r="J19" i="75"/>
  <c r="J36" i="75"/>
  <c r="J37" i="75"/>
  <c r="J38" i="75"/>
  <c r="J39" i="75"/>
  <c r="J40" i="75"/>
  <c r="J41" i="75"/>
  <c r="J42" i="75"/>
  <c r="J43" i="75"/>
  <c r="J44" i="75"/>
  <c r="J45" i="75"/>
  <c r="J46" i="75"/>
  <c r="J47" i="75"/>
  <c r="F245" i="75"/>
  <c r="F230" i="75"/>
  <c r="K174" i="75"/>
  <c r="P41" i="68"/>
  <c r="AK1600" i="103" l="1"/>
  <c r="AL1600" i="103"/>
  <c r="AM1600" i="103"/>
  <c r="AG1600" i="103"/>
  <c r="AQ430" i="102"/>
  <c r="AQ1581" i="103" s="1"/>
  <c r="AQ1582"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O122" i="102"/>
  <c r="P86" i="102"/>
  <c r="P1237" i="103" s="1"/>
  <c r="O86" i="102"/>
  <c r="O1237" i="103" s="1"/>
  <c r="O1273" i="103" l="1"/>
  <c r="O179" i="102"/>
  <c r="P1273" i="103"/>
  <c r="P179" i="102"/>
  <c r="E31" i="102"/>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O299" i="102"/>
  <c r="O123" i="102"/>
  <c r="L123" i="102" s="1"/>
  <c r="P123" i="102"/>
  <c r="V176" i="72"/>
  <c r="V177" i="72"/>
  <c r="P1248" i="103"/>
  <c r="O1248" i="103"/>
  <c r="P94" i="102"/>
  <c r="P1245" i="103" s="1"/>
  <c r="O94" i="102"/>
  <c r="O1245" i="103" s="1"/>
  <c r="P68" i="102"/>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19" i="103" l="1"/>
  <c r="O66" i="102"/>
  <c r="O1217" i="103" s="1"/>
  <c r="P1219" i="103"/>
  <c r="P66" i="102"/>
  <c r="P1217" i="103" s="1"/>
  <c r="BG1573" i="103" s="1"/>
  <c r="R312" i="102"/>
  <c r="O1463" i="103"/>
  <c r="BF432" i="102"/>
  <c r="P1351" i="103"/>
  <c r="BF1583" i="103" s="1"/>
  <c r="E21" i="102"/>
  <c r="E1172" i="103" s="1"/>
  <c r="O1351" i="103"/>
  <c r="E34" i="102"/>
  <c r="C1187" i="103"/>
  <c r="AH449" i="102"/>
  <c r="AH1600" i="103" s="1"/>
  <c r="AJ449" i="102"/>
  <c r="AJ1600" i="103" s="1"/>
  <c r="AI449" i="102"/>
  <c r="AI1600"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4" i="103" l="1"/>
  <c r="M523" i="103"/>
  <c r="M517" i="103"/>
  <c r="M529" i="103"/>
  <c r="N526" i="103"/>
  <c r="M618" i="103"/>
  <c r="M535" i="103"/>
  <c r="M526" i="103"/>
  <c r="L618" i="103"/>
  <c r="Q608" i="103"/>
  <c r="Q607" i="103"/>
  <c r="Q609" i="103"/>
  <c r="Q612"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B25" i="100"/>
  <c r="F15" i="85" l="1"/>
  <c r="D16" i="83"/>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94" i="103"/>
  <c r="L494" i="103" s="1"/>
  <c r="M494" i="103" s="1"/>
  <c r="J493" i="103"/>
  <c r="L493" i="103" s="1"/>
  <c r="M493" i="103" s="1"/>
  <c r="J492" i="103"/>
  <c r="L492" i="103" s="1"/>
  <c r="M492" i="103" s="1"/>
  <c r="J491" i="103"/>
  <c r="L491" i="103" s="1"/>
  <c r="M491" i="103" s="1"/>
  <c r="J490" i="103"/>
  <c r="L490" i="103" s="1"/>
  <c r="M490" i="103" s="1"/>
  <c r="J489" i="103"/>
  <c r="L489" i="103" s="1"/>
  <c r="M489" i="103" s="1"/>
  <c r="J488" i="103"/>
  <c r="L488" i="103" s="1"/>
  <c r="M488" i="103" s="1"/>
  <c r="J487" i="103"/>
  <c r="L487" i="103" s="1"/>
  <c r="M487" i="103" s="1"/>
  <c r="J486" i="103"/>
  <c r="L486" i="103" s="1"/>
  <c r="M486" i="103" s="1"/>
  <c r="J485" i="103"/>
  <c r="L485" i="103" s="1"/>
  <c r="M485" i="103" s="1"/>
  <c r="J484" i="103"/>
  <c r="L484" i="103" s="1"/>
  <c r="M484" i="103" s="1"/>
  <c r="J483" i="103"/>
  <c r="L483" i="103" s="1"/>
  <c r="M483" i="103" s="1"/>
  <c r="J35" i="75"/>
  <c r="J482" i="103" s="1"/>
  <c r="L482" i="103" s="1"/>
  <c r="M482" i="103" s="1"/>
  <c r="J34" i="75"/>
  <c r="J481" i="103" s="1"/>
  <c r="L481" i="103" s="1"/>
  <c r="M481" i="103" s="1"/>
  <c r="J480" i="103"/>
  <c r="L480" i="103" s="1"/>
  <c r="M480" i="103" s="1"/>
  <c r="J479" i="103"/>
  <c r="L479" i="103" s="1"/>
  <c r="M479" i="103" s="1"/>
  <c r="J478" i="103"/>
  <c r="L478" i="103" s="1"/>
  <c r="M478" i="103" s="1"/>
  <c r="J477" i="103"/>
  <c r="L477" i="103" s="1"/>
  <c r="M477" i="103" s="1"/>
  <c r="J476" i="103"/>
  <c r="L476" i="103" s="1"/>
  <c r="M476" i="103" s="1"/>
  <c r="J475" i="103"/>
  <c r="L475" i="103" s="1"/>
  <c r="M475" i="103" s="1"/>
  <c r="J474" i="103"/>
  <c r="L474" i="103" s="1"/>
  <c r="M474"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84" i="103"/>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473" i="103" s="1"/>
  <c r="L473" i="103" s="1"/>
  <c r="M473" i="103" s="1"/>
  <c r="K22" i="76"/>
  <c r="J22" i="76"/>
  <c r="J471" i="103" s="1"/>
  <c r="L471" i="103" s="1"/>
  <c r="M471"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J466" i="103" l="1"/>
  <c r="L466" i="103" s="1"/>
  <c r="M466" i="103" s="1"/>
  <c r="J472" i="103"/>
  <c r="L472" i="103" s="1"/>
  <c r="M472" i="103" s="1"/>
  <c r="J469" i="103"/>
  <c r="L469" i="103" s="1"/>
  <c r="M469" i="103" s="1"/>
  <c r="J18" i="75"/>
  <c r="J465" i="103" s="1"/>
  <c r="L465" i="103" s="1"/>
  <c r="M465"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14" i="87"/>
  <c r="B34" i="87"/>
  <c r="B11" i="87"/>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D10" i="86"/>
  <c r="F55" i="78"/>
  <c r="B5" i="92"/>
  <c r="J468" i="103"/>
  <c r="L468" i="103" s="1"/>
  <c r="M468" i="103" s="1"/>
  <c r="F40" i="78"/>
  <c r="F38" i="78"/>
  <c r="J470" i="103"/>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J739" i="103"/>
  <c r="B739" i="103"/>
  <c r="B44" i="74"/>
  <c r="B751" i="103" s="1"/>
  <c r="F771" i="103"/>
  <c r="F739" i="103"/>
  <c r="D771" i="103"/>
  <c r="E771" i="103"/>
  <c r="E739" i="103"/>
  <c r="G739" i="103"/>
  <c r="K739" i="103"/>
  <c r="H739" i="103"/>
  <c r="I739" i="103"/>
  <c r="D739" i="103"/>
  <c r="C771" i="103"/>
  <c r="B771" i="103"/>
  <c r="B798" i="103"/>
  <c r="B766" i="103"/>
  <c r="E828" i="103"/>
  <c r="B828" i="103"/>
  <c r="J798" i="103"/>
  <c r="F734" i="103"/>
  <c r="J766" i="103"/>
  <c r="E734" i="103"/>
  <c r="J734" i="103"/>
  <c r="C734" i="103"/>
  <c r="D798" i="103"/>
  <c r="F828" i="103"/>
  <c r="D828" i="103"/>
  <c r="G766" i="103"/>
  <c r="G734" i="103"/>
  <c r="D766" i="103"/>
  <c r="H798" i="103"/>
  <c r="B734" i="103"/>
  <c r="B41" i="74"/>
  <c r="C75" i="100"/>
  <c r="F798" i="103"/>
  <c r="K734" i="103"/>
  <c r="H766" i="103"/>
  <c r="E798" i="103"/>
  <c r="F766" i="103"/>
  <c r="I734" i="103"/>
  <c r="E766" i="103"/>
  <c r="I798" i="103"/>
  <c r="G798" i="103"/>
  <c r="C798" i="103"/>
  <c r="D734" i="103"/>
  <c r="I766" i="103"/>
  <c r="K766" i="103"/>
  <c r="K733" i="103"/>
  <c r="J797" i="103"/>
  <c r="C77" i="100"/>
  <c r="I75" i="100"/>
  <c r="I77" i="100" s="1"/>
  <c r="G75" i="100"/>
  <c r="G77" i="100" s="1"/>
  <c r="E75" i="100"/>
  <c r="E77" i="100" s="1"/>
  <c r="K75" i="100"/>
  <c r="K77" i="100"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1" i="74"/>
  <c r="C14" i="86"/>
  <c r="K164" i="75"/>
  <c r="P159" i="75"/>
  <c r="M100" i="75"/>
  <c r="C54" i="86"/>
  <c r="P94" i="75"/>
  <c r="P120" i="75"/>
  <c r="K121" i="75"/>
  <c r="D24" i="74"/>
  <c r="D731" i="103" s="1"/>
  <c r="E14" i="74"/>
  <c r="P138" i="75"/>
  <c r="M147" i="75"/>
  <c r="P136" i="75"/>
  <c r="O164" i="75"/>
  <c r="O166" i="75" s="1"/>
  <c r="O168" i="75" s="1"/>
  <c r="P108" i="75"/>
  <c r="P93" i="75"/>
  <c r="J164" i="78"/>
  <c r="J166" i="78" s="1"/>
  <c r="E3" i="86"/>
  <c r="P139" i="75"/>
  <c r="P114" i="75"/>
  <c r="G14" i="86"/>
  <c r="B748" i="103" l="1"/>
  <c r="C11" i="86"/>
  <c r="C41" i="74"/>
  <c r="C81" i="100"/>
  <c r="C80" i="100"/>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H7" i="100" l="1"/>
  <c r="E27" i="89" s="1"/>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65" i="75"/>
  <c r="E13" i="84"/>
  <c r="G14" i="74"/>
  <c r="F24" i="74"/>
  <c r="F731" i="103" s="1"/>
  <c r="K168" i="75"/>
  <c r="P168" i="75" s="1"/>
  <c r="P166" i="75"/>
  <c r="O19" i="86"/>
  <c r="O23" i="86" s="1"/>
  <c r="O25" i="86" s="1"/>
  <c r="O31" i="86" s="1"/>
  <c r="G21" i="86"/>
  <c r="F22" i="86"/>
  <c r="B722" i="103" l="1"/>
  <c r="P280" i="103"/>
  <c r="P281" i="103" s="1"/>
  <c r="P283" i="103" s="1"/>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J284" i="103" l="1"/>
  <c r="G722" i="103"/>
  <c r="B723" i="103"/>
  <c r="E722" i="103"/>
  <c r="D722" i="103"/>
  <c r="C722" i="103"/>
  <c r="F722" i="103"/>
  <c r="E748" i="103"/>
  <c r="F41" i="74"/>
  <c r="F11" i="86"/>
  <c r="Q243" i="75"/>
  <c r="Q681" i="103" s="1"/>
  <c r="N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Q235" i="75"/>
  <c r="C66" i="84"/>
  <c r="E66" i="84" s="1"/>
  <c r="E174" i="90"/>
  <c r="E175" i="90" s="1"/>
  <c r="L103" i="72"/>
  <c r="L113" i="72"/>
  <c r="L378" i="72"/>
  <c r="K225" i="72"/>
  <c r="B23" i="74"/>
  <c r="P48" i="78"/>
  <c r="J48" i="78"/>
  <c r="J57" i="78"/>
  <c r="H31" i="74"/>
  <c r="J365" i="72"/>
  <c r="J366" i="72" s="1"/>
  <c r="M442" i="72"/>
  <c r="E343" i="73"/>
  <c r="N343" i="73" s="1"/>
  <c r="H40" i="74"/>
  <c r="H747" i="103" s="1"/>
  <c r="L89" i="72"/>
  <c r="K52" i="84"/>
  <c r="I52" i="84"/>
  <c r="E52" i="84"/>
  <c r="B17" i="74"/>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Q682" i="103" l="1"/>
  <c r="AD238" i="103"/>
  <c r="AF238" i="103" s="1"/>
  <c r="N235" i="75"/>
  <c r="H53" i="82"/>
  <c r="H738" i="103"/>
  <c r="H722" i="103"/>
  <c r="F723" i="103"/>
  <c r="C723" i="103"/>
  <c r="E723" i="103"/>
  <c r="D723" i="103"/>
  <c r="B724" i="103"/>
  <c r="B22" i="74"/>
  <c r="K8" i="74" s="1"/>
  <c r="K715" i="103" s="1"/>
  <c r="G723" i="103"/>
  <c r="B730" i="103"/>
  <c r="F748" i="103"/>
  <c r="G41" i="74"/>
  <c r="G11" i="86"/>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B20" i="74"/>
  <c r="G66" i="84"/>
  <c r="K66" i="84"/>
  <c r="H23" i="74"/>
  <c r="I23" i="74"/>
  <c r="I730" i="103" s="1"/>
  <c r="C23" i="74"/>
  <c r="C13" i="86"/>
  <c r="D23" i="74"/>
  <c r="G23" i="74"/>
  <c r="P57" i="78"/>
  <c r="K13" i="84"/>
  <c r="M366" i="72"/>
  <c r="M367" i="72" s="1"/>
  <c r="G54" i="78"/>
  <c r="I56" i="84"/>
  <c r="I64" i="84" s="1"/>
  <c r="I40" i="74"/>
  <c r="I747" i="103" s="1"/>
  <c r="C17" i="74"/>
  <c r="C54" i="84"/>
  <c r="C56" i="84" s="1"/>
  <c r="C64" i="84" s="1"/>
  <c r="K6" i="74"/>
  <c r="K713" i="103" s="1"/>
  <c r="L4" i="95"/>
  <c r="J4" i="91"/>
  <c r="D17" i="74"/>
  <c r="K53" i="84"/>
  <c r="K54" i="84" s="1"/>
  <c r="K56" i="84" s="1"/>
  <c r="K64" i="84" s="1"/>
  <c r="G53" i="84"/>
  <c r="G54" i="84" s="1"/>
  <c r="E17" i="74"/>
  <c r="E53" i="84"/>
  <c r="E54" i="84" s="1"/>
  <c r="E56" i="84" s="1"/>
  <c r="E64" i="84" s="1"/>
  <c r="F17" i="74"/>
  <c r="P97" i="72"/>
  <c r="AF125" i="78"/>
  <c r="AH125" i="78" s="1"/>
  <c r="H19" i="84"/>
  <c r="AF122" i="78"/>
  <c r="H17" i="74"/>
  <c r="I53" i="82"/>
  <c r="J31" i="74"/>
  <c r="J738" i="103" s="1"/>
  <c r="I24" i="74"/>
  <c r="I731" i="103" s="1"/>
  <c r="J14" i="74"/>
  <c r="I16" i="74"/>
  <c r="I723" i="103" s="1"/>
  <c r="I15" i="74"/>
  <c r="I722" i="103" l="1"/>
  <c r="H724" i="103"/>
  <c r="H22" i="74"/>
  <c r="H729" i="103" s="1"/>
  <c r="F724" i="103"/>
  <c r="F22" i="74"/>
  <c r="F729" i="103" s="1"/>
  <c r="E724" i="103"/>
  <c r="E22" i="74"/>
  <c r="E729" i="103" s="1"/>
  <c r="D724" i="103"/>
  <c r="D22" i="74"/>
  <c r="D729" i="103" s="1"/>
  <c r="C724" i="103"/>
  <c r="C22" i="74"/>
  <c r="C729" i="103" s="1"/>
  <c r="G724" i="103"/>
  <c r="G22" i="74"/>
  <c r="G729" i="103" s="1"/>
  <c r="Q667" i="103"/>
  <c r="B729" i="103"/>
  <c r="Q220" i="75"/>
  <c r="G730" i="103"/>
  <c r="D730" i="103"/>
  <c r="C730" i="103"/>
  <c r="H730" i="103"/>
  <c r="E730" i="103"/>
  <c r="F730" i="103"/>
  <c r="G748" i="103"/>
  <c r="H41" i="74"/>
  <c r="I11" i="86"/>
  <c r="H11" i="86"/>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H20" i="74"/>
  <c r="H727" i="103" s="1"/>
  <c r="I724" i="103" l="1"/>
  <c r="I22" i="74"/>
  <c r="J722" i="103"/>
  <c r="C68" i="84"/>
  <c r="Q228" i="75"/>
  <c r="O222" i="75"/>
  <c r="O221" i="75"/>
  <c r="Q675" i="103"/>
  <c r="O669" i="103"/>
  <c r="O668" i="103"/>
  <c r="H742" i="103"/>
  <c r="G35" i="74"/>
  <c r="F742" i="103"/>
  <c r="D742" i="103"/>
  <c r="E742" i="103"/>
  <c r="B742" i="103"/>
  <c r="B35" i="74"/>
  <c r="G742" i="103"/>
  <c r="H748" i="103"/>
  <c r="I41" i="74"/>
  <c r="C727" i="103"/>
  <c r="E240" i="103"/>
  <c r="I72" i="100"/>
  <c r="I76" i="100"/>
  <c r="I73" i="100" s="1"/>
  <c r="G72" i="100"/>
  <c r="G76" i="100"/>
  <c r="G73" i="100" s="1"/>
  <c r="K72" i="100"/>
  <c r="K76" i="100"/>
  <c r="K73" i="100" s="1"/>
  <c r="E72" i="100"/>
  <c r="E76" i="100"/>
  <c r="E73" i="100" s="1"/>
  <c r="P91" i="72"/>
  <c r="O442" i="72"/>
  <c r="D30" i="86"/>
  <c r="Y37" i="72"/>
  <c r="X37" i="72"/>
  <c r="AD37" i="72"/>
  <c r="AE37" i="72"/>
  <c r="K40" i="74"/>
  <c r="K747" i="103" s="1"/>
  <c r="I20" i="74"/>
  <c r="I727" i="103" s="1"/>
  <c r="K24" i="74"/>
  <c r="K731" i="103" s="1"/>
  <c r="B46" i="74"/>
  <c r="K15" i="74"/>
  <c r="K16" i="74"/>
  <c r="K723" i="103" s="1"/>
  <c r="K23" i="74"/>
  <c r="K730" i="103" s="1"/>
  <c r="D33" i="86"/>
  <c r="B63" i="74"/>
  <c r="B770" i="103" s="1"/>
  <c r="K53" i="82"/>
  <c r="J17" i="74"/>
  <c r="J724" i="103" l="1"/>
  <c r="J22" i="74"/>
  <c r="K722" i="103"/>
  <c r="P676" i="103"/>
  <c r="N675" i="103"/>
  <c r="Q694" i="103"/>
  <c r="F131" i="78"/>
  <c r="F244" i="103" s="1"/>
  <c r="F130" i="78"/>
  <c r="F243" i="103" s="1"/>
  <c r="B21" i="74"/>
  <c r="B53" i="74" s="1"/>
  <c r="Q247" i="75"/>
  <c r="N228" i="75"/>
  <c r="P229" i="75"/>
  <c r="K68" i="84"/>
  <c r="K70" i="84" s="1"/>
  <c r="E68" i="84"/>
  <c r="E70" i="84" s="1"/>
  <c r="I68" i="84"/>
  <c r="I70" i="84" s="1"/>
  <c r="G68" i="84"/>
  <c r="G70" i="84" s="1"/>
  <c r="C70" i="84"/>
  <c r="I729" i="103"/>
  <c r="H35" i="74"/>
  <c r="I742" i="103"/>
  <c r="F35" i="74"/>
  <c r="D35" i="74"/>
  <c r="E35" i="74"/>
  <c r="C742" i="103"/>
  <c r="C35" i="74"/>
  <c r="I748" i="103"/>
  <c r="J41" i="74"/>
  <c r="C31" i="86"/>
  <c r="E30" i="86"/>
  <c r="B72" i="74"/>
  <c r="B779" i="103" s="1"/>
  <c r="J20" i="74"/>
  <c r="J727" i="103" s="1"/>
  <c r="K17" i="74"/>
  <c r="C46" i="74"/>
  <c r="B56" i="74"/>
  <c r="B48" i="74"/>
  <c r="B755" i="103" s="1"/>
  <c r="B47" i="74"/>
  <c r="B55" i="74"/>
  <c r="B762" i="103" s="1"/>
  <c r="C63" i="74"/>
  <c r="C770" i="103" s="1"/>
  <c r="B73" i="82"/>
  <c r="E33" i="86"/>
  <c r="B754" i="103" l="1"/>
  <c r="K724" i="103"/>
  <c r="K22" i="74"/>
  <c r="C72" i="84"/>
  <c r="C76" i="84"/>
  <c r="C73" i="84" s="1"/>
  <c r="G76" i="84"/>
  <c r="G73" i="84" s="1"/>
  <c r="G72" i="84"/>
  <c r="I76" i="84"/>
  <c r="I73" i="84" s="1"/>
  <c r="I72" i="84"/>
  <c r="E76" i="84"/>
  <c r="E73" i="84" s="1"/>
  <c r="E72" i="84"/>
  <c r="K72" i="84"/>
  <c r="K76" i="84"/>
  <c r="K73" i="84" s="1"/>
  <c r="B728" i="103"/>
  <c r="E21" i="74"/>
  <c r="D21" i="74"/>
  <c r="C21" i="74"/>
  <c r="F21" i="74"/>
  <c r="G21" i="74"/>
  <c r="H21" i="74"/>
  <c r="B39" i="74"/>
  <c r="I21" i="74"/>
  <c r="B25" i="74"/>
  <c r="J21" i="74"/>
  <c r="J728" i="103" s="1"/>
  <c r="K21" i="74"/>
  <c r="K728" i="103" s="1"/>
  <c r="J729" i="103"/>
  <c r="B760" i="103"/>
  <c r="J742" i="103"/>
  <c r="I35" i="74"/>
  <c r="J748" i="103"/>
  <c r="K41" i="74"/>
  <c r="D31" i="86"/>
  <c r="F30" i="86"/>
  <c r="C72" i="74"/>
  <c r="C779" i="103" s="1"/>
  <c r="C73" i="82"/>
  <c r="D63" i="74"/>
  <c r="D770" i="103" s="1"/>
  <c r="C48" i="74"/>
  <c r="C755" i="103" s="1"/>
  <c r="C56" i="74"/>
  <c r="D46" i="74"/>
  <c r="C47" i="74"/>
  <c r="C53" i="74"/>
  <c r="C55" i="74"/>
  <c r="C762" i="103" s="1"/>
  <c r="B49" i="74"/>
  <c r="F33" i="86"/>
  <c r="K20" i="74"/>
  <c r="K727" i="103" s="1"/>
  <c r="J25" i="74" l="1"/>
  <c r="J34" i="74" s="1"/>
  <c r="J39" i="74"/>
  <c r="B756" i="103"/>
  <c r="B54" i="74"/>
  <c r="C754" i="103"/>
  <c r="J746" i="103"/>
  <c r="J732" i="103"/>
  <c r="B44" i="82"/>
  <c r="B33" i="74"/>
  <c r="B34" i="74"/>
  <c r="B38" i="74"/>
  <c r="I728" i="103"/>
  <c r="I39" i="74"/>
  <c r="I25" i="74"/>
  <c r="H728" i="103"/>
  <c r="H39" i="74"/>
  <c r="H25" i="74"/>
  <c r="G728" i="103"/>
  <c r="G39" i="74"/>
  <c r="G25" i="74"/>
  <c r="F728" i="103"/>
  <c r="F39" i="74"/>
  <c r="F25" i="74"/>
  <c r="C728" i="103"/>
  <c r="C39" i="74"/>
  <c r="C25" i="74"/>
  <c r="D728" i="103"/>
  <c r="D39" i="74"/>
  <c r="D25" i="74"/>
  <c r="E728" i="103"/>
  <c r="E39" i="74"/>
  <c r="E25" i="74"/>
  <c r="B732" i="103"/>
  <c r="B746" i="103"/>
  <c r="K729" i="103"/>
  <c r="K39" i="74"/>
  <c r="C760" i="103"/>
  <c r="K742" i="103"/>
  <c r="J35" i="74"/>
  <c r="K748" i="103"/>
  <c r="B73" i="74"/>
  <c r="E31" i="86"/>
  <c r="G30" i="86"/>
  <c r="D72" i="74"/>
  <c r="D779" i="103" s="1"/>
  <c r="E46" i="74"/>
  <c r="D56" i="74"/>
  <c r="D48" i="74"/>
  <c r="D755" i="103" s="1"/>
  <c r="D47" i="74"/>
  <c r="D53" i="74"/>
  <c r="D55" i="74"/>
  <c r="D762" i="103" s="1"/>
  <c r="E63" i="74"/>
  <c r="E770" i="103" s="1"/>
  <c r="D73" i="82"/>
  <c r="G33" i="86"/>
  <c r="K25" i="74"/>
  <c r="B52" i="74"/>
  <c r="B759" i="103" s="1"/>
  <c r="C49" i="74"/>
  <c r="J44" i="82" l="1"/>
  <c r="J46" i="82" s="1"/>
  <c r="J33" i="74"/>
  <c r="D29" i="86" s="1"/>
  <c r="D37" i="86" s="1"/>
  <c r="D38" i="86" s="1"/>
  <c r="D40" i="86" s="1"/>
  <c r="D44" i="86" s="1"/>
  <c r="K14" i="86" s="1"/>
  <c r="J38" i="74"/>
  <c r="C756" i="103"/>
  <c r="C54" i="74"/>
  <c r="D754" i="103"/>
  <c r="K732" i="103"/>
  <c r="K746" i="103"/>
  <c r="B740" i="103"/>
  <c r="B745" i="103"/>
  <c r="B741" i="103"/>
  <c r="E34" i="74"/>
  <c r="E38" i="74"/>
  <c r="E33" i="74"/>
  <c r="F9" i="86" s="1"/>
  <c r="F17" i="86" s="1"/>
  <c r="F18" i="86" s="1"/>
  <c r="F20" i="86" s="1"/>
  <c r="F24" i="86" s="1"/>
  <c r="K9" i="86" s="1"/>
  <c r="E44" i="82"/>
  <c r="E732" i="103"/>
  <c r="E746" i="103"/>
  <c r="D34" i="74"/>
  <c r="D38" i="74"/>
  <c r="D44" i="82"/>
  <c r="D33" i="74"/>
  <c r="E9" i="86" s="1"/>
  <c r="E17" i="86" s="1"/>
  <c r="E18" i="86" s="1"/>
  <c r="E20" i="86" s="1"/>
  <c r="E24" i="86" s="1"/>
  <c r="K8" i="86" s="1"/>
  <c r="D732" i="103"/>
  <c r="D746" i="103"/>
  <c r="C44" i="82"/>
  <c r="C34" i="74"/>
  <c r="C38" i="74"/>
  <c r="C746" i="103"/>
  <c r="C732" i="103"/>
  <c r="F34" i="74"/>
  <c r="F38" i="74"/>
  <c r="F44" i="82"/>
  <c r="F33" i="74"/>
  <c r="G9" i="86" s="1"/>
  <c r="G17" i="86" s="1"/>
  <c r="G18" i="86" s="1"/>
  <c r="G20" i="86" s="1"/>
  <c r="G24" i="86" s="1"/>
  <c r="K10" i="86" s="1"/>
  <c r="F732" i="103"/>
  <c r="F746" i="103"/>
  <c r="G34" i="74"/>
  <c r="G38" i="74"/>
  <c r="G44" i="82"/>
  <c r="G33" i="74"/>
  <c r="H9" i="86" s="1"/>
  <c r="H17" i="86" s="1"/>
  <c r="H18" i="86" s="1"/>
  <c r="H20" i="86" s="1"/>
  <c r="H24" i="86" s="1"/>
  <c r="K11" i="86" s="1"/>
  <c r="G732" i="103"/>
  <c r="G746" i="103"/>
  <c r="H34" i="74"/>
  <c r="H38" i="74"/>
  <c r="H44" i="82"/>
  <c r="H33" i="74"/>
  <c r="I9" i="86" s="1"/>
  <c r="I17" i="86" s="1"/>
  <c r="I18" i="86" s="1"/>
  <c r="I20" i="86" s="1"/>
  <c r="I24" i="86" s="1"/>
  <c r="K12" i="86" s="1"/>
  <c r="H746" i="103"/>
  <c r="H732" i="103"/>
  <c r="I34" i="74"/>
  <c r="I38" i="74"/>
  <c r="I44" i="82"/>
  <c r="I33" i="74"/>
  <c r="C29" i="86" s="1"/>
  <c r="C37" i="86" s="1"/>
  <c r="C38" i="86" s="1"/>
  <c r="C40" i="86" s="1"/>
  <c r="C44" i="86" s="1"/>
  <c r="K13" i="86" s="1"/>
  <c r="I746" i="103"/>
  <c r="I732" i="103"/>
  <c r="S21" i="74"/>
  <c r="C9" i="86"/>
  <c r="C17" i="86" s="1"/>
  <c r="C18" i="86" s="1"/>
  <c r="C20" i="86" s="1"/>
  <c r="C24" i="86" s="1"/>
  <c r="K6" i="86" s="1"/>
  <c r="G66" i="86" s="1"/>
  <c r="N92" i="85" s="1"/>
  <c r="B51" i="82"/>
  <c r="B46" i="82"/>
  <c r="J740" i="103"/>
  <c r="J745" i="103"/>
  <c r="J741" i="103"/>
  <c r="B761" i="103"/>
  <c r="B71" i="74"/>
  <c r="D760" i="103"/>
  <c r="B774" i="103"/>
  <c r="K34" i="74"/>
  <c r="K35" i="74"/>
  <c r="K38" i="74"/>
  <c r="B780" i="103"/>
  <c r="C73" i="74"/>
  <c r="G31" i="86"/>
  <c r="F31" i="86"/>
  <c r="H30" i="86"/>
  <c r="E72" i="74"/>
  <c r="E779" i="103" s="1"/>
  <c r="J51" i="82"/>
  <c r="C52" i="74"/>
  <c r="C759" i="103" s="1"/>
  <c r="E73" i="82"/>
  <c r="F63" i="74"/>
  <c r="F770" i="103" s="1"/>
  <c r="D49" i="74"/>
  <c r="B57" i="74"/>
  <c r="K44" i="82"/>
  <c r="K33" i="74"/>
  <c r="E47" i="74"/>
  <c r="E56" i="74"/>
  <c r="F46" i="74"/>
  <c r="E48" i="74"/>
  <c r="E755" i="103" s="1"/>
  <c r="E53" i="74"/>
  <c r="E55" i="74"/>
  <c r="E762" i="103" s="1"/>
  <c r="H33" i="86"/>
  <c r="E754" i="103" l="1"/>
  <c r="D756" i="103"/>
  <c r="D54" i="74"/>
  <c r="B778" i="103"/>
  <c r="B764" i="103"/>
  <c r="I740" i="103"/>
  <c r="I741" i="103"/>
  <c r="I745" i="103"/>
  <c r="I51" i="82"/>
  <c r="I46" i="82"/>
  <c r="H740" i="103"/>
  <c r="H741" i="103"/>
  <c r="H745" i="103"/>
  <c r="H51" i="82"/>
  <c r="H46" i="82"/>
  <c r="G740" i="103"/>
  <c r="G741" i="103"/>
  <c r="G745" i="103"/>
  <c r="G51" i="82"/>
  <c r="G46" i="82"/>
  <c r="F740" i="103"/>
  <c r="F745" i="103"/>
  <c r="F741" i="103"/>
  <c r="F46" i="82"/>
  <c r="F51" i="82"/>
  <c r="C741" i="103"/>
  <c r="C745" i="103"/>
  <c r="C46" i="82"/>
  <c r="C51" i="82"/>
  <c r="D740" i="103"/>
  <c r="D741" i="103"/>
  <c r="D745" i="103"/>
  <c r="D46" i="82"/>
  <c r="D51" i="82"/>
  <c r="E740" i="103"/>
  <c r="E745" i="103"/>
  <c r="E741" i="103"/>
  <c r="E46" i="82"/>
  <c r="E51" i="82"/>
  <c r="K740" i="103"/>
  <c r="K741" i="103"/>
  <c r="K745" i="103"/>
  <c r="C761" i="103"/>
  <c r="C71" i="74"/>
  <c r="E760" i="103"/>
  <c r="B66" i="74"/>
  <c r="B70" i="74"/>
  <c r="B67" i="74"/>
  <c r="C774" i="103"/>
  <c r="C780" i="103"/>
  <c r="D73" i="74"/>
  <c r="I30" i="86"/>
  <c r="F72" i="74"/>
  <c r="F779" i="103" s="1"/>
  <c r="C57" i="74"/>
  <c r="D52" i="74"/>
  <c r="D759" i="103" s="1"/>
  <c r="F56" i="74"/>
  <c r="F48" i="74"/>
  <c r="F755" i="103" s="1"/>
  <c r="F47" i="74"/>
  <c r="G46" i="74"/>
  <c r="F53" i="74"/>
  <c r="F55" i="74"/>
  <c r="F762" i="103" s="1"/>
  <c r="E49" i="74"/>
  <c r="E29" i="86"/>
  <c r="F73" i="82"/>
  <c r="G63" i="74"/>
  <c r="G770" i="103" s="1"/>
  <c r="K51" i="82"/>
  <c r="K46" i="82"/>
  <c r="I33" i="86"/>
  <c r="B64" i="82"/>
  <c r="B65" i="74"/>
  <c r="B25" i="82" l="1"/>
  <c r="E72" i="82" s="1"/>
  <c r="E756" i="103"/>
  <c r="E54" i="74"/>
  <c r="F754" i="103"/>
  <c r="C778" i="103"/>
  <c r="C764" i="103"/>
  <c r="B772" i="103"/>
  <c r="B777" i="103"/>
  <c r="B773" i="103"/>
  <c r="D761" i="103"/>
  <c r="D71" i="74"/>
  <c r="F760" i="103"/>
  <c r="D774" i="103"/>
  <c r="C70" i="74"/>
  <c r="C67" i="74"/>
  <c r="C66" i="74"/>
  <c r="D780" i="103"/>
  <c r="E73" i="74"/>
  <c r="H31" i="86"/>
  <c r="C50" i="86"/>
  <c r="G72" i="74"/>
  <c r="G779" i="103" s="1"/>
  <c r="C64" i="82"/>
  <c r="C66" i="82" s="1"/>
  <c r="C65" i="74"/>
  <c r="E52" i="74"/>
  <c r="E759" i="103" s="1"/>
  <c r="C52" i="82"/>
  <c r="C54" i="82" s="1"/>
  <c r="E37" i="86"/>
  <c r="E38" i="86" s="1"/>
  <c r="E40" i="86" s="1"/>
  <c r="E44" i="86" s="1"/>
  <c r="K15" i="86" s="1"/>
  <c r="F49" i="74"/>
  <c r="F29" i="86"/>
  <c r="H63" i="74"/>
  <c r="H770" i="103" s="1"/>
  <c r="G73" i="82"/>
  <c r="B66" i="82"/>
  <c r="B71" i="82"/>
  <c r="C53" i="86"/>
  <c r="D57" i="74"/>
  <c r="G56" i="74"/>
  <c r="G48" i="74"/>
  <c r="G755" i="103" s="1"/>
  <c r="H46" i="74"/>
  <c r="G47" i="74"/>
  <c r="G53" i="74"/>
  <c r="G55" i="74"/>
  <c r="G762" i="103" s="1"/>
  <c r="B26" i="82" l="1"/>
  <c r="B28" i="82" s="1"/>
  <c r="J52" i="82"/>
  <c r="J54" i="82" s="1"/>
  <c r="G52" i="82"/>
  <c r="G54" i="82" s="1"/>
  <c r="G55" i="82" s="1"/>
  <c r="G56" i="82" s="1"/>
  <c r="G72" i="82"/>
  <c r="E52" i="82"/>
  <c r="E54" i="82" s="1"/>
  <c r="E55" i="82" s="1"/>
  <c r="E56" i="82" s="1"/>
  <c r="H72" i="82"/>
  <c r="B72" i="82"/>
  <c r="B74" i="82" s="1"/>
  <c r="B75" i="82" s="1"/>
  <c r="C72" i="82"/>
  <c r="F52" i="82"/>
  <c r="F54" i="82" s="1"/>
  <c r="F55" i="82" s="1"/>
  <c r="F56" i="82" s="1"/>
  <c r="B52" i="82"/>
  <c r="B54" i="82" s="1"/>
  <c r="B55" i="82" s="1"/>
  <c r="B56" i="82" s="1"/>
  <c r="D52" i="82"/>
  <c r="D54" i="82" s="1"/>
  <c r="D55" i="82" s="1"/>
  <c r="D56" i="82" s="1"/>
  <c r="D72" i="82"/>
  <c r="F72" i="82"/>
  <c r="K72" i="82"/>
  <c r="H52" i="82"/>
  <c r="H54" i="82" s="1"/>
  <c r="H55" i="82" s="1"/>
  <c r="H56" i="82" s="1"/>
  <c r="I52" i="82"/>
  <c r="I54" i="82" s="1"/>
  <c r="I55" i="82" s="1"/>
  <c r="I56" i="82" s="1"/>
  <c r="K52" i="82"/>
  <c r="K54" i="82" s="1"/>
  <c r="K55" i="82" s="1"/>
  <c r="K56" i="82" s="1"/>
  <c r="I72" i="82"/>
  <c r="J72" i="82"/>
  <c r="G754" i="103"/>
  <c r="F756" i="103"/>
  <c r="F54" i="74"/>
  <c r="D778" i="103"/>
  <c r="D764" i="103"/>
  <c r="C772" i="103"/>
  <c r="C773" i="103"/>
  <c r="C777" i="103"/>
  <c r="E761" i="103"/>
  <c r="E71" i="74"/>
  <c r="G760" i="103"/>
  <c r="D66" i="74"/>
  <c r="D67" i="74"/>
  <c r="D70" i="74"/>
  <c r="E774" i="103"/>
  <c r="E780" i="103"/>
  <c r="F73" i="74"/>
  <c r="I31" i="86"/>
  <c r="D50" i="86"/>
  <c r="H72" i="74"/>
  <c r="H779" i="103" s="1"/>
  <c r="G29" i="86"/>
  <c r="G37" i="86" s="1"/>
  <c r="G38" i="86" s="1"/>
  <c r="G40" i="86" s="1"/>
  <c r="G44" i="86" s="1"/>
  <c r="K17" i="86" s="1"/>
  <c r="C71" i="82"/>
  <c r="E57" i="74"/>
  <c r="J55" i="82"/>
  <c r="J56" i="82" s="1"/>
  <c r="H73" i="82"/>
  <c r="I63" i="74"/>
  <c r="I770" i="103" s="1"/>
  <c r="H56" i="74"/>
  <c r="H47" i="74"/>
  <c r="H48" i="74"/>
  <c r="H755" i="103" s="1"/>
  <c r="I46" i="74"/>
  <c r="H53" i="74"/>
  <c r="H55" i="74"/>
  <c r="H762" i="103" s="1"/>
  <c r="D53" i="86"/>
  <c r="F52" i="74"/>
  <c r="F759" i="103" s="1"/>
  <c r="C55" i="82"/>
  <c r="C56" i="82" s="1"/>
  <c r="F37" i="86"/>
  <c r="F38" i="86" s="1"/>
  <c r="F40" i="86" s="1"/>
  <c r="F44" i="86" s="1"/>
  <c r="K16" i="86" s="1"/>
  <c r="G49" i="74"/>
  <c r="D65" i="74"/>
  <c r="D64" i="82"/>
  <c r="B9" i="82" l="1"/>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756" i="103"/>
  <c r="G54" i="74"/>
  <c r="H754" i="103"/>
  <c r="E778" i="103"/>
  <c r="E764" i="103"/>
  <c r="D772" i="103"/>
  <c r="D773" i="103"/>
  <c r="D777" i="103"/>
  <c r="F761" i="103"/>
  <c r="F71" i="74"/>
  <c r="H760" i="103"/>
  <c r="F774" i="103"/>
  <c r="E66" i="74"/>
  <c r="E67" i="74"/>
  <c r="E70" i="74"/>
  <c r="F780" i="103"/>
  <c r="G73" i="74"/>
  <c r="C51" i="86"/>
  <c r="E50" i="86"/>
  <c r="I72" i="74"/>
  <c r="I779" i="103" s="1"/>
  <c r="E64" i="82"/>
  <c r="E71" i="82" s="1"/>
  <c r="E74" i="82" s="1"/>
  <c r="E65" i="74"/>
  <c r="B76" i="82"/>
  <c r="E53" i="86"/>
  <c r="H29" i="86"/>
  <c r="J46" i="74"/>
  <c r="I56" i="74"/>
  <c r="I47" i="74"/>
  <c r="I48" i="74"/>
  <c r="I755" i="103" s="1"/>
  <c r="I53" i="74"/>
  <c r="I55" i="74"/>
  <c r="I762" i="103" s="1"/>
  <c r="D71" i="82"/>
  <c r="D74" i="82" s="1"/>
  <c r="D66" i="82"/>
  <c r="B29" i="82"/>
  <c r="G21" i="82"/>
  <c r="G52" i="74"/>
  <c r="G759" i="103" s="1"/>
  <c r="H49" i="74"/>
  <c r="J63" i="74"/>
  <c r="J770" i="103" s="1"/>
  <c r="I73" i="82"/>
  <c r="F57" i="74"/>
  <c r="H756" i="103" l="1"/>
  <c r="H54" i="74"/>
  <c r="I754" i="103"/>
  <c r="F778" i="103"/>
  <c r="F764" i="103"/>
  <c r="E772" i="103"/>
  <c r="E773" i="103"/>
  <c r="E777" i="103"/>
  <c r="G761" i="103"/>
  <c r="G71" i="74"/>
  <c r="I760" i="103"/>
  <c r="F66" i="74"/>
  <c r="F67" i="74"/>
  <c r="F70" i="74"/>
  <c r="G774" i="103"/>
  <c r="G780" i="103"/>
  <c r="H73" i="74"/>
  <c r="D51" i="86"/>
  <c r="D57" i="86" s="1"/>
  <c r="D58" i="86" s="1"/>
  <c r="D60" i="86" s="1"/>
  <c r="D64" i="86" s="1"/>
  <c r="K21" i="86" s="1"/>
  <c r="F50" i="86"/>
  <c r="J72" i="74"/>
  <c r="J779" i="103" s="1"/>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J73" i="82"/>
  <c r="K63" i="74"/>
  <c r="K770" i="103" s="1"/>
  <c r="D75" i="82"/>
  <c r="D76" i="82" s="1"/>
  <c r="E75" i="82"/>
  <c r="E76" i="82" s="1"/>
  <c r="H52" i="74"/>
  <c r="H759" i="103" s="1"/>
  <c r="F53" i="86"/>
  <c r="I756" i="103" l="1"/>
  <c r="I54" i="74"/>
  <c r="J754" i="103"/>
  <c r="G778" i="103"/>
  <c r="G764" i="103"/>
  <c r="F772" i="103"/>
  <c r="F777" i="103"/>
  <c r="F773" i="103"/>
  <c r="H761" i="103"/>
  <c r="H71" i="74"/>
  <c r="J760" i="103"/>
  <c r="H774" i="103"/>
  <c r="G66" i="74"/>
  <c r="G70" i="74"/>
  <c r="G67" i="74"/>
  <c r="H780" i="103"/>
  <c r="I73" i="74"/>
  <c r="E51" i="86"/>
  <c r="E57" i="86" s="1"/>
  <c r="E58" i="86" s="1"/>
  <c r="E60" i="86" s="1"/>
  <c r="E64" i="86" s="1"/>
  <c r="K22" i="86" s="1"/>
  <c r="G50" i="86"/>
  <c r="K72" i="74"/>
  <c r="K779" i="103" s="1"/>
  <c r="I52" i="74"/>
  <c r="I759" i="103" s="1"/>
  <c r="F66" i="82"/>
  <c r="F71" i="82"/>
  <c r="F74" i="82" s="1"/>
  <c r="G53" i="86"/>
  <c r="G64" i="82"/>
  <c r="G65" i="74"/>
  <c r="J49" i="74"/>
  <c r="C49" i="86"/>
  <c r="K73" i="82"/>
  <c r="B95" i="74"/>
  <c r="B802" i="103" s="1"/>
  <c r="B78" i="74"/>
  <c r="K56" i="74"/>
  <c r="K47" i="74"/>
  <c r="K48" i="74"/>
  <c r="K755" i="103" s="1"/>
  <c r="K53" i="74"/>
  <c r="K55" i="74"/>
  <c r="K762" i="103" s="1"/>
  <c r="H57" i="74"/>
  <c r="K754" i="103" l="1"/>
  <c r="J756" i="103"/>
  <c r="J54" i="74"/>
  <c r="H778" i="103"/>
  <c r="H764" i="103"/>
  <c r="G772" i="103"/>
  <c r="G777" i="103"/>
  <c r="G773" i="103"/>
  <c r="I761" i="103"/>
  <c r="I71" i="74"/>
  <c r="K760" i="103"/>
  <c r="H66" i="74"/>
  <c r="H70" i="74"/>
  <c r="H67" i="74"/>
  <c r="I774" i="103"/>
  <c r="I780" i="103"/>
  <c r="J73" i="74"/>
  <c r="F51" i="86"/>
  <c r="F57" i="86" s="1"/>
  <c r="F58" i="86" s="1"/>
  <c r="F60" i="86" s="1"/>
  <c r="F64" i="86" s="1"/>
  <c r="K23" i="86" s="1"/>
  <c r="B103" i="74"/>
  <c r="B810" i="103" s="1"/>
  <c r="L100" i="85"/>
  <c r="L70" i="85"/>
  <c r="H50" i="86"/>
  <c r="I57" i="74"/>
  <c r="J52" i="74"/>
  <c r="J759" i="103" s="1"/>
  <c r="C57" i="86"/>
  <c r="C58" i="86" s="1"/>
  <c r="C60" i="86" s="1"/>
  <c r="C64" i="86" s="1"/>
  <c r="K20" i="86" s="1"/>
  <c r="F75" i="82"/>
  <c r="F76" i="82" s="1"/>
  <c r="B88" i="74"/>
  <c r="B79" i="74"/>
  <c r="B80" i="74"/>
  <c r="B787" i="103" s="1"/>
  <c r="C78" i="74"/>
  <c r="B85" i="74"/>
  <c r="B87" i="74"/>
  <c r="B794" i="103" s="1"/>
  <c r="H64" i="82"/>
  <c r="H65" i="74"/>
  <c r="H53" i="86"/>
  <c r="G66" i="82"/>
  <c r="G71" i="82"/>
  <c r="G74" i="82" s="1"/>
  <c r="K49" i="74"/>
  <c r="C95" i="74"/>
  <c r="C802" i="103" s="1"/>
  <c r="K756" i="103" l="1"/>
  <c r="K54" i="74"/>
  <c r="B786" i="103"/>
  <c r="I778" i="103"/>
  <c r="I764" i="103"/>
  <c r="H772" i="103"/>
  <c r="H777" i="103"/>
  <c r="H773" i="103"/>
  <c r="J761" i="103"/>
  <c r="J71" i="74"/>
  <c r="B792" i="103"/>
  <c r="J774" i="103"/>
  <c r="I66" i="74"/>
  <c r="I70" i="74"/>
  <c r="I67" i="74"/>
  <c r="J780" i="103"/>
  <c r="K73" i="74"/>
  <c r="G51" i="86"/>
  <c r="G57" i="86" s="1"/>
  <c r="G58" i="86" s="1"/>
  <c r="G60" i="86" s="1"/>
  <c r="G64" i="86" s="1"/>
  <c r="K24" i="86" s="1"/>
  <c r="C86" i="90"/>
  <c r="F61" i="89"/>
  <c r="C103" i="74"/>
  <c r="C810" i="103" s="1"/>
  <c r="I65" i="74"/>
  <c r="J57" i="74"/>
  <c r="I64" i="82"/>
  <c r="I66" i="82" s="1"/>
  <c r="K52" i="74"/>
  <c r="K759" i="103" s="1"/>
  <c r="B81" i="74"/>
  <c r="D95" i="74"/>
  <c r="D802" i="103" s="1"/>
  <c r="H66" i="82"/>
  <c r="H71" i="82"/>
  <c r="H74" i="82" s="1"/>
  <c r="C79" i="74"/>
  <c r="D78" i="74"/>
  <c r="C88" i="74"/>
  <c r="C80" i="74"/>
  <c r="C787" i="103" s="1"/>
  <c r="C85" i="74"/>
  <c r="C87" i="74"/>
  <c r="C794" i="103" s="1"/>
  <c r="G75" i="82"/>
  <c r="G76" i="82" s="1"/>
  <c r="C786" i="103" l="1"/>
  <c r="B788" i="103"/>
  <c r="B86" i="74"/>
  <c r="J778" i="103"/>
  <c r="J764" i="103"/>
  <c r="I772" i="103"/>
  <c r="I773" i="103"/>
  <c r="I777" i="103"/>
  <c r="K761" i="103"/>
  <c r="K71" i="74"/>
  <c r="C792" i="103"/>
  <c r="K774"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J64" i="82"/>
  <c r="J66" i="82" s="1"/>
  <c r="E78" i="74"/>
  <c r="D79" i="74"/>
  <c r="D80" i="74"/>
  <c r="D787" i="103" s="1"/>
  <c r="D88" i="74"/>
  <c r="D85" i="74"/>
  <c r="D87" i="74"/>
  <c r="D794" i="103" s="1"/>
  <c r="C81" i="74"/>
  <c r="E95" i="74"/>
  <c r="E802" i="103" s="1"/>
  <c r="B84" i="74"/>
  <c r="B791" i="103" s="1"/>
  <c r="H75" i="82"/>
  <c r="H76" i="82" s="1"/>
  <c r="K57" i="74"/>
  <c r="C788" i="103" l="1"/>
  <c r="C86" i="74"/>
  <c r="D786" i="103"/>
  <c r="K778" i="103"/>
  <c r="K764" i="103"/>
  <c r="J772" i="103"/>
  <c r="J773" i="103"/>
  <c r="J777" i="103"/>
  <c r="B793" i="103"/>
  <c r="B102" i="74"/>
  <c r="D792" i="103"/>
  <c r="K66" i="74"/>
  <c r="K67" i="74"/>
  <c r="K70" i="74"/>
  <c r="B805" i="103"/>
  <c r="B811" i="103"/>
  <c r="C104" i="74"/>
  <c r="E103" i="74"/>
  <c r="E810" i="103" s="1"/>
  <c r="J71" i="82"/>
  <c r="J74" i="82" s="1"/>
  <c r="J75" i="82" s="1"/>
  <c r="J76" i="82" s="1"/>
  <c r="C84" i="74"/>
  <c r="C791" i="103" s="1"/>
  <c r="F95" i="74"/>
  <c r="F802" i="103" s="1"/>
  <c r="K65" i="74"/>
  <c r="K64" i="82"/>
  <c r="D81" i="74"/>
  <c r="F78" i="74"/>
  <c r="E88" i="74"/>
  <c r="E79" i="74"/>
  <c r="E80" i="74"/>
  <c r="E787" i="103" s="1"/>
  <c r="E85" i="74"/>
  <c r="E87" i="74"/>
  <c r="E794" i="103" s="1"/>
  <c r="B89" i="74"/>
  <c r="E786" i="103" l="1"/>
  <c r="D788" i="103"/>
  <c r="D86" i="74"/>
  <c r="B809" i="103"/>
  <c r="B796" i="103"/>
  <c r="K772" i="103"/>
  <c r="K773" i="103"/>
  <c r="K777" i="103"/>
  <c r="C793" i="103"/>
  <c r="C102" i="74"/>
  <c r="E792" i="103"/>
  <c r="B97" i="74"/>
  <c r="B101" i="74"/>
  <c r="B98" i="74"/>
  <c r="C805" i="103"/>
  <c r="C811" i="103"/>
  <c r="D104" i="74"/>
  <c r="F103" i="74"/>
  <c r="F810" i="103" s="1"/>
  <c r="B96" i="74"/>
  <c r="C89" i="74"/>
  <c r="D84" i="74"/>
  <c r="D791" i="103" s="1"/>
  <c r="E81" i="74"/>
  <c r="K71" i="82"/>
  <c r="K74" i="82" s="1"/>
  <c r="K66" i="82"/>
  <c r="F88" i="74"/>
  <c r="G78" i="74"/>
  <c r="F80" i="74"/>
  <c r="F787" i="103" s="1"/>
  <c r="F79" i="74"/>
  <c r="F85" i="74"/>
  <c r="F87" i="74"/>
  <c r="F794" i="103" s="1"/>
  <c r="G95" i="74"/>
  <c r="G802" i="103" s="1"/>
  <c r="F786" i="103" l="1"/>
  <c r="E788" i="103"/>
  <c r="E86" i="74"/>
  <c r="C809" i="103"/>
  <c r="C796" i="103"/>
  <c r="B803" i="103"/>
  <c r="B804" i="103"/>
  <c r="B808" i="103"/>
  <c r="D793" i="103"/>
  <c r="D102" i="74"/>
  <c r="F792" i="103"/>
  <c r="D805" i="103"/>
  <c r="C97" i="74"/>
  <c r="C101" i="74"/>
  <c r="C98" i="74"/>
  <c r="D811" i="103"/>
  <c r="E104" i="74"/>
  <c r="G103" i="74"/>
  <c r="G810" i="103" s="1"/>
  <c r="C96" i="74"/>
  <c r="E84" i="74"/>
  <c r="E791" i="103" s="1"/>
  <c r="G79" i="74"/>
  <c r="G88" i="74"/>
  <c r="G80" i="74"/>
  <c r="G787" i="103" s="1"/>
  <c r="H78" i="74"/>
  <c r="G85" i="74"/>
  <c r="G87" i="74"/>
  <c r="G794" i="103" s="1"/>
  <c r="K75" i="82"/>
  <c r="K76" i="82" s="1"/>
  <c r="H95" i="74"/>
  <c r="H802" i="103" s="1"/>
  <c r="F81" i="74"/>
  <c r="D89" i="74"/>
  <c r="F788" i="103" l="1"/>
  <c r="F86" i="74"/>
  <c r="G786" i="103"/>
  <c r="D809" i="103"/>
  <c r="D796" i="103"/>
  <c r="C803" i="103"/>
  <c r="C804" i="103"/>
  <c r="C808" i="103"/>
  <c r="E793" i="103"/>
  <c r="E102" i="74"/>
  <c r="G792" i="103"/>
  <c r="D97" i="74"/>
  <c r="D101" i="74"/>
  <c r="D98" i="74"/>
  <c r="E805" i="103"/>
  <c r="E811" i="103"/>
  <c r="F104" i="74"/>
  <c r="H103" i="74"/>
  <c r="H810" i="103" s="1"/>
  <c r="D96" i="74"/>
  <c r="E89" i="74"/>
  <c r="F84" i="74"/>
  <c r="F791" i="103" s="1"/>
  <c r="H88" i="74"/>
  <c r="H80" i="74"/>
  <c r="H787" i="103" s="1"/>
  <c r="H79" i="74"/>
  <c r="I78" i="74"/>
  <c r="H85" i="74"/>
  <c r="H87" i="74"/>
  <c r="H794" i="103" s="1"/>
  <c r="G81" i="74"/>
  <c r="I95" i="74"/>
  <c r="I802" i="103" s="1"/>
  <c r="G788" i="103" l="1"/>
  <c r="G86" i="74"/>
  <c r="H786" i="103"/>
  <c r="E809" i="103"/>
  <c r="E796" i="103"/>
  <c r="D803" i="103"/>
  <c r="D804" i="103"/>
  <c r="D808" i="103"/>
  <c r="F793" i="103"/>
  <c r="F102" i="74"/>
  <c r="H792" i="103"/>
  <c r="F805" i="103"/>
  <c r="E97" i="74"/>
  <c r="E98" i="74"/>
  <c r="E101" i="74"/>
  <c r="F811" i="103"/>
  <c r="G104" i="74"/>
  <c r="I103" i="74"/>
  <c r="I810" i="103" s="1"/>
  <c r="E96" i="74"/>
  <c r="F89" i="74"/>
  <c r="G84" i="74"/>
  <c r="G791" i="103" s="1"/>
  <c r="I88" i="74"/>
  <c r="I79" i="74"/>
  <c r="J78" i="74"/>
  <c r="I80" i="74"/>
  <c r="I787" i="103" s="1"/>
  <c r="I85" i="74"/>
  <c r="I87" i="74"/>
  <c r="I794" i="103" s="1"/>
  <c r="H81" i="74"/>
  <c r="J95" i="74"/>
  <c r="J802" i="103" s="1"/>
  <c r="H788" i="103" l="1"/>
  <c r="H86" i="74"/>
  <c r="I786" i="103"/>
  <c r="F809" i="103"/>
  <c r="F796" i="103"/>
  <c r="E803" i="103"/>
  <c r="E808" i="103"/>
  <c r="E804" i="103"/>
  <c r="G793" i="103"/>
  <c r="G102" i="74"/>
  <c r="I792" i="103"/>
  <c r="G805" i="103"/>
  <c r="F97" i="74"/>
  <c r="F101" i="74"/>
  <c r="F98" i="74"/>
  <c r="G811" i="103"/>
  <c r="H104" i="74"/>
  <c r="J103" i="74"/>
  <c r="J810" i="103" s="1"/>
  <c r="F96" i="74"/>
  <c r="J80" i="74"/>
  <c r="J787" i="103" s="1"/>
  <c r="K78" i="74"/>
  <c r="J79" i="74"/>
  <c r="J88" i="74"/>
  <c r="J85" i="74"/>
  <c r="J87" i="74"/>
  <c r="J794" i="103" s="1"/>
  <c r="I81" i="74"/>
  <c r="K95" i="74"/>
  <c r="K802" i="103" s="1"/>
  <c r="G89" i="74"/>
  <c r="H84" i="74"/>
  <c r="H791" i="103" s="1"/>
  <c r="I788" i="103" l="1"/>
  <c r="I86" i="74"/>
  <c r="J786" i="103"/>
  <c r="G809" i="103"/>
  <c r="G796" i="103"/>
  <c r="F803" i="103"/>
  <c r="F804" i="103"/>
  <c r="F808" i="103"/>
  <c r="H793" i="103"/>
  <c r="H102" i="74"/>
  <c r="J792" i="103"/>
  <c r="H805" i="103"/>
  <c r="G97" i="74"/>
  <c r="G98" i="74"/>
  <c r="G101" i="74"/>
  <c r="H811" i="103"/>
  <c r="I104" i="74"/>
  <c r="K103" i="74"/>
  <c r="K810" i="103" s="1"/>
  <c r="G96" i="74"/>
  <c r="H89" i="74"/>
  <c r="J81" i="74"/>
  <c r="B125" i="74"/>
  <c r="B832" i="103" s="1"/>
  <c r="K80" i="74"/>
  <c r="K787" i="103" s="1"/>
  <c r="B108" i="74"/>
  <c r="K88" i="74"/>
  <c r="K79" i="74"/>
  <c r="K85" i="74"/>
  <c r="K87" i="74"/>
  <c r="K794" i="103" s="1"/>
  <c r="I84" i="74"/>
  <c r="I791" i="103" s="1"/>
  <c r="K786" i="103" l="1"/>
  <c r="J788" i="103"/>
  <c r="J86" i="74"/>
  <c r="H809" i="103"/>
  <c r="H796" i="103"/>
  <c r="G803" i="103"/>
  <c r="G804" i="103"/>
  <c r="G808" i="103"/>
  <c r="I793" i="103"/>
  <c r="I102" i="74"/>
  <c r="K792" i="103"/>
  <c r="I805" i="103"/>
  <c r="H97" i="74"/>
  <c r="H101" i="74"/>
  <c r="H98" i="74"/>
  <c r="I811" i="103"/>
  <c r="J104" i="74"/>
  <c r="B133" i="74"/>
  <c r="B840" i="103" s="1"/>
  <c r="H96" i="74"/>
  <c r="J84" i="74"/>
  <c r="J791" i="103" s="1"/>
  <c r="K81" i="74"/>
  <c r="C125" i="74"/>
  <c r="C832" i="103" s="1"/>
  <c r="I89" i="74"/>
  <c r="B109" i="74"/>
  <c r="C108" i="74"/>
  <c r="B110" i="74"/>
  <c r="B817" i="103" s="1"/>
  <c r="B118" i="74"/>
  <c r="B115" i="74"/>
  <c r="B117" i="74"/>
  <c r="B824" i="103" s="1"/>
  <c r="B816" i="103" l="1"/>
  <c r="K788" i="103"/>
  <c r="K86" i="74"/>
  <c r="I809" i="103"/>
  <c r="I796" i="103"/>
  <c r="H803" i="103"/>
  <c r="H804" i="103"/>
  <c r="H808" i="103"/>
  <c r="J793" i="103"/>
  <c r="J102" i="74"/>
  <c r="B822" i="103"/>
  <c r="I97" i="74"/>
  <c r="I101" i="74"/>
  <c r="I98" i="74"/>
  <c r="J805" i="103"/>
  <c r="J811" i="103"/>
  <c r="K104" i="74"/>
  <c r="C133" i="74"/>
  <c r="C840" i="103" s="1"/>
  <c r="I96" i="74"/>
  <c r="J89" i="74"/>
  <c r="K84" i="74"/>
  <c r="K791" i="103" s="1"/>
  <c r="D108" i="74"/>
  <c r="C109" i="74"/>
  <c r="C118" i="74"/>
  <c r="C110" i="74"/>
  <c r="C817" i="103" s="1"/>
  <c r="C115" i="74"/>
  <c r="C117" i="74"/>
  <c r="C824" i="103" s="1"/>
  <c r="D125" i="74"/>
  <c r="D832" i="103" s="1"/>
  <c r="B111" i="74"/>
  <c r="B818" i="103" l="1"/>
  <c r="B116" i="74"/>
  <c r="C816" i="103"/>
  <c r="J809" i="103"/>
  <c r="J796" i="103"/>
  <c r="I803" i="103"/>
  <c r="I808" i="103"/>
  <c r="I804" i="103"/>
  <c r="K793" i="103"/>
  <c r="K102" i="74"/>
  <c r="C822" i="103"/>
  <c r="K805" i="103"/>
  <c r="J97" i="74"/>
  <c r="J98" i="74"/>
  <c r="J101" i="74"/>
  <c r="K811" i="103"/>
  <c r="B134" i="74"/>
  <c r="D133" i="74"/>
  <c r="D840" i="103" s="1"/>
  <c r="K89" i="74"/>
  <c r="J96" i="74"/>
  <c r="B114" i="74"/>
  <c r="B821" i="103" s="1"/>
  <c r="C111" i="74"/>
  <c r="E125" i="74"/>
  <c r="E832" i="103" s="1"/>
  <c r="D118" i="74"/>
  <c r="D109" i="74"/>
  <c r="E108" i="74"/>
  <c r="D110" i="74"/>
  <c r="D817" i="103" s="1"/>
  <c r="D115" i="74"/>
  <c r="D117" i="74"/>
  <c r="D824" i="103" s="1"/>
  <c r="D816" i="103" l="1"/>
  <c r="C818" i="103"/>
  <c r="C116" i="74"/>
  <c r="K809" i="103"/>
  <c r="K796" i="103"/>
  <c r="J803" i="103"/>
  <c r="J804" i="103"/>
  <c r="J808" i="103"/>
  <c r="B823" i="103"/>
  <c r="B132" i="74"/>
  <c r="D822" i="103"/>
  <c r="B835" i="103"/>
  <c r="K97" i="74"/>
  <c r="K98" i="74"/>
  <c r="K101" i="74"/>
  <c r="B841" i="103"/>
  <c r="C134" i="74"/>
  <c r="E133" i="74"/>
  <c r="E840" i="103" s="1"/>
  <c r="K96" i="74"/>
  <c r="B119" i="74"/>
  <c r="C114" i="74"/>
  <c r="C821" i="103" s="1"/>
  <c r="F125" i="74"/>
  <c r="F832" i="103" s="1"/>
  <c r="F108" i="74"/>
  <c r="E109" i="74"/>
  <c r="E118" i="74"/>
  <c r="E110" i="74"/>
  <c r="E817" i="103" s="1"/>
  <c r="E115" i="74"/>
  <c r="E117" i="74"/>
  <c r="E824" i="103" s="1"/>
  <c r="D111" i="74"/>
  <c r="D818" i="103" l="1"/>
  <c r="D116" i="74"/>
  <c r="E816" i="103"/>
  <c r="B839" i="103"/>
  <c r="B826" i="103"/>
  <c r="K803" i="103"/>
  <c r="K804" i="103"/>
  <c r="K808" i="103"/>
  <c r="C823" i="103"/>
  <c r="C132" i="74"/>
  <c r="E822" i="103"/>
  <c r="C835" i="103"/>
  <c r="B127" i="74"/>
  <c r="B131" i="74"/>
  <c r="B128" i="74"/>
  <c r="C841" i="103"/>
  <c r="D134" i="74"/>
  <c r="F133" i="74"/>
  <c r="F840" i="103" s="1"/>
  <c r="B126" i="74"/>
  <c r="C119" i="74"/>
  <c r="E111" i="74"/>
  <c r="F118" i="74"/>
  <c r="F110" i="74"/>
  <c r="F817" i="103" s="1"/>
  <c r="F109" i="74"/>
  <c r="F115" i="74"/>
  <c r="F117" i="74"/>
  <c r="F824" i="103" s="1"/>
  <c r="D114" i="74"/>
  <c r="D821" i="103" s="1"/>
  <c r="F816" i="103" l="1"/>
  <c r="E818" i="103"/>
  <c r="E116" i="74"/>
  <c r="C839" i="103"/>
  <c r="C826" i="103"/>
  <c r="B833" i="103"/>
  <c r="B834" i="103"/>
  <c r="B838" i="103"/>
  <c r="D823" i="103"/>
  <c r="D132" i="74"/>
  <c r="F822" i="103"/>
  <c r="D835" i="103"/>
  <c r="C128" i="74"/>
  <c r="C127" i="74"/>
  <c r="C131" i="74"/>
  <c r="D841" i="103"/>
  <c r="E134" i="74"/>
  <c r="C126" i="74"/>
  <c r="E114" i="74"/>
  <c r="E821" i="103" s="1"/>
  <c r="F111" i="74"/>
  <c r="D119" i="74"/>
  <c r="F818" i="103" l="1"/>
  <c r="F116" i="74"/>
  <c r="D839" i="103"/>
  <c r="D826" i="103"/>
  <c r="C833" i="103"/>
  <c r="C834" i="103"/>
  <c r="C838" i="103"/>
  <c r="E823" i="103"/>
  <c r="E132" i="74"/>
  <c r="D127" i="74"/>
  <c r="D131" i="74"/>
  <c r="D128" i="74"/>
  <c r="E835" i="103"/>
  <c r="E841" i="103"/>
  <c r="F134" i="74"/>
  <c r="F841" i="103" s="1"/>
  <c r="D126" i="74"/>
  <c r="E119" i="74"/>
  <c r="F114" i="74"/>
  <c r="F821" i="103" s="1"/>
  <c r="E839" i="103" l="1"/>
  <c r="E826" i="103"/>
  <c r="D833" i="103"/>
  <c r="D834" i="103"/>
  <c r="D838" i="103"/>
  <c r="F823" i="103"/>
  <c r="F132" i="74"/>
  <c r="F835" i="103"/>
  <c r="E127" i="74"/>
  <c r="E128" i="74"/>
  <c r="E131" i="74"/>
  <c r="E126" i="74"/>
  <c r="F119" i="74"/>
  <c r="F839" i="103" l="1"/>
  <c r="F826" i="103"/>
  <c r="E833" i="103"/>
  <c r="E834" i="103"/>
  <c r="E838" i="103"/>
  <c r="F127" i="74"/>
  <c r="F131" i="74"/>
  <c r="F128" i="74"/>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 r="M189" i="78" l="1"/>
  <c r="G235" i="103"/>
  <c r="G240" i="103"/>
  <c r="A240" i="103" s="1"/>
  <c r="G259" i="103"/>
  <c r="D261" i="103" s="1"/>
  <c r="G127" i="78"/>
  <c r="G146" i="78"/>
  <c r="L34" i="68" s="1"/>
  <c r="L35" i="68" s="1"/>
  <c r="D45" i="68"/>
  <c r="D88" i="103" s="1"/>
  <c r="J289" i="103" l="1"/>
  <c r="J291" i="103" s="1"/>
  <c r="J293" i="103" s="1"/>
  <c r="J296" i="103" s="1"/>
  <c r="D148" i="78"/>
  <c r="G261" i="103"/>
  <c r="G148" i="78"/>
  <c r="C18" i="100"/>
  <c r="L77" i="103"/>
  <c r="L78" i="103" s="1"/>
  <c r="C18" i="84"/>
  <c r="I61" i="68"/>
  <c r="I62" i="68" s="1"/>
  <c r="P47" i="68" s="1"/>
  <c r="P90" i="103" s="1"/>
  <c r="J176" i="78"/>
  <c r="J178" i="78" s="1"/>
  <c r="J180" i="78" s="1"/>
  <c r="B15" i="82" s="1"/>
  <c r="P53" i="98"/>
  <c r="P56" i="98"/>
  <c r="B4" i="82"/>
  <c r="I104" i="103"/>
  <c r="C135" i="90"/>
  <c r="L65" i="85" s="1"/>
  <c r="F122" i="78"/>
  <c r="F235" i="103" s="1"/>
  <c r="F124" i="78"/>
  <c r="F237" i="103" s="1"/>
  <c r="F125" i="78"/>
  <c r="F238" i="103" s="1"/>
  <c r="F126" i="78"/>
  <c r="F239" i="103" s="1"/>
  <c r="A127" i="78"/>
  <c r="P52" i="68" l="1"/>
  <c r="P51" i="68"/>
  <c r="J183" i="78"/>
  <c r="C38" i="100"/>
  <c r="C19" i="100"/>
  <c r="K40" i="100"/>
  <c r="C20" i="100"/>
  <c r="D18" i="100"/>
  <c r="C38" i="84"/>
  <c r="D18" i="84"/>
  <c r="C19" i="84"/>
  <c r="C20" i="84"/>
  <c r="K40" i="84"/>
  <c r="P94" i="103"/>
  <c r="P95" i="103"/>
  <c r="I105" i="103"/>
  <c r="B6" i="82"/>
  <c r="B7" i="82" s="1"/>
  <c r="B10" i="82"/>
  <c r="B11" i="82" s="1"/>
  <c r="P53" i="68"/>
  <c r="P96" i="103" l="1"/>
  <c r="D14" i="86"/>
  <c r="C739" i="103"/>
  <c r="C740" i="103" s="1"/>
  <c r="R22" i="74"/>
  <c r="R23" i="74"/>
  <c r="R24" i="74"/>
  <c r="R25" i="74"/>
  <c r="R26" i="74"/>
  <c r="R27" i="74"/>
  <c r="R28" i="74"/>
  <c r="R29" i="74"/>
  <c r="R30" i="74"/>
  <c r="R31" i="74"/>
  <c r="R32" i="74"/>
  <c r="C33" i="74"/>
  <c r="R33" i="74"/>
  <c r="R34" i="74"/>
  <c r="R35" i="74"/>
  <c r="I47" i="68" s="1"/>
  <c r="R36" i="74"/>
  <c r="R37" i="74"/>
  <c r="R38" i="74"/>
  <c r="R39" i="74"/>
  <c r="R40" i="74"/>
  <c r="C44" i="74"/>
  <c r="C751" i="103" s="1"/>
  <c r="S28" i="74" l="1"/>
  <c r="S22" i="74"/>
  <c r="S38" i="74"/>
  <c r="S33" i="74"/>
  <c r="S40" i="74"/>
  <c r="S34" i="74"/>
  <c r="S39" i="74"/>
  <c r="I90" i="103"/>
  <c r="S27" i="74"/>
  <c r="S32" i="74"/>
  <c r="S26" i="74"/>
  <c r="S37" i="74"/>
  <c r="S31" i="74"/>
  <c r="S25" i="74"/>
  <c r="S36" i="74"/>
  <c r="S30" i="74"/>
  <c r="S24" i="74"/>
  <c r="D44" i="74"/>
  <c r="S35" i="74"/>
  <c r="F47" i="68" s="1"/>
  <c r="D9" i="86"/>
  <c r="S29" i="74"/>
  <c r="S23" i="74"/>
  <c r="D751" i="103" l="1"/>
  <c r="E44" i="74"/>
  <c r="D17" i="86"/>
  <c r="D18" i="86" s="1"/>
  <c r="D20" i="86" s="1"/>
  <c r="D24" i="86" s="1"/>
  <c r="K7" i="86" s="1"/>
  <c r="F90" i="103"/>
  <c r="L47" i="68"/>
  <c r="L90" i="103" l="1"/>
  <c r="F85" i="92"/>
  <c r="F89" i="92" s="1"/>
  <c r="F105" i="92" s="1"/>
  <c r="E751" i="103"/>
  <c r="F44" i="74"/>
  <c r="F751" i="103" l="1"/>
  <c r="G44" i="74"/>
  <c r="G751" i="103" l="1"/>
  <c r="H44" i="74"/>
  <c r="H751" i="103" l="1"/>
  <c r="I44" i="74"/>
  <c r="I751" i="103" l="1"/>
  <c r="J44" i="74"/>
  <c r="J751" i="103" l="1"/>
  <c r="K44" i="74"/>
  <c r="K751" i="103" l="1"/>
  <c r="B76" i="74"/>
  <c r="B783" i="103" l="1"/>
  <c r="C76" i="74"/>
  <c r="D76" i="74" l="1"/>
  <c r="C783" i="103"/>
  <c r="D783" i="103" l="1"/>
  <c r="E76" i="74"/>
  <c r="E783" i="103" l="1"/>
  <c r="F76" i="74"/>
  <c r="F783" i="103" l="1"/>
  <c r="G76" i="74"/>
  <c r="G78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<sst xmlns="http://schemas.openxmlformats.org/spreadsheetml/2006/main" count="19381" uniqueCount="7131">
  <si>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</si>
  <si>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</si>
  <si>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</si>
  <si>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</si>
  <si>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</si>
  <si>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</si>
  <si>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</si>
  <si>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</si>
  <si>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</si>
  <si>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</si>
  <si>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</si>
  <si>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</si>
  <si>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</si>
  <si>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</si>
  <si>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</si>
  <si>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</si>
  <si>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</si>
  <si>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</si>
  <si>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</si>
  <si>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</si>
  <si>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</si>
  <si>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</si>
  <si>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</si>
  <si>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</si>
  <si>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</si>
  <si>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</si>
  <si>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</si>
  <si>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</si>
  <si>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</si>
  <si>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</si>
  <si>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</si>
  <si>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</si>
  <si>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</si>
  <si>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</si>
  <si>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</si>
  <si>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</si>
  <si>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</si>
  <si>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</si>
  <si>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</si>
  <si>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</si>
  <si>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</si>
  <si>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</si>
  <si>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</si>
  <si>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</si>
  <si>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</si>
  <si>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</si>
  <si>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</si>
  <si>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</si>
  <si>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</si>
  <si>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</si>
  <si>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</si>
  <si>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</si>
  <si>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</si>
  <si>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</si>
  <si>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</si>
  <si>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</si>
  <si>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</si>
  <si>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</si>
  <si>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</si>
  <si>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</si>
  <si>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</si>
  <si>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</si>
  <si>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</si>
  <si>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</si>
  <si>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</si>
  <si>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</si>
  <si>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</si>
  <si>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</si>
  <si>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</si>
  <si>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</si>
  <si>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</si>
  <si>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</si>
  <si>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</si>
  <si>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</si>
  <si>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</si>
  <si>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</si>
  <si>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</si>
  <si>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</si>
  <si>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</si>
  <si>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</si>
  <si>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</si>
  <si>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</si>
  <si>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</si>
  <si>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</si>
  <si>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</si>
  <si>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</si>
  <si>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</si>
  <si>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</si>
  <si>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</si>
  <si>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</si>
  <si>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</si>
  <si>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</si>
  <si>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</si>
  <si>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</si>
  <si>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</si>
  <si>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</si>
  <si>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</si>
  <si>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</si>
  <si>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</si>
  <si>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</si>
  <si>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</si>
  <si>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</si>
  <si>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</si>
  <si>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</si>
  <si>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</si>
  <si>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</si>
  <si>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</si>
  <si>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</si>
  <si>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</si>
  <si>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</si>
  <si>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</si>
  <si>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</si>
  <si>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</si>
  <si>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</si>
  <si>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</si>
  <si>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</si>
  <si>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</si>
  <si>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</si>
  <si>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</si>
  <si>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</si>
  <si>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</si>
  <si>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</si>
  <si>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</si>
  <si>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</si>
  <si>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</si>
  <si>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</si>
  <si>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</si>
  <si>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</si>
  <si>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</si>
  <si>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</si>
  <si>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</si>
  <si>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</si>
  <si>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</si>
  <si>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</si>
  <si>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</si>
  <si>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</si>
  <si>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</si>
  <si>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</si>
  <si>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</si>
  <si>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</si>
  <si>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</si>
  <si>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</si>
  <si>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</si>
  <si>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</si>
  <si>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</si>
  <si>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</si>
  <si>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</si>
  <si>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</si>
  <si>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</si>
  <si>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</si>
  <si>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</si>
  <si>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</si>
  <si>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</si>
  <si>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</si>
  <si>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</si>
  <si>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</si>
  <si>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</si>
  <si>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</si>
  <si>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</si>
  <si>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</si>
  <si>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</si>
  <si>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</si>
  <si>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</si>
  <si>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</si>
  <si>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</si>
  <si>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</si>
  <si>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</si>
  <si>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</si>
  <si>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</si>
  <si>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</si>
  <si>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</si>
  <si>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</si>
  <si>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</si>
  <si>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</si>
  <si>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</si>
  <si>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</si>
  <si>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</si>
  <si>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</si>
  <si>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</si>
  <si>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</si>
  <si>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</si>
  <si>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</si>
  <si>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</si>
  <si>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</si>
  <si>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</si>
  <si>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</si>
  <si>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</si>
  <si>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</si>
  <si>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</si>
  <si>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</si>
  <si>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</si>
  <si>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</si>
  <si>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</si>
  <si>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</si>
  <si>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</si>
  <si>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</si>
  <si>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</si>
  <si>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</si>
  <si>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</si>
  <si>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</si>
  <si>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</si>
  <si>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</si>
  <si>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</si>
  <si>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</si>
  <si>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</si>
  <si>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</si>
  <si>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</si>
  <si>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</si>
  <si>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</si>
  <si>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</si>
  <si>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</si>
  <si>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</si>
  <si>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</si>
  <si>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</si>
  <si>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</si>
  <si>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</si>
  <si>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</si>
  <si>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</si>
  <si>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</si>
  <si>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</si>
  <si>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</si>
  <si>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</si>
  <si>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</si>
  <si>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</si>
  <si>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</si>
  <si>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</si>
  <si>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</si>
  <si>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</si>
  <si>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</si>
  <si>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</si>
  <si>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</si>
  <si>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</si>
  <si>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</si>
  <si>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</si>
  <si>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</si>
  <si>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</si>
  <si>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</si>
  <si>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</si>
  <si>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</si>
  <si>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</si>
  <si>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</si>
  <si>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</si>
  <si>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</si>
  <si>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</si>
  <si>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</si>
  <si>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</si>
  <si>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</si>
  <si>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</si>
  <si>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</si>
  <si>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</si>
  <si>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</si>
  <si>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</si>
  <si>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</si>
  <si>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</si>
  <si>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</si>
  <si>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</si>
  <si>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</si>
  <si>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</si>
  <si>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</si>
  <si>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</si>
  <si>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</si>
  <si>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</si>
  <si>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</si>
  <si>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</si>
  <si>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</si>
  <si>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</si>
  <si>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</si>
  <si>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</si>
  <si>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</si>
  <si>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</si>
  <si>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</si>
  <si>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</si>
  <si>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</si>
  <si>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</si>
  <si>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</si>
  <si>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</si>
  <si>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</si>
  <si>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</si>
  <si>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</si>
  <si>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</si>
  <si>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</si>
  <si>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</si>
  <si>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</si>
  <si>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</si>
  <si>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</si>
  <si>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</si>
  <si>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</si>
  <si>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</si>
  <si>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</si>
  <si>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</si>
  <si>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</si>
  <si>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</si>
  <si>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</si>
  <si>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</si>
  <si>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</si>
  <si>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</si>
  <si>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</si>
  <si>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</si>
  <si>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</si>
  <si>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</si>
  <si>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</si>
  <si>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</si>
  <si>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</si>
  <si>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</si>
  <si>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</si>
  <si>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</si>
  <si>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</si>
  <si>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</si>
  <si>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</si>
  <si>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</si>
  <si>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</si>
  <si>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</si>
  <si>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</si>
  <si>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</si>
  <si>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</si>
  <si>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</si>
  <si>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</si>
  <si>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</si>
  <si>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</si>
  <si>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</si>
  <si>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</si>
  <si>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</si>
  <si>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</si>
  <si>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</si>
  <si>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</si>
  <si>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</si>
  <si>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</si>
  <si>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</si>
  <si>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</si>
  <si>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</si>
  <si>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</si>
  <si>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</si>
  <si>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</si>
  <si>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</si>
  <si>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</si>
  <si>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</si>
  <si>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</si>
  <si>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</si>
  <si>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</si>
  <si>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</si>
  <si>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</si>
  <si>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</si>
  <si>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</si>
  <si>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</si>
  <si>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</si>
  <si>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</si>
  <si>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</si>
  <si>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</si>
  <si>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</si>
  <si>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</si>
  <si>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</si>
  <si>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</si>
  <si>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</si>
  <si>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</si>
  <si>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</si>
  <si>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</si>
  <si>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</si>
  <si>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</si>
  <si>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</si>
  <si>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</si>
  <si>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</si>
  <si>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</si>
  <si>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</si>
  <si>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</si>
  <si>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</si>
  <si>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</si>
  <si>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</si>
  <si>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</si>
  <si>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</si>
  <si>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</si>
  <si>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</si>
  <si>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</si>
  <si>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</si>
  <si>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</si>
  <si>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</si>
  <si>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</si>
  <si>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</si>
  <si>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</si>
  <si>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</si>
  <si>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</si>
  <si>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</si>
  <si>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</si>
  <si>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</si>
  <si>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</si>
  <si>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</si>
  <si>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</si>
  <si>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</si>
  <si>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</si>
  <si>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</si>
  <si>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</si>
  <si>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</si>
  <si>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</si>
  <si>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</si>
  <si>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</si>
  <si>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</si>
  <si>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</si>
  <si>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</si>
  <si>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</si>
  <si>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</si>
  <si>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</si>
  <si>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</si>
  <si>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</si>
  <si>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</si>
  <si>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</si>
  <si>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</si>
  <si>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</si>
  <si>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</si>
  <si>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</si>
  <si>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</si>
  <si>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</si>
  <si>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</si>
  <si>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</si>
  <si>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</si>
  <si>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</si>
  <si>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</si>
  <si>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</si>
  <si>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</si>
  <si>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</si>
  <si>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</si>
  <si>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</si>
  <si>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</si>
  <si>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</si>
  <si>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</si>
  <si>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</si>
  <si>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</si>
  <si>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</si>
  <si>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</si>
  <si>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</si>
  <si>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</si>
  <si>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</si>
  <si>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</si>
  <si>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</si>
  <si>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</si>
  <si>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</si>
  <si>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</si>
  <si>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</si>
  <si>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</si>
  <si>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</si>
  <si>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</si>
  <si>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</si>
  <si>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</si>
  <si>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</si>
  <si>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</si>
  <si>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</si>
  <si>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</si>
  <si>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</si>
  <si>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</si>
  <si>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</si>
  <si>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</si>
  <si>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</si>
  <si>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</si>
  <si>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</si>
  <si>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</si>
  <si>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</si>
  <si>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</si>
  <si>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</si>
  <si>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</si>
  <si>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</si>
  <si>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</si>
  <si>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</si>
  <si>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</si>
  <si>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</si>
  <si>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</si>
  <si>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</si>
  <si>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</si>
  <si>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</si>
  <si>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</si>
  <si>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</si>
  <si>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</si>
  <si>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</si>
  <si>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</si>
  <si>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</si>
  <si>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</si>
  <si>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</si>
  <si>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</si>
  <si>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</si>
  <si>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</si>
  <si>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</si>
  <si>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</si>
  <si>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</si>
  <si>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</si>
  <si>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</si>
  <si>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</si>
  <si>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</si>
  <si>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</si>
  <si>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</si>
  <si>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</si>
  <si>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</si>
  <si>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</si>
  <si>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</si>
  <si>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</si>
  <si>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</si>
  <si>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</si>
  <si>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</si>
  <si>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</si>
  <si>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</si>
  <si>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</si>
  <si>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</si>
  <si>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</si>
  <si>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</si>
  <si>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</si>
  <si>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</si>
  <si>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</si>
  <si>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</si>
  <si>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</si>
  <si>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</si>
  <si>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</si>
  <si>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</si>
  <si>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</si>
  <si>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</si>
  <si>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</si>
  <si>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</si>
  <si>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</si>
  <si>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</si>
  <si>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</si>
  <si>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</si>
  <si>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</si>
  <si>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</si>
  <si>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</si>
  <si>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</si>
  <si>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</si>
  <si>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</si>
  <si>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</si>
  <si>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</si>
  <si>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</si>
  <si>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</si>
  <si>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</si>
  <si>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</si>
  <si>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</si>
  <si>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</si>
  <si>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</si>
  <si>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</si>
  <si>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</si>
  <si>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</si>
  <si>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</si>
  <si>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</si>
  <si>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</si>
  <si>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</si>
  <si>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</si>
  <si>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</si>
  <si>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</si>
  <si>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</si>
  <si>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</si>
  <si>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</si>
  <si>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</si>
  <si>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</si>
  <si>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</si>
  <si>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</si>
  <si>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</si>
  <si>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</si>
  <si>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</si>
  <si>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</si>
  <si>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</si>
  <si>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</si>
  <si>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</si>
  <si>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</si>
  <si>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</si>
  <si>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</si>
  <si>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</si>
  <si>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</si>
  <si>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</si>
  <si>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</si>
  <si>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</si>
  <si>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</si>
  <si>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</si>
  <si>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</si>
  <si>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</si>
  <si>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</si>
  <si>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</si>
  <si>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</si>
  <si>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</si>
  <si>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</si>
  <si>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</si>
  <si>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</si>
  <si>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</si>
  <si>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</si>
  <si>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</si>
  <si>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</si>
  <si>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</si>
  <si>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</si>
  <si>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</si>
  <si>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</si>
  <si>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</si>
  <si>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</si>
  <si>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</si>
  <si>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</si>
  <si>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</si>
  <si>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</si>
  <si>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</si>
  <si>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</si>
  <si>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</si>
  <si>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</si>
  <si>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</si>
  <si>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</si>
  <si>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</si>
  <si>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</si>
  <si>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</si>
  <si>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</si>
  <si>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</si>
  <si>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</si>
  <si>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</si>
  <si>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</si>
  <si>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</si>
  <si>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</si>
  <si>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</si>
  <si>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</si>
  <si>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</si>
  <si>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</si>
  <si>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</si>
  <si>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</si>
  <si>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</si>
  <si>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</si>
  <si>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</si>
  <si>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</si>
  <si>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</si>
  <si>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</si>
  <si>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</si>
  <si>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</si>
  <si>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</si>
  <si>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</si>
  <si>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</si>
  <si>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</si>
  <si>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</si>
  <si>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</si>
  <si>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</si>
  <si>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</si>
  <si>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</si>
  <si>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</si>
  <si>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</si>
  <si>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</si>
  <si>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</si>
  <si>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</si>
  <si>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</si>
  <si>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</si>
  <si>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</si>
  <si>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</si>
  <si>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</si>
  <si>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</si>
  <si>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</si>
  <si>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</si>
  <si>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</si>
  <si>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</si>
  <si>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</si>
  <si>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</si>
  <si>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</si>
  <si>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</si>
  <si>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</si>
  <si>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</si>
  <si>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</si>
  <si>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</si>
  <si>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</si>
  <si>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</si>
  <si>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</si>
  <si>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</si>
  <si>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</si>
  <si>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</si>
  <si>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</si>
  <si>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</si>
  <si>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</si>
  <si>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</si>
  <si>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</si>
  <si>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</si>
  <si>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</si>
  <si>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</si>
  <si>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</si>
  <si>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</si>
  <si>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</si>
  <si>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</si>
  <si>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</si>
  <si>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</si>
  <si>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</si>
  <si>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</si>
  <si>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</si>
  <si>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</si>
  <si>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</si>
  <si>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</si>
  <si>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</si>
  <si>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</si>
  <si>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</si>
  <si>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</si>
  <si>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</si>
  <si>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</si>
  <si>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</si>
  <si>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</si>
  <si>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</si>
  <si>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</si>
  <si>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</si>
  <si>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</si>
  <si>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</si>
  <si>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</si>
  <si>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</si>
  <si>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</si>
  <si>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</si>
  <si>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</si>
  <si>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</si>
  <si>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</si>
  <si>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</si>
  <si>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</si>
  <si>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</si>
  <si>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</si>
  <si>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</si>
  <si>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</si>
  <si>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</si>
  <si>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</si>
  <si>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</si>
  <si>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</si>
  <si>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</si>
  <si>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</si>
  <si>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</si>
  <si>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</si>
  <si>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</si>
  <si>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</si>
  <si>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</si>
  <si>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</si>
  <si>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</si>
  <si>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</si>
  <si>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</si>
  <si>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</si>
  <si>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</si>
  <si>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</si>
  <si>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</si>
  <si>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</si>
  <si>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</si>
  <si>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</si>
  <si>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</si>
  <si>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</si>
  <si>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</si>
  <si>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</si>
  <si>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</si>
  <si>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</si>
  <si>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</si>
  <si>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</si>
  <si>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</si>
  <si>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</si>
  <si>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</si>
  <si>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</si>
  <si>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</si>
  <si>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</si>
  <si>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</si>
  <si>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</si>
  <si>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</si>
  <si>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</si>
  <si>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</si>
  <si>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</si>
  <si>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</si>
  <si>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</si>
  <si>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</si>
  <si>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</si>
  <si>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</si>
  <si>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</si>
  <si>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</si>
  <si>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</si>
  <si>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</si>
  <si>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</si>
  <si>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</si>
  <si>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</si>
  <si>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</si>
  <si>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</si>
  <si>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</si>
  <si>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</si>
  <si>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</si>
  <si>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</si>
  <si>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</si>
  <si>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</si>
  <si>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</si>
  <si>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</si>
  <si>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</si>
  <si>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</si>
  <si>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</si>
  <si>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</si>
  <si>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</si>
  <si>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</si>
  <si>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</si>
  <si>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</si>
  <si>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</si>
  <si>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</si>
  <si>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</si>
  <si>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</si>
  <si>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</si>
  <si>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</si>
  <si>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</si>
  <si>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</si>
  <si>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</si>
  <si>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</si>
  <si>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</si>
  <si>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</si>
  <si>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</si>
  <si>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</si>
  <si>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</si>
  <si>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</si>
  <si>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</si>
  <si>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</si>
  <si>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</si>
  <si>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</si>
  <si>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</si>
  <si>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</si>
  <si>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</si>
  <si>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</si>
  <si>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</si>
  <si>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</si>
  <si>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</si>
  <si>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</si>
  <si>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</si>
  <si>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</si>
  <si>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</si>
  <si>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</si>
  <si>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</si>
  <si>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</si>
  <si>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</si>
  <si>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</si>
  <si>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</si>
  <si>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</si>
  <si>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</si>
  <si>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</si>
  <si>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</si>
  <si>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</si>
  <si>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</si>
  <si>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</si>
  <si>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</si>
  <si>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</si>
  <si>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</si>
  <si>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</si>
  <si>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</si>
  <si>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</si>
  <si>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</si>
  <si>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</si>
  <si>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</si>
  <si>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</si>
  <si>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</si>
  <si>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</si>
  <si>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</si>
  <si>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</si>
  <si>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</si>
  <si>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</si>
  <si>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</si>
  <si>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</si>
  <si>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</si>
  <si>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</si>
  <si>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</si>
  <si>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</si>
  <si>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</si>
  <si>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</si>
  <si>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</si>
  <si>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</si>
  <si>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</si>
  <si>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</si>
  <si>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</si>
  <si>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</si>
  <si>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</si>
  <si>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</si>
  <si>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</si>
  <si>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</si>
  <si>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</si>
  <si>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</si>
  <si>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</si>
  <si>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</si>
  <si>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</si>
  <si>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</si>
  <si>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</si>
  <si>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</si>
  <si>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</si>
  <si>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</si>
  <si>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</si>
  <si>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</si>
  <si>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</si>
  <si>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</si>
  <si>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</si>
  <si>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</si>
  <si>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</si>
  <si>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</si>
  <si>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</si>
  <si>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</si>
  <si>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</si>
  <si>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</si>
  <si>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</si>
  <si>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</si>
  <si>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</si>
  <si>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</si>
  <si>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</si>
  <si>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</si>
  <si>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</si>
  <si>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</si>
  <si>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</si>
  <si>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</si>
  <si>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</si>
  <si>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</si>
  <si>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</si>
  <si>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</si>
  <si>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</si>
  <si>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</si>
  <si>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</si>
  <si>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</si>
  <si>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</si>
  <si>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</si>
  <si>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</si>
  <si>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</si>
  <si>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</si>
  <si>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</si>
  <si>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</si>
  <si>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</si>
  <si>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</si>
  <si>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</si>
  <si>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</si>
  <si>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</si>
  <si>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</si>
  <si>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</si>
  <si>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</si>
  <si>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</si>
  <si>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</si>
  <si>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</si>
  <si>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</si>
  <si>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</si>
  <si>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</si>
  <si>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</si>
  <si>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</si>
  <si>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</si>
  <si>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</si>
  <si>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</si>
  <si>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</si>
  <si>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</si>
  <si>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</si>
  <si>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</si>
  <si>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</si>
  <si>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</si>
  <si>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</si>
  <si>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</si>
  <si>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</si>
  <si>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</si>
  <si>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</si>
  <si>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</si>
  <si>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</si>
  <si>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</si>
  <si>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</si>
  <si>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</si>
  <si>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</si>
  <si>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</si>
  <si>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</si>
  <si>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</si>
  <si>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</si>
  <si>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</si>
  <si>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</si>
  <si>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</si>
  <si>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</si>
  <si>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</si>
  <si>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</si>
  <si>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</si>
  <si>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</si>
  <si>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</si>
  <si>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</si>
  <si>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</si>
  <si>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</si>
  <si>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</si>
  <si>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</si>
  <si>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</si>
  <si>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</si>
  <si>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</si>
  <si>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</si>
  <si>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</si>
  <si>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</si>
  <si>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</si>
  <si>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</si>
  <si>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</si>
  <si>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</si>
  <si>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</si>
  <si>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</si>
  <si>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</si>
  <si>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</si>
  <si>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</si>
  <si>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</si>
  <si>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</si>
  <si>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</si>
  <si>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</si>
  <si>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</si>
  <si>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</si>
  <si>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</si>
  <si>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</si>
  <si>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</si>
  <si>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</si>
  <si>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</si>
  <si>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</si>
  <si>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</si>
  <si>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</si>
  <si>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</si>
  <si>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</si>
  <si>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</si>
  <si>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</si>
  <si>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</si>
  <si>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</si>
  <si>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</si>
  <si>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</si>
  <si>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</si>
  <si>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</si>
  <si>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</si>
  <si>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</si>
  <si>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</si>
  <si>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</si>
  <si>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</si>
  <si>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</si>
  <si>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</si>
  <si>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</si>
  <si>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</si>
  <si>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</si>
  <si>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</si>
  <si>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</si>
  <si>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</si>
  <si>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</si>
  <si>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</si>
  <si>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</si>
  <si>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</si>
  <si>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</si>
  <si>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</si>
  <si>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</si>
  <si>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</si>
  <si>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</si>
  <si>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</si>
  <si>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</si>
  <si>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</si>
  <si>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</si>
  <si>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</si>
  <si>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</si>
  <si>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</si>
  <si>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</si>
  <si>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</si>
  <si>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</si>
  <si>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</si>
  <si>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</si>
  <si>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</si>
  <si>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</si>
  <si>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</si>
  <si>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</si>
  <si>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</si>
  <si>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</si>
  <si>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</si>
  <si>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</si>
  <si>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</si>
  <si>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</si>
  <si>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</si>
  <si>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</si>
  <si>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</si>
  <si>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</si>
  <si>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</si>
  <si>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</si>
  <si>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</si>
  <si>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</si>
  <si>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</si>
  <si>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</si>
  <si>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</si>
  <si>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</si>
  <si>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</si>
  <si>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</si>
  <si>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</si>
  <si>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</si>
  <si>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</si>
  <si>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</si>
  <si>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</si>
  <si>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</si>
  <si>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</si>
  <si>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</si>
  <si>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</si>
  <si>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</si>
  <si>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</si>
  <si>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</si>
  <si>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</si>
  <si>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</si>
  <si>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</si>
  <si>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</si>
  <si>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</si>
  <si>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</si>
  <si>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</si>
  <si>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</si>
  <si>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</si>
  <si>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</si>
  <si>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</si>
  <si>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</si>
  <si>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</si>
  <si>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</si>
  <si>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</si>
  <si>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</si>
  <si>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</si>
  <si>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</si>
  <si>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</si>
  <si>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</si>
  <si>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</si>
  <si>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</si>
  <si>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</si>
  <si>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</si>
  <si>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</si>
  <si>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</si>
  <si>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</si>
  <si>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</si>
  <si>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</si>
  <si>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</si>
  <si>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</si>
  <si>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</si>
  <si>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</si>
  <si>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</si>
  <si>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</si>
  <si>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</si>
  <si>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</si>
  <si>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</si>
  <si>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</si>
  <si>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</si>
  <si>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</si>
  <si>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</si>
  <si>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</si>
  <si>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</si>
  <si>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</si>
  <si>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</si>
  <si>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</si>
  <si>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</si>
  <si>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</si>
  <si>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</si>
  <si>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</si>
  <si>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</si>
  <si>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</si>
  <si>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</si>
  <si>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</si>
  <si>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</si>
  <si>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</si>
  <si>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</si>
  <si>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</si>
  <si>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</si>
  <si>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</si>
  <si>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</si>
  <si>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</si>
  <si>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</si>
  <si>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</si>
  <si>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</si>
  <si>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</si>
  <si>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</si>
  <si>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</si>
  <si>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</si>
  <si>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</si>
  <si>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</si>
  <si>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</si>
  <si>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</si>
  <si>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</si>
  <si>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</si>
  <si>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</si>
  <si>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</si>
  <si>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</si>
  <si>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</si>
  <si>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</si>
  <si>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</si>
  <si>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</si>
  <si>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</si>
  <si>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</si>
  <si>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</si>
  <si>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</si>
  <si>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</si>
  <si>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</si>
  <si>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</si>
  <si>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</si>
  <si>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</si>
  <si>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</si>
  <si>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</si>
  <si>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</si>
  <si>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</si>
  <si>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</si>
  <si>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</si>
  <si>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</si>
  <si>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</si>
  <si>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</si>
  <si>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</si>
  <si>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</si>
  <si>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</si>
  <si>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</si>
  <si>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</si>
  <si>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</si>
  <si>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</si>
  <si>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</si>
  <si>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</si>
  <si>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</si>
  <si>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</si>
  <si>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</si>
  <si>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</si>
  <si>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</si>
  <si>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</si>
  <si>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</si>
  <si>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</si>
  <si>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</si>
  <si>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</si>
  <si>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</si>
  <si>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</si>
  <si>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</si>
  <si>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</si>
  <si>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</si>
  <si>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</si>
  <si>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</si>
  <si>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</si>
  <si>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</si>
  <si>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</si>
  <si>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</si>
  <si>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</si>
  <si>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</si>
  <si>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</si>
  <si>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</si>
  <si>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</si>
  <si>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</si>
  <si>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</si>
  <si>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</si>
  <si>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</si>
  <si>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</si>
  <si>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</si>
  <si>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</si>
  <si>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</si>
  <si>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</si>
  <si>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</si>
  <si>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</si>
  <si>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</si>
  <si>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</si>
  <si>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</si>
  <si>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</si>
  <si>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</si>
  <si>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</si>
  <si>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</si>
  <si>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</si>
  <si>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</si>
  <si>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</si>
  <si>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</si>
  <si>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</si>
  <si>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</si>
  <si>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</si>
  <si>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</si>
  <si>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</si>
  <si>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</si>
  <si>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</si>
  <si>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</si>
  <si>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</si>
  <si>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</si>
  <si>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</si>
  <si>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</si>
  <si>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</si>
  <si>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</si>
  <si>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</si>
  <si>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</si>
  <si>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</si>
  <si>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</si>
  <si>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</si>
  <si>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</si>
  <si>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</si>
  <si>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</si>
  <si>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</si>
  <si>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</si>
  <si>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</si>
  <si>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</si>
  <si>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</si>
  <si>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</si>
  <si>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</si>
  <si>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</si>
  <si>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</si>
  <si>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</si>
  <si>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</si>
  <si>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</si>
  <si>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</si>
  <si>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</si>
  <si>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</si>
  <si>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</si>
  <si>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</si>
  <si>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</si>
  <si>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</si>
  <si>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</si>
  <si>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</si>
  <si>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</si>
  <si>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</si>
  <si>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</si>
  <si>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</si>
  <si>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</si>
  <si>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</si>
  <si>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</si>
  <si>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</si>
  <si>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</si>
  <si>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</si>
  <si>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</si>
  <si>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</si>
  <si>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</si>
  <si>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</si>
  <si>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</si>
  <si>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</si>
  <si>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</si>
  <si>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</si>
  <si>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</si>
  <si>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</si>
  <si>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</si>
  <si>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</si>
  <si>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</si>
  <si>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</si>
  <si>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</si>
  <si>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</si>
  <si>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</si>
  <si>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</si>
  <si>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</si>
  <si>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</si>
  <si>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</si>
  <si>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</si>
  <si>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</si>
  <si>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</si>
  <si>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</si>
  <si>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</si>
  <si>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</si>
  <si>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</si>
  <si>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</si>
  <si>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</si>
  <si>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</si>
  <si>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</si>
  <si>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</si>
  <si>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</si>
  <si>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</si>
  <si>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</si>
  <si>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</si>
  <si>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</si>
  <si>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</si>
  <si>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</si>
  <si>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</si>
  <si>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</si>
  <si>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</si>
  <si>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</si>
  <si>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</si>
  <si>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</si>
  <si>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</si>
  <si>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</si>
  <si>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</si>
  <si>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</si>
  <si>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</si>
  <si>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</si>
  <si>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</si>
  <si>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</si>
  <si>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</si>
  <si>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</si>
  <si>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</si>
  <si>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</si>
  <si>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</si>
  <si>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</si>
  <si>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</si>
  <si>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</si>
  <si>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</si>
  <si>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</si>
  <si>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</si>
  <si>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</si>
  <si>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</si>
  <si>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</si>
  <si>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</si>
  <si>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</si>
  <si>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</si>
  <si>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</si>
  <si>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</si>
  <si>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</si>
  <si>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</si>
  <si>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</si>
  <si>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</si>
  <si>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</si>
  <si>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</si>
  <si>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</si>
  <si>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</si>
  <si>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</si>
  <si>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</si>
  <si>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</si>
  <si>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</si>
  <si>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</si>
  <si>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</si>
  <si>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</si>
  <si>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</si>
  <si>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</si>
  <si>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</si>
  <si>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</si>
  <si>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</si>
  <si>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</si>
  <si>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</si>
  <si>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</si>
  <si>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</si>
  <si>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</si>
  <si>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</si>
  <si>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</si>
  <si>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</si>
  <si>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</si>
  <si>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</si>
  <si>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</si>
  <si>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</si>
  <si>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</si>
  <si>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</si>
  <si>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</si>
  <si>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</si>
  <si>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</si>
  <si>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</si>
  <si>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</si>
  <si>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</si>
  <si>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</si>
  <si>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</si>
  <si>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</si>
  <si>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</si>
  <si>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</si>
  <si>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</si>
  <si>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</si>
  <si>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</si>
  <si>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</si>
  <si>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</si>
  <si>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</si>
  <si>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</si>
  <si>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</si>
  <si>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</si>
  <si>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</si>
  <si>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</si>
  <si>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</si>
  <si>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</si>
  <si>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</si>
  <si>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</si>
  <si>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</si>
  <si>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</si>
  <si>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</si>
  <si>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</si>
  <si>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</si>
  <si>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</si>
  <si>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</si>
  <si>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</si>
  <si>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</si>
  <si>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</si>
  <si>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</si>
  <si>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</si>
  <si>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</si>
  <si>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</si>
  <si>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</si>
  <si>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</si>
  <si>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</si>
  <si>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</si>
  <si>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</si>
  <si>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</si>
  <si>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</si>
  <si>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</si>
  <si>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</si>
  <si>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</si>
  <si>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</si>
  <si>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</si>
  <si>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</si>
  <si>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</si>
  <si>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</si>
  <si>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</si>
  <si>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</si>
  <si>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</si>
  <si>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</si>
  <si>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</si>
  <si>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</si>
  <si>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</si>
  <si>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</si>
  <si>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</si>
  <si>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</si>
  <si>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</si>
  <si>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</si>
  <si>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</si>
  <si>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</si>
  <si>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</si>
  <si>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</si>
  <si>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</si>
  <si>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</si>
  <si>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</si>
  <si>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</si>
  <si>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</si>
  <si>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</si>
  <si>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</si>
  <si>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</si>
  <si>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</si>
  <si>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</si>
  <si>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</si>
  <si>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</si>
  <si>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</si>
  <si>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</si>
  <si>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</si>
  <si>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</si>
  <si>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</si>
  <si>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</si>
  <si>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</si>
  <si>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</si>
  <si>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</si>
  <si>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</si>
  <si>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</si>
  <si>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</si>
  <si>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</si>
  <si>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</si>
  <si>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</si>
  <si>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</si>
  <si>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</si>
  <si>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</si>
  <si>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</si>
  <si>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</si>
  <si>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</si>
  <si>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</si>
  <si>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</si>
  <si>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</si>
  <si>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</si>
  <si>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</si>
  <si>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</si>
  <si>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</si>
  <si>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</si>
  <si>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</si>
  <si>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</si>
  <si>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</si>
  <si>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</si>
  <si>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</si>
  <si>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</si>
  <si>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</si>
  <si>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</si>
  <si>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</si>
  <si>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</si>
  <si>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</si>
  <si>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</si>
  <si>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</si>
  <si>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</si>
  <si>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</si>
  <si>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</si>
  <si>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</si>
  <si>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</si>
  <si>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</si>
  <si>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</si>
  <si>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</si>
  <si>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</si>
  <si>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</si>
  <si>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</si>
  <si>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</si>
  <si>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</si>
  <si>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</si>
  <si>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</si>
  <si>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</si>
  <si>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</si>
  <si>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</si>
  <si>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</si>
  <si>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</si>
  <si>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</si>
  <si>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</si>
  <si>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</si>
  <si>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</si>
  <si>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</si>
  <si>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</si>
  <si>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</si>
  <si>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</si>
  <si>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</si>
  <si>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</si>
  <si>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</si>
  <si>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</si>
  <si>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</si>
  <si>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</si>
  <si>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</si>
  <si>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</si>
  <si>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</si>
  <si>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</si>
  <si>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</si>
  <si>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</si>
  <si>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</si>
  <si>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</si>
  <si>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</si>
  <si>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</si>
  <si>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</si>
  <si>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</si>
  <si>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</si>
  <si>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</si>
  <si>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</si>
  <si>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</si>
  <si>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</si>
  <si>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</si>
  <si>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</si>
  <si>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</si>
  <si>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</si>
  <si>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</si>
  <si>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</si>
  <si>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</si>
  <si>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</si>
  <si>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</si>
  <si>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</si>
  <si>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</si>
  <si>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</si>
  <si>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</si>
  <si>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</si>
  <si>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</si>
  <si>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</si>
  <si>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</si>
  <si>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</si>
  <si>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</si>
  <si>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</si>
  <si>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</si>
  <si>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</si>
  <si>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</si>
  <si>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</si>
  <si>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</si>
  <si>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</si>
  <si>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</si>
  <si>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</si>
  <si>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</si>
  <si>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</si>
  <si>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</si>
  <si>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</si>
  <si>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</si>
  <si>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</si>
  <si>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</si>
  <si>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</si>
  <si>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</si>
  <si>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</si>
  <si>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</si>
  <si>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</si>
  <si>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</si>
  <si>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</si>
  <si>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</si>
  <si>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</si>
  <si>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</si>
  <si>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</si>
  <si>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</si>
  <si>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</si>
  <si>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</si>
  <si>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</si>
  <si>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</si>
  <si>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</si>
  <si>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</si>
  <si>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</si>
  <si>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</si>
  <si>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</si>
  <si>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</si>
  <si>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</si>
  <si>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</si>
  <si>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</si>
  <si>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</si>
  <si>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</si>
  <si>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</si>
  <si>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</si>
  <si>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</si>
  <si>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</si>
  <si>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</si>
  <si>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</si>
  <si>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</si>
  <si>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</si>
  <si>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</si>
  <si>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</si>
  <si>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</si>
  <si>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</si>
  <si>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</si>
  <si>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</si>
  <si>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</si>
  <si>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</si>
  <si>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</si>
  <si>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</si>
  <si>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</si>
  <si>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</si>
  <si>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</si>
  <si>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</si>
  <si>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</si>
  <si>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</si>
  <si>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</si>
  <si>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</si>
  <si>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</si>
  <si>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</si>
  <si>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</si>
  <si>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</si>
  <si>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</si>
  <si>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</si>
  <si>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</si>
  <si>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</si>
  <si>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</si>
  <si>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</si>
  <si>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</si>
  <si>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</si>
  <si>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</si>
  <si>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</si>
  <si>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</si>
  <si>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</si>
  <si>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</si>
  <si>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</si>
  <si>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</si>
  <si>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</si>
  <si>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</si>
  <si>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</si>
  <si>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</si>
  <si>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</si>
  <si>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</si>
  <si>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</si>
  <si>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</si>
  <si>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</si>
  <si>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</si>
  <si>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</si>
  <si>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</si>
  <si>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</si>
  <si>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</si>
  <si>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</si>
  <si>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</si>
  <si>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</si>
  <si>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</si>
  <si>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</si>
  <si>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</si>
  <si>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</si>
  <si>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</si>
  <si>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</si>
  <si>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</si>
  <si>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</si>
  <si>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</si>
  <si>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</si>
  <si>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</si>
  <si>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</si>
  <si>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</si>
  <si>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</si>
  <si>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</si>
  <si>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</si>
  <si>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</si>
  <si>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</si>
  <si>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</si>
  <si>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</si>
  <si>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</si>
  <si>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</si>
  <si>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</si>
  <si>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</si>
  <si>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</si>
  <si>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</si>
  <si>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</si>
  <si>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</si>
  <si>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</si>
  <si>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</si>
  <si>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</si>
  <si>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</si>
  <si>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</si>
  <si>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</si>
  <si>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</si>
  <si>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</si>
  <si>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</si>
  <si>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</si>
  <si>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</si>
  <si>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</si>
  <si>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</si>
  <si>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</si>
  <si>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</si>
  <si>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</si>
  <si>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</si>
  <si>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</si>
  <si>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</si>
  <si>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</si>
  <si>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</si>
  <si>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</si>
  <si>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</si>
  <si>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</si>
  <si>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</si>
  <si>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</si>
  <si>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</si>
  <si>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</si>
  <si>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</si>
  <si>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</si>
  <si>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</si>
  <si>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</si>
  <si>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</si>
  <si>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</si>
  <si>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</si>
  <si>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</si>
  <si>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</si>
  <si>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</si>
  <si>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</si>
  <si>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</si>
  <si>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</si>
  <si>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</si>
  <si>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</si>
  <si>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</si>
  <si>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</si>
  <si>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</si>
  <si>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</si>
  <si>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</si>
  <si>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</si>
  <si>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</si>
  <si>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</si>
  <si>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</si>
  <si>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</si>
  <si>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</si>
  <si>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</si>
  <si>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</si>
  <si>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</si>
  <si>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</si>
  <si>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</si>
  <si>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</si>
  <si>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</si>
  <si>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</si>
  <si>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</si>
  <si>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</si>
  <si>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</si>
  <si>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</si>
  <si>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</si>
  <si>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</si>
  <si>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</si>
  <si>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</si>
  <si>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</si>
  <si>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</si>
  <si>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</si>
  <si>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</si>
  <si>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</si>
  <si>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</si>
  <si>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</si>
  <si>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</si>
  <si>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</si>
  <si>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</si>
  <si>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</si>
  <si>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</si>
  <si>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</si>
  <si>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</si>
  <si>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</si>
  <si>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</si>
  <si>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</si>
  <si>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</si>
  <si>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</si>
  <si>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</si>
  <si>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</si>
  <si>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</si>
  <si>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</si>
  <si>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</si>
  <si>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</si>
  <si>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</si>
  <si>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</si>
  <si>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</si>
  <si>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</si>
  <si>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</si>
  <si>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</si>
  <si>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</si>
  <si>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</si>
  <si>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</si>
  <si>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</si>
  <si>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</si>
  <si>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</si>
  <si>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</si>
  <si>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</si>
  <si>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</si>
  <si>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</si>
  <si>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</si>
  <si>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</si>
  <si>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</si>
  <si>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</si>
  <si>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</si>
  <si>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</si>
  <si>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</si>
  <si>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</si>
  <si>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</si>
  <si>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</si>
  <si>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</si>
  <si>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</si>
  <si>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</si>
  <si>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</si>
  <si>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</si>
  <si>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</si>
  <si>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</si>
  <si>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</si>
  <si>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</si>
  <si>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</si>
  <si>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</si>
  <si>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</si>
  <si>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</si>
  <si>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</si>
  <si>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</si>
  <si>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</si>
  <si>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</si>
  <si>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</si>
  <si>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</si>
  <si>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</si>
  <si>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</si>
  <si>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</si>
  <si>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</si>
  <si>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</si>
  <si>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</si>
  <si>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</si>
  <si>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</si>
  <si>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</si>
  <si>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</si>
  <si>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</si>
  <si>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</si>
  <si>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</si>
  <si>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</si>
  <si>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</si>
  <si>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</si>
  <si>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</si>
  <si>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</si>
  <si>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</si>
  <si>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</si>
  <si>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</si>
  <si>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</si>
  <si>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</si>
  <si>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</si>
  <si>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</si>
  <si>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</si>
  <si>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</si>
  <si>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</si>
  <si>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</si>
  <si>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</si>
  <si>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</si>
  <si>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</si>
  <si>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</si>
  <si>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</si>
  <si>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</si>
  <si>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</si>
  <si>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</si>
  <si>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</si>
  <si>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</si>
  <si>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</si>
  <si>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</si>
  <si>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</si>
  <si>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</si>
  <si>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</si>
  <si>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</si>
  <si>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</si>
  <si>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</si>
  <si>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</si>
  <si>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</si>
  <si>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</si>
  <si>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</si>
  <si>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</si>
  <si>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</si>
  <si>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</si>
  <si>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</si>
  <si>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</si>
  <si>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</si>
  <si>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</si>
  <si>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</si>
  <si>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</si>
  <si>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</si>
  <si>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</si>
  <si>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</si>
  <si>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</si>
  <si>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</si>
  <si>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</si>
  <si>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</si>
  <si>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</si>
  <si>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</si>
  <si>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</si>
  <si>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</si>
  <si>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</si>
  <si>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</si>
  <si>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</si>
  <si>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</si>
  <si>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</si>
  <si>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</si>
  <si>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</si>
  <si>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</si>
  <si>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</si>
  <si>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</si>
  <si>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</si>
  <si>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</si>
  <si>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</si>
  <si>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</si>
  <si>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</si>
  <si>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</si>
  <si>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</si>
  <si>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</si>
  <si>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</si>
  <si>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</si>
  <si>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</si>
  <si>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</si>
  <si>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</si>
  <si>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</si>
  <si>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</si>
  <si>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</si>
  <si>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</si>
  <si>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</si>
  <si>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</si>
  <si>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</si>
  <si>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</si>
  <si>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</si>
  <si>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</si>
  <si>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</si>
  <si>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</si>
  <si>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</si>
  <si>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</si>
  <si>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</si>
  <si>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</si>
  <si>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</si>
  <si>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</si>
  <si>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</si>
  <si>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</si>
  <si>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</si>
  <si>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</si>
  <si>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</si>
  <si>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</si>
  <si>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</si>
  <si>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</si>
  <si>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</si>
  <si>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</si>
  <si>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</si>
  <si>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</si>
  <si>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</si>
  <si>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</si>
  <si>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</si>
  <si>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</si>
  <si>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</si>
  <si>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</si>
  <si>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</si>
  <si>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</si>
  <si>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</si>
  <si>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</si>
  <si>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</si>
  <si>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</si>
  <si>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</si>
  <si>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</si>
  <si>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</si>
  <si>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</si>
  <si>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</si>
  <si>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</si>
  <si>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</si>
  <si>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</si>
  <si>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</si>
  <si>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</si>
  <si>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</si>
  <si>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</si>
  <si>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</si>
  <si>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</si>
  <si>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</si>
  <si>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</si>
  <si>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</si>
  <si>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</si>
  <si>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</si>
  <si>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</si>
  <si>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</si>
  <si>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</si>
  <si>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</si>
  <si>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</si>
  <si>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</si>
  <si>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</si>
  <si>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</si>
  <si>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</si>
  <si>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</si>
  <si>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</si>
  <si>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</si>
  <si>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</si>
  <si>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</si>
  <si>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</si>
  <si>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</si>
  <si>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</si>
  <si>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</si>
  <si>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</si>
  <si>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</si>
  <si>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</si>
  <si>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</si>
  <si>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</si>
  <si>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</si>
  <si>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</si>
  <si>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</si>
  <si>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</si>
  <si>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</si>
  <si>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</si>
  <si>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</si>
  <si>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</si>
  <si>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</si>
  <si>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</si>
  <si>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</si>
  <si>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</si>
  <si>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</si>
  <si>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</si>
  <si>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</si>
  <si>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</si>
  <si>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</si>
  <si>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</si>
  <si>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</si>
  <si>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</si>
  <si>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</si>
  <si>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</si>
  <si>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</si>
  <si>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</si>
  <si>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</si>
  <si>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</si>
  <si>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</si>
  <si>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</si>
  <si>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</si>
  <si>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</si>
  <si>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</si>
  <si>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</si>
  <si>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</si>
  <si>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</si>
  <si>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</si>
  <si>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</si>
  <si>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</si>
  <si>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</si>
  <si>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</si>
  <si>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</si>
  <si>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</si>
  <si>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</si>
  <si>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</si>
  <si>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</si>
  <si>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</si>
  <si>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</si>
  <si>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</si>
  <si>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</si>
  <si>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</si>
  <si>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</si>
  <si>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</si>
  <si>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</si>
  <si>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</si>
  <si>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</si>
  <si>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</si>
  <si>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</si>
  <si>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</si>
  <si>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</si>
  <si>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</si>
  <si>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</si>
  <si>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</si>
  <si>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</si>
  <si>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</si>
  <si>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</si>
  <si>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</si>
  <si>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</si>
  <si>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</si>
  <si>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</si>
  <si>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</si>
  <si>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</si>
  <si>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</si>
  <si>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</si>
  <si>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</si>
  <si>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</si>
  <si>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</si>
  <si>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</si>
  <si>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</si>
  <si>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</si>
  <si>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</si>
  <si>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</si>
  <si>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</si>
  <si>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</si>
  <si>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</si>
  <si>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</si>
  <si>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</si>
  <si>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</si>
  <si>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</si>
  <si>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</si>
  <si>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</si>
  <si>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</si>
  <si>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</si>
  <si>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</si>
  <si>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</si>
  <si>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</si>
  <si>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</si>
  <si>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</si>
  <si>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</si>
  <si>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</si>
  <si>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</si>
  <si>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</si>
  <si>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</si>
  <si>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</si>
  <si>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</si>
  <si>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</si>
  <si>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</si>
  <si>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</si>
  <si>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</si>
  <si>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</si>
  <si>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</si>
  <si>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</si>
  <si>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</si>
  <si>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</si>
  <si>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</si>
  <si>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</si>
  <si>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</si>
  <si>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</si>
  <si>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</si>
  <si>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</si>
  <si>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</si>
  <si>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</si>
  <si>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</si>
  <si>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</si>
  <si>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</si>
  <si>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</si>
  <si>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</si>
  <si>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</si>
  <si>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</si>
  <si>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</si>
  <si>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</si>
  <si>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</si>
  <si>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</si>
  <si>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</si>
  <si>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</si>
  <si>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</si>
  <si>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</si>
  <si>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</si>
  <si>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</si>
  <si>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</si>
  <si>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</si>
  <si>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</si>
  <si>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</si>
  <si>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</si>
  <si>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</si>
  <si>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</si>
  <si>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</si>
  <si>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</si>
  <si>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</si>
  <si>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</si>
  <si>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</si>
  <si>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</si>
  <si>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</si>
  <si>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</si>
  <si>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</si>
  <si>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</si>
  <si>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</si>
  <si>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</si>
  <si>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</si>
  <si>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</si>
  <si>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</si>
  <si>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</si>
  <si>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</si>
  <si>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</si>
  <si>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</si>
  <si>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</si>
  <si>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</si>
  <si>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</si>
  <si>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</si>
  <si>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</si>
  <si>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</si>
  <si>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</si>
  <si>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</si>
  <si>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</si>
  <si>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</si>
  <si>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</si>
  <si>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</si>
  <si>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</si>
  <si>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</si>
  <si>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</si>
  <si>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</si>
  <si>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</si>
  <si>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</si>
  <si>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</si>
  <si>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</si>
  <si>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</si>
  <si>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</si>
  <si>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</si>
  <si>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</si>
  <si>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</si>
  <si>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</si>
  <si>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</si>
  <si>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</si>
  <si>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</si>
  <si>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</si>
  <si>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</si>
  <si>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</si>
  <si>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</si>
  <si>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</si>
  <si>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</si>
  <si>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</si>
  <si>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</si>
  <si>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</si>
  <si>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</si>
  <si>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</si>
  <si>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</si>
  <si>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</si>
  <si>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</si>
  <si>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</si>
  <si>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</si>
  <si>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</si>
  <si>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</si>
  <si>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</si>
  <si>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</si>
  <si>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</si>
  <si>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</si>
  <si>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</si>
  <si>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</si>
  <si>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</si>
  <si>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</si>
  <si>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</si>
  <si>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</si>
  <si>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</si>
  <si>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</si>
  <si>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</si>
  <si>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</si>
  <si>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</si>
  <si>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</si>
  <si>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</si>
  <si>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</si>
  <si>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</si>
  <si>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</si>
  <si>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</si>
  <si>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</si>
  <si>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</si>
  <si>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</si>
  <si>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</si>
  <si>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</si>
  <si>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</si>
  <si>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</si>
  <si>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</si>
  <si>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</si>
  <si>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</si>
  <si>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</si>
  <si>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</si>
  <si>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</si>
  <si>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</si>
  <si>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</si>
  <si>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</si>
  <si>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</si>
  <si>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</si>
  <si>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</si>
  <si>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</si>
  <si>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</si>
  <si>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</si>
  <si>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</si>
  <si>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</si>
  <si>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</si>
  <si>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</si>
  <si>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</si>
  <si>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</si>
  <si>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</si>
  <si>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</si>
  <si>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</si>
  <si>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</si>
  <si>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</si>
  <si>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</si>
  <si>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</si>
  <si>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</si>
  <si>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</si>
  <si>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</si>
  <si>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</si>
  <si>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</si>
  <si>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</si>
  <si>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</si>
  <si>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</si>
  <si>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</si>
  <si>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</si>
  <si>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</si>
  <si>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</si>
  <si>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</si>
  <si>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</si>
  <si>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</si>
  <si>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</si>
  <si>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</si>
  <si>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</si>
  <si>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</si>
  <si>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</si>
  <si>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</si>
  <si>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</si>
  <si>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</si>
  <si>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</si>
  <si>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</si>
  <si>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</si>
  <si>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</si>
  <si>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</si>
  <si>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</si>
  <si>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</si>
  <si>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</si>
  <si>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</si>
  <si>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</si>
  <si>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</si>
  <si>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</si>
  <si>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</si>
  <si>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</si>
  <si>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</si>
  <si>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</si>
  <si>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</si>
  <si>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</si>
  <si>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</si>
  <si>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</si>
  <si>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</si>
  <si>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</si>
  <si>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</si>
  <si>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</si>
  <si>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</si>
  <si>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</si>
  <si>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</si>
  <si>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</si>
  <si>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</si>
  <si>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</si>
  <si>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</si>
  <si>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</si>
  <si>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</si>
  <si>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</si>
  <si>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</si>
  <si>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</si>
  <si>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</si>
  <si>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</si>
  <si>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</si>
  <si>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</si>
  <si>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</si>
  <si>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</si>
  <si>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</si>
  <si>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</si>
  <si>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</si>
  <si>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</si>
  <si>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</si>
  <si>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</si>
  <si>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</si>
  <si>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</si>
  <si>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</si>
  <si>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</si>
  <si>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</si>
  <si>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</si>
  <si>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</si>
  <si>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</si>
  <si>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</si>
  <si>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</si>
  <si>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</si>
  <si>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</si>
  <si>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</si>
  <si>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</si>
  <si>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</si>
  <si>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</si>
  <si>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</si>
  <si>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</si>
  <si>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</si>
  <si>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</si>
  <si>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</si>
  <si>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</si>
  <si>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</si>
  <si>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</si>
  <si>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</si>
  <si>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</si>
  <si>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</si>
  <si>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</si>
  <si>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</si>
  <si>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</si>
  <si>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</si>
  <si>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</si>
  <si>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</si>
  <si>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</si>
  <si>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</si>
  <si>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</si>
  <si>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</si>
  <si>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</si>
  <si>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</si>
  <si>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</si>
  <si>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</si>
  <si>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</si>
  <si>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</si>
  <si>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</si>
  <si>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</si>
  <si>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</si>
  <si>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</si>
  <si>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</si>
  <si>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</si>
  <si>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</si>
  <si>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</si>
  <si>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</si>
  <si>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</si>
  <si>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</si>
  <si>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</si>
  <si>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</si>
  <si>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</si>
  <si>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</si>
  <si>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</si>
  <si>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</si>
  <si>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</si>
  <si>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</si>
  <si>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</si>
  <si>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</si>
  <si>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</si>
  <si>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</si>
  <si>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</si>
  <si>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</si>
  <si>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</si>
  <si>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</si>
  <si>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</si>
  <si>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</si>
  <si>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</si>
  <si>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</si>
  <si>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</si>
  <si>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</si>
  <si>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</si>
  <si>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</si>
  <si>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</si>
  <si>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</si>
  <si>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</si>
  <si>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</si>
  <si>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</si>
  <si>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</si>
  <si>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</si>
  <si>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</si>
  <si>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</si>
  <si>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</si>
  <si>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</si>
  <si>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</si>
  <si>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</si>
  <si>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</si>
  <si>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</si>
  <si>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</si>
  <si>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</si>
  <si>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</si>
  <si>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</si>
  <si>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</si>
  <si>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</si>
  <si>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</si>
  <si>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</si>
  <si>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</si>
  <si>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</si>
  <si>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</si>
  <si>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</si>
  <si>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</si>
  <si>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</si>
  <si>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</si>
  <si>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</si>
  <si>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</si>
  <si>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</si>
  <si>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</si>
  <si>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</si>
  <si>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</si>
  <si>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</si>
  <si>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</si>
  <si>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</si>
  <si>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</si>
  <si>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</si>
  <si>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</si>
  <si>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</si>
  <si>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</si>
  <si>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</si>
  <si>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</si>
  <si>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</si>
  <si>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</si>
  <si>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</si>
  <si>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</si>
  <si>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</si>
  <si>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</si>
  <si>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</si>
  <si>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</si>
  <si>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</si>
  <si>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</si>
  <si>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</si>
  <si>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</si>
  <si>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</si>
  <si>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</si>
  <si>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</si>
  <si>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</si>
  <si>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</si>
  <si>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</si>
  <si>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</si>
  <si>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</si>
  <si>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</si>
  <si>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</si>
  <si>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</si>
  <si>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</si>
  <si>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</si>
  <si>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</si>
  <si>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</si>
  <si>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</si>
  <si>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</si>
  <si>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</si>
  <si>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</si>
  <si>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</si>
  <si>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</si>
  <si>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</si>
  <si>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</si>
  <si>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</si>
  <si>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</si>
  <si>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</si>
  <si>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</si>
  <si>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</si>
  <si>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</si>
  <si>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</si>
  <si>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</si>
  <si>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</si>
  <si>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</si>
  <si>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</si>
  <si>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</si>
  <si>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</si>
  <si>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</si>
  <si>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</si>
  <si>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</si>
  <si>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</si>
  <si>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</si>
  <si>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</si>
  <si>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</si>
  <si>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</si>
  <si>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</si>
  <si>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</si>
  <si>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</si>
  <si>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</si>
  <si>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</si>
  <si>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</si>
  <si>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</si>
  <si>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</si>
  <si>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</si>
  <si>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</si>
  <si>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</si>
  <si>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</si>
  <si>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</si>
  <si>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</si>
  <si>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</si>
  <si>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</si>
  <si>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</si>
  <si>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</si>
  <si>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</si>
  <si>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</si>
  <si>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</si>
  <si>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</si>
  <si>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</si>
  <si>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</si>
  <si>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</si>
  <si>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</si>
  <si>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</si>
  <si>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</si>
  <si>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</si>
  <si>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</si>
  <si>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</si>
  <si>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</si>
  <si>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</si>
  <si>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</si>
  <si>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</si>
  <si>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</si>
  <si>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</si>
  <si>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</si>
  <si>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</si>
  <si>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</si>
  <si>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</si>
  <si>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</si>
  <si>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</si>
  <si>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</si>
  <si>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</si>
  <si>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</si>
  <si>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</si>
  <si>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</si>
  <si>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</si>
  <si>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</si>
  <si>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</si>
  <si>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</si>
  <si>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</si>
  <si>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</si>
  <si>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</si>
  <si>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</si>
  <si>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</si>
  <si>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</si>
  <si>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</si>
  <si>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</si>
  <si>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</si>
  <si>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</si>
  <si>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</si>
  <si>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</si>
  <si>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</si>
  <si>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</si>
  <si>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</si>
  <si>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</si>
  <si>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</si>
  <si>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</si>
  <si>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</si>
  <si>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</si>
  <si>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</si>
  <si>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</si>
  <si>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</si>
  <si>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</si>
  <si>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</si>
  <si>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</si>
  <si>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</si>
  <si>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</si>
  <si>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</si>
  <si>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</si>
  <si>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</si>
  <si>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</si>
  <si>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</si>
  <si>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</si>
  <si>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</si>
  <si>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</si>
  <si>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</si>
  <si>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</si>
  <si>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</si>
  <si>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</si>
  <si>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</si>
  <si>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</si>
  <si>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</si>
  <si>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</si>
  <si>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</si>
  <si>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</si>
  <si>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</si>
  <si>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</si>
  <si>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</si>
  <si>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</si>
  <si>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</si>
  <si>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</si>
  <si>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</si>
  <si>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</si>
  <si>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</si>
  <si>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</si>
  <si>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</si>
  <si>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</si>
  <si>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</si>
  <si>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</si>
  <si>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</si>
  <si>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</si>
  <si>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</si>
  <si>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</si>
  <si>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</si>
  <si>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</si>
  <si>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</si>
  <si>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</si>
  <si>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</si>
  <si>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</si>
  <si>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</si>
  <si>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</si>
  <si>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</si>
  <si>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</si>
  <si>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</si>
  <si>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</si>
  <si>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</si>
  <si>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</si>
  <si>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</si>
  <si>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</si>
  <si>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</si>
  <si>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</si>
  <si>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</si>
  <si>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</si>
  <si>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</si>
  <si>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</si>
  <si>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</si>
  <si>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</si>
  <si>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</si>
  <si>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</si>
  <si>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</si>
  <si>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</si>
  <si>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</si>
  <si>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</si>
  <si>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</si>
  <si>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</si>
  <si>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</si>
  <si>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</si>
  <si>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</si>
  <si>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</si>
  <si>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</si>
  <si>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</si>
  <si>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</si>
  <si>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</si>
  <si>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</si>
  <si>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</si>
  <si>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</si>
  <si>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</si>
  <si>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</si>
  <si>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</si>
  <si>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</si>
  <si>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</si>
  <si>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</si>
  <si>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</si>
  <si>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</si>
  <si>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</si>
  <si>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</si>
  <si>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</si>
  <si>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</si>
  <si>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</si>
  <si>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</si>
  <si>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</si>
  <si>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</si>
  <si>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</si>
  <si>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</si>
  <si>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</si>
  <si>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</si>
  <si>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</si>
  <si>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</si>
  <si>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</si>
  <si>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</si>
  <si>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</si>
  <si>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</si>
  <si>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</si>
  <si>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</si>
  <si>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</si>
  <si>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</si>
  <si>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</si>
  <si>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</si>
  <si>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</si>
  <si>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</si>
  <si>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</si>
  <si>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</si>
  <si>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</si>
  <si>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</si>
  <si>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</si>
  <si>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</si>
  <si>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</si>
  <si>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</si>
  <si>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</si>
  <si>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</si>
  <si>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</si>
  <si>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</si>
  <si>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</si>
  <si>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</si>
  <si>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</si>
  <si>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</si>
  <si>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</si>
  <si>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</si>
  <si>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</si>
  <si>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</si>
  <si>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</si>
  <si>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</si>
  <si>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</si>
  <si>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</si>
  <si>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</si>
  <si>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</si>
  <si>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</si>
  <si>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</si>
  <si>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</si>
  <si>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</si>
  <si>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</si>
  <si>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</si>
  <si>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</si>
  <si>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</si>
  <si>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</si>
  <si>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</si>
  <si>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</si>
  <si>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</si>
  <si>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</si>
  <si>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</si>
  <si>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</si>
  <si>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</si>
  <si>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</si>
  <si>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</si>
  <si>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</si>
  <si>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</si>
  <si>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</si>
  <si>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</si>
  <si>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</si>
  <si>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</si>
  <si>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</si>
  <si>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</si>
  <si>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</si>
  <si>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</si>
  <si>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</si>
  <si>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</si>
  <si>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</si>
  <si>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</si>
  <si>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</si>
  <si>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</si>
  <si>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</si>
  <si>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</si>
  <si>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</si>
  <si>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</si>
  <si>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</si>
  <si>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</si>
  <si>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</si>
  <si>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</si>
  <si>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</si>
  <si>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</si>
  <si>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</si>
  <si>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</si>
  <si>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</si>
  <si>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</si>
  <si>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</si>
  <si>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</si>
  <si>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</si>
  <si>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</si>
  <si>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</si>
  <si>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</si>
  <si>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</si>
  <si>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</si>
  <si>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</si>
  <si>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</si>
  <si>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</si>
  <si>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</si>
  <si>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</si>
  <si>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</si>
  <si>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</si>
  <si>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</si>
  <si>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</si>
  <si>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</si>
  <si>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</si>
  <si>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</si>
  <si>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</si>
  <si>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</si>
  <si>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</si>
  <si>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</si>
  <si>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</si>
  <si>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</si>
  <si>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</si>
  <si>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</si>
  <si>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</si>
  <si>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</si>
  <si>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</si>
  <si>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</si>
  <si>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</si>
  <si>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</si>
  <si>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</si>
  <si>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</si>
  <si>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</si>
  <si>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</si>
  <si>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</si>
  <si>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</si>
  <si>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</si>
  <si>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</si>
  <si>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</si>
  <si>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</si>
  <si>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</si>
  <si>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</si>
  <si>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</si>
  <si>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</si>
  <si>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</si>
  <si>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</si>
  <si>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</si>
  <si>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</si>
  <si>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</si>
  <si>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</si>
  <si>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</si>
  <si>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</si>
  <si>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</si>
  <si>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</si>
  <si>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</si>
  <si>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</si>
  <si>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</si>
  <si>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</si>
  <si>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</si>
  <si>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</si>
  <si>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</si>
  <si>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</si>
  <si>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</si>
  <si>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</si>
  <si>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</si>
  <si>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</si>
  <si>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</si>
  <si>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</si>
  <si>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</si>
  <si>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</si>
  <si>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</si>
  <si>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</si>
  <si>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</si>
  <si>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</si>
  <si>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</si>
  <si>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</si>
  <si>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</si>
  <si>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</si>
  <si>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</si>
  <si>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</si>
  <si>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</si>
  <si>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</si>
  <si>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</si>
  <si>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</si>
  <si>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</si>
  <si>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</si>
  <si>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</si>
  <si>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</si>
  <si>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</si>
  <si>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</si>
  <si>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</si>
  <si>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</si>
  <si>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</si>
  <si>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</si>
  <si>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</si>
  <si>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</si>
  <si>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</si>
  <si>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</si>
  <si>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</si>
  <si>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</si>
  <si>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</si>
  <si>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</si>
  <si>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</si>
  <si>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</si>
  <si>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</si>
  <si>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</si>
  <si>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</si>
  <si>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</si>
  <si>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</si>
  <si>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</si>
  <si>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</si>
  <si>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</si>
  <si>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</si>
  <si>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</si>
  <si>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</si>
  <si>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</si>
  <si>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</si>
  <si>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</si>
  <si>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</si>
  <si>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</si>
  <si>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</si>
  <si>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</si>
  <si>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</si>
  <si>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</si>
  <si>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</si>
  <si>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</si>
  <si>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</si>
  <si>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</si>
  <si>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</si>
  <si>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</si>
  <si>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</si>
  <si>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</si>
  <si>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</si>
  <si>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</si>
  <si>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</si>
  <si>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</si>
  <si>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</si>
  <si>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</si>
  <si>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</si>
  <si>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</si>
  <si>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</si>
  <si>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</si>
  <si>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</si>
  <si>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</si>
  <si>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</si>
  <si>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</si>
  <si>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</si>
  <si>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</si>
  <si>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</si>
  <si>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</si>
  <si>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</si>
  <si>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</si>
  <si>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</si>
  <si>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</si>
  <si>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</si>
  <si>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</si>
  <si>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</si>
  <si>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</si>
  <si>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</si>
  <si>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</si>
  <si>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</si>
  <si>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</si>
  <si>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</si>
  <si>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</si>
  <si>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</si>
  <si>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</si>
  <si>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</si>
  <si>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</si>
  <si>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</si>
  <si>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</si>
  <si>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</si>
  <si>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</si>
  <si>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</si>
  <si>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</si>
  <si>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</si>
  <si>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</si>
  <si>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</si>
  <si>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</si>
  <si>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</si>
  <si>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</si>
  <si>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</si>
  <si>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</si>
  <si>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</si>
  <si>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</si>
  <si>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</si>
  <si>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</si>
  <si>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</si>
  <si>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</si>
  <si>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</si>
  <si>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</si>
  <si>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</si>
  <si>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</si>
  <si>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</si>
  <si>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</si>
  <si>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</si>
  <si>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</si>
  <si>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</si>
  <si>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</si>
  <si>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</si>
  <si>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</si>
  <si>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</si>
  <si>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</si>
  <si>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</si>
  <si>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</si>
  <si>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</si>
  <si>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</si>
  <si>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</si>
  <si>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</si>
  <si>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</si>
  <si>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</si>
  <si>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</si>
  <si>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</si>
  <si>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</si>
  <si>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</si>
  <si>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</si>
  <si>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</si>
  <si>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</si>
  <si>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</si>
  <si>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</si>
  <si>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</si>
  <si>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</si>
  <si>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</si>
  <si>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</si>
  <si>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</si>
  <si>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</si>
  <si>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</si>
  <si>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</si>
  <si>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</si>
  <si>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</si>
  <si>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</si>
  <si>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</si>
  <si>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</si>
  <si>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</si>
  <si>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</si>
  <si>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</si>
  <si>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</si>
  <si>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</si>
  <si>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</si>
  <si>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</si>
  <si>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</si>
  <si>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</si>
  <si>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</si>
  <si>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</si>
  <si>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</si>
  <si>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</si>
  <si>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</si>
  <si>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</si>
  <si>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</si>
  <si>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</si>
  <si>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</si>
  <si>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</si>
  <si>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</si>
  <si>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</si>
  <si>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</si>
  <si>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</si>
  <si>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</si>
  <si>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</si>
  <si>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</si>
  <si>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</si>
  <si>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</si>
  <si>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</si>
  <si>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</si>
  <si>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</si>
  <si>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</si>
  <si>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</si>
  <si>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</si>
  <si>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</si>
  <si>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</si>
  <si>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</si>
  <si>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</si>
  <si>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</si>
  <si>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</si>
  <si>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</si>
  <si>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</si>
  <si>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</si>
  <si>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</si>
  <si>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</si>
  <si>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</si>
  <si>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</si>
  <si>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</si>
  <si>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</si>
  <si>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</si>
  <si>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</si>
  <si>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</si>
  <si>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</si>
  <si>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</si>
  <si>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</si>
  <si>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</si>
  <si>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</si>
  <si>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</si>
  <si>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</si>
  <si>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</si>
  <si>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</si>
  <si>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</si>
  <si>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</si>
  <si>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</si>
  <si>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</si>
  <si>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</si>
  <si>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</si>
  <si>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</si>
  <si>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</si>
  <si>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</si>
  <si>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</si>
  <si>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</si>
  <si>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</si>
  <si>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</si>
  <si>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</si>
  <si>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</si>
  <si>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</si>
  <si>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</si>
  <si>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</si>
  <si>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</si>
  <si>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</si>
  <si>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</si>
  <si>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</si>
  <si>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</si>
  <si>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</si>
  <si>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</si>
  <si>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</si>
  <si>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</si>
  <si>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</si>
  <si>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</si>
  <si>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</si>
  <si>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</si>
  <si>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</si>
  <si>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</si>
  <si>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</si>
  <si>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</si>
  <si>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</si>
  <si>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</si>
  <si>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</si>
  <si>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</si>
  <si>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</si>
  <si>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</si>
  <si>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</si>
  <si>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</si>
  <si>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</si>
  <si>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</si>
  <si>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</si>
  <si>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</si>
  <si>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</si>
  <si>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</si>
  <si>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</si>
  <si>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</si>
  <si>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</si>
  <si>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</si>
  <si>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</si>
  <si>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</si>
  <si>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</si>
  <si>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</si>
  <si>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</si>
  <si>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</si>
  <si>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</si>
  <si>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</si>
  <si>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</si>
  <si>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</si>
  <si>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</si>
  <si>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</si>
  <si>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</si>
  <si>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</si>
  <si>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</si>
  <si>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</si>
  <si>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</si>
  <si>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</si>
  <si>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</si>
  <si>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</si>
  <si>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</si>
  <si>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</si>
  <si>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</si>
  <si>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</si>
  <si>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</si>
  <si>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</si>
  <si>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</si>
  <si>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</si>
  <si>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</si>
  <si>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</si>
  <si>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</si>
  <si>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</si>
  <si>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</si>
  <si>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</si>
  <si>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</si>
  <si>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</si>
  <si>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</si>
  <si>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</si>
  <si>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</si>
  <si>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</si>
  <si>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</si>
  <si>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</si>
  <si>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</si>
  <si>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</si>
  <si>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</si>
  <si>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</si>
  <si>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</si>
  <si>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</si>
  <si>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</si>
  <si>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</si>
  <si>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</si>
  <si>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</si>
  <si>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</si>
  <si>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</si>
  <si>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</si>
  <si>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</si>
  <si>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</si>
  <si>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</si>
  <si>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</si>
  <si>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</si>
  <si>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</si>
  <si>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</si>
  <si>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</si>
  <si>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</si>
  <si>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</si>
  <si>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</si>
  <si>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</si>
  <si>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</si>
  <si>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</si>
  <si>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</si>
  <si>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</si>
  <si>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</si>
  <si>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</si>
  <si>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</si>
  <si>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</si>
  <si>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</si>
  <si>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</si>
  <si>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</si>
  <si>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</si>
  <si>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</si>
  <si>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</si>
  <si>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</si>
  <si>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</si>
  <si>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</si>
  <si>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</si>
  <si>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</si>
  <si>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</si>
  <si>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</si>
  <si>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</si>
  <si>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</si>
  <si>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</si>
  <si>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</si>
  <si>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</si>
  <si>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</si>
  <si>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</si>
  <si>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</si>
  <si>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</si>
  <si>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</si>
  <si>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</si>
  <si>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</si>
  <si>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</si>
  <si>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</si>
  <si>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</si>
  <si>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</si>
  <si>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</si>
  <si>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</si>
  <si>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</si>
  <si>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</si>
  <si>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</si>
  <si>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</si>
  <si>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</si>
  <si>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</si>
  <si>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</si>
  <si>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</si>
  <si>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</si>
  <si>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</si>
  <si>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</si>
  <si>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</si>
  <si>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</si>
  <si>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</si>
  <si>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</si>
  <si>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</si>
  <si>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</si>
  <si>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</si>
  <si>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</si>
  <si>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</si>
  <si>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</si>
  <si>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</si>
  <si>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</si>
  <si>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</si>
  <si>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</si>
  <si>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</si>
  <si>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</si>
  <si>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</si>
  <si>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</si>
  <si>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</si>
  <si>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</si>
  <si>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</si>
  <si>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</si>
  <si>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</si>
  <si>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</si>
  <si>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</si>
  <si>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</si>
  <si>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</si>
  <si>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</si>
  <si>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</si>
  <si>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</si>
  <si>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</si>
  <si>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</si>
  <si>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</si>
  <si>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</si>
  <si>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</si>
  <si>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</si>
  <si>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</si>
  <si>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</si>
  <si>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</si>
  <si>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</si>
  <si>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</si>
  <si>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</si>
  <si>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</si>
  <si>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</si>
  <si>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</si>
  <si>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</si>
  <si>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</si>
  <si>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</si>
  <si>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</si>
  <si>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</si>
  <si>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</si>
  <si>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</si>
  <si>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</si>
  <si>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</si>
  <si>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</si>
  <si>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</si>
  <si>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</si>
  <si>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</si>
  <si>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</si>
  <si>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</si>
  <si>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</si>
  <si>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</si>
  <si>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</si>
  <si>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</si>
  <si>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</si>
  <si>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</si>
  <si>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</si>
  <si>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</si>
  <si>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</si>
  <si>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</si>
  <si>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</si>
  <si>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</si>
  <si>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</si>
  <si>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</si>
  <si>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</si>
  <si>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</si>
  <si>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</si>
  <si>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</si>
  <si>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</si>
  <si>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</si>
  <si>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</si>
  <si>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</si>
  <si>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</si>
  <si>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</si>
  <si>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</si>
  <si>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</si>
  <si>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</si>
  <si>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</si>
  <si>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</si>
  <si>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</si>
  <si>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</si>
  <si>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</si>
  <si>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</si>
  <si>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</si>
  <si>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</si>
  <si>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</si>
  <si>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</si>
  <si>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</si>
  <si>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</si>
  <si>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</si>
  <si>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</si>
  <si>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</si>
  <si>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</si>
  <si>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</si>
  <si>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</si>
  <si>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</si>
  <si>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</si>
  <si>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</si>
  <si>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</si>
  <si>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</si>
  <si>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</si>
  <si>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</si>
  <si>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</si>
  <si>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</si>
  <si>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</si>
  <si>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</si>
  <si>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</si>
  <si>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</si>
  <si>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</si>
  <si>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</si>
  <si>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</si>
  <si>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</si>
  <si>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</si>
  <si>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</si>
  <si>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</si>
  <si>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</si>
  <si>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</si>
  <si>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</si>
  <si>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</si>
  <si>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</si>
  <si>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</si>
  <si>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</si>
  <si>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</si>
  <si>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</si>
  <si>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</si>
  <si>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</si>
  <si>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</si>
  <si>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</si>
  <si>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</si>
  <si>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</si>
  <si>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</si>
  <si>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</si>
  <si>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</si>
  <si>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</si>
  <si>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</si>
  <si>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</si>
  <si>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</si>
  <si>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</si>
  <si>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</si>
  <si>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</si>
  <si>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</si>
  <si>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</si>
  <si>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</si>
  <si>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</si>
  <si>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</si>
  <si>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</si>
  <si>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</si>
  <si>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</si>
  <si>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</si>
  <si>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</si>
  <si>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</si>
  <si>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</si>
  <si>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</si>
  <si>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</si>
  <si>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</si>
  <si>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</si>
  <si>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</si>
  <si>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</si>
  <si>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</si>
  <si>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</si>
  <si>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</si>
  <si>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</si>
  <si>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</si>
  <si>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</si>
  <si>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</si>
  <si>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</si>
  <si>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</si>
  <si>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</si>
  <si>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</si>
  <si>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</si>
  <si>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</si>
  <si>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</si>
  <si>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</si>
  <si>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</si>
  <si>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</si>
  <si>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</si>
  <si>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</si>
  <si>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</si>
  <si>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</si>
  <si>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</si>
  <si>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</si>
  <si>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</si>
  <si>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</si>
  <si>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</si>
  <si>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</si>
  <si>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</si>
  <si>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</si>
  <si>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</si>
  <si>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</si>
  <si>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</si>
  <si>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</si>
  <si>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</si>
  <si>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</si>
  <si>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</si>
  <si>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</si>
  <si>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</si>
  <si>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</si>
  <si>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</si>
  <si>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</si>
  <si>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</si>
  <si>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</si>
  <si>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</si>
  <si>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</si>
  <si>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</si>
  <si>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</si>
  <si>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</si>
  <si>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</si>
  <si>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</si>
  <si>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</si>
  <si>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</si>
  <si>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</si>
  <si>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</si>
  <si>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</si>
  <si>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</si>
  <si>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</si>
  <si>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</si>
  <si>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</si>
  <si>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</si>
  <si>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</si>
  <si>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</si>
  <si>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</si>
  <si>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</si>
  <si>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</si>
  <si>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</si>
  <si>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</si>
  <si>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</si>
  <si>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</si>
  <si>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</si>
  <si>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</si>
  <si>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</si>
  <si>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</si>
  <si>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</si>
  <si>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</si>
  <si>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</si>
  <si>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</si>
  <si>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</si>
  <si>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</si>
  <si>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</si>
  <si>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</si>
  <si>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</si>
  <si>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</si>
  <si>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</si>
  <si>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</si>
  <si>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</si>
  <si>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</si>
  <si>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</si>
  <si>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</si>
  <si>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</si>
  <si>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</si>
  <si>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</si>
  <si>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</si>
  <si>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</si>
  <si>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</si>
  <si>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</si>
  <si>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</si>
  <si>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</si>
  <si>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</si>
  <si>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</si>
  <si>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</si>
  <si>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</si>
  <si>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</si>
  <si>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</si>
  <si>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</si>
  <si>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</si>
  <si>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</si>
  <si>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</si>
  <si>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</si>
  <si>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</si>
  <si>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</si>
  <si>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</si>
  <si>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</si>
  <si>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</si>
  <si>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</si>
  <si>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</si>
  <si>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</si>
  <si>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</si>
  <si>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</si>
  <si>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</si>
  <si>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</si>
  <si>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</si>
  <si>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</si>
  <si>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</si>
  <si>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</si>
  <si>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</si>
  <si>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</si>
  <si>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</si>
  <si>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</si>
  <si>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</si>
  <si>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</si>
  <si>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</si>
  <si>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</si>
  <si>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</si>
  <si>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</si>
  <si>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</si>
  <si>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</si>
  <si>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</si>
  <si>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</si>
  <si>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</si>
  <si>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</si>
  <si>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</si>
  <si>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</si>
  <si>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</si>
  <si>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</si>
  <si>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</si>
  <si>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</si>
  <si>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</si>
  <si>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</si>
  <si>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</si>
  <si>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</si>
  <si>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</si>
  <si>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</si>
  <si>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</si>
  <si>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</si>
  <si>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</si>
  <si>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</si>
  <si>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</si>
  <si>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</si>
  <si>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</si>
  <si>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</si>
  <si>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</si>
  <si>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</si>
  <si>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</si>
  <si>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</si>
  <si>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</si>
  <si>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</si>
  <si>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</si>
  <si>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</si>
  <si>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</si>
  <si>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</si>
  <si>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</si>
  <si>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</si>
  <si>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</si>
  <si>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</si>
  <si>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</si>
  <si>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</si>
  <si>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</si>
  <si>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</si>
  <si>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</si>
  <si>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</si>
  <si>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</si>
  <si>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</si>
  <si>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</si>
  <si>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</si>
  <si>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</si>
  <si>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</si>
  <si>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</si>
  <si>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</si>
  <si>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</si>
  <si>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</si>
  <si>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</si>
  <si>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</si>
  <si>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</si>
  <si>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</si>
  <si>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</si>
  <si>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</si>
  <si>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</si>
  <si>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</si>
  <si>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</si>
  <si>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</si>
  <si>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</si>
  <si>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</si>
  <si>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</si>
  <si>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</si>
  <si>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</si>
  <si>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</si>
  <si>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</si>
  <si>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</si>
  <si>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</si>
  <si>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</si>
  <si>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</si>
  <si>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</si>
  <si>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</si>
  <si>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</si>
  <si>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</si>
  <si>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</si>
  <si>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</si>
  <si>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</si>
  <si>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</si>
  <si>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</si>
  <si>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</si>
  <si>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</si>
  <si>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</si>
  <si>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</si>
  <si>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</si>
  <si>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</si>
  <si>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</si>
  <si>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</si>
  <si>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</si>
  <si>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</si>
  <si>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</si>
  <si>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</si>
  <si>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</si>
  <si>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</si>
  <si>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</si>
  <si>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</si>
  <si>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</si>
  <si>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</si>
  <si>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</si>
  <si>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</si>
  <si>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</si>
  <si>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</si>
  <si>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</si>
  <si>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</si>
  <si>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</si>
  <si>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</si>
  <si>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</si>
  <si>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</si>
  <si>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</si>
  <si>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</si>
  <si>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</si>
  <si>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</si>
  <si>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</si>
  <si>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</si>
  <si>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</si>
  <si>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</si>
  <si>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</si>
  <si>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</si>
  <si>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</si>
  <si>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</si>
  <si>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</si>
  <si>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</si>
  <si>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</si>
  <si>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</si>
  <si>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</si>
  <si>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</si>
  <si>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</si>
  <si>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</si>
  <si>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</si>
  <si>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</si>
  <si>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</si>
  <si>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</si>
  <si>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</si>
  <si>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</si>
  <si>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</si>
  <si>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</si>
  <si>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</si>
  <si>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</si>
  <si>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</si>
  <si>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</si>
  <si>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</si>
  <si>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</si>
  <si>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</si>
  <si>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</si>
  <si>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</si>
  <si>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</si>
  <si>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</si>
  <si>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</si>
  <si>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</si>
  <si>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</si>
  <si>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</si>
  <si>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</si>
  <si>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</si>
  <si>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</si>
  <si>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</si>
  <si>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</si>
  <si>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</si>
  <si>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</si>
  <si>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</si>
  <si>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</si>
  <si>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</si>
  <si>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</si>
  <si>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</si>
  <si>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</si>
  <si>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</si>
  <si>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</si>
  <si>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</si>
  <si>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</si>
  <si>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</si>
  <si>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</si>
  <si>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</si>
  <si>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</si>
  <si>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</si>
  <si>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</si>
  <si>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</si>
  <si>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</si>
  <si>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</si>
  <si>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</si>
  <si>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</si>
  <si>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</si>
  <si>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</si>
  <si>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</si>
  <si>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</si>
  <si>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</si>
  <si>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</si>
  <si>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</si>
  <si>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</si>
  <si>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</si>
  <si>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</si>
  <si>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</si>
  <si>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</si>
  <si>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</si>
  <si>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</si>
  <si>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</si>
  <si>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</si>
  <si>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</si>
  <si>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</si>
  <si>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</si>
  <si>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</si>
  <si>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</si>
  <si>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</si>
  <si>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</si>
  <si>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</si>
  <si>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</si>
  <si>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</si>
  <si>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</si>
  <si>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</si>
  <si>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</si>
  <si>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</si>
  <si>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</si>
  <si>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</si>
  <si>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</si>
  <si>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</si>
  <si>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</si>
  <si>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</si>
  <si>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</si>
  <si>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</si>
  <si>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</si>
  <si>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</si>
  <si>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</si>
  <si>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</si>
  <si>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</si>
  <si>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</si>
  <si>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</si>
  <si>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</si>
  <si>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</si>
  <si>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</si>
  <si>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</si>
  <si>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</si>
  <si>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</si>
  <si>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</si>
  <si>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</si>
  <si>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</si>
  <si>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</si>
  <si>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</si>
  <si>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</si>
  <si>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</si>
  <si>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</si>
  <si>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</si>
  <si>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</si>
  <si>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</si>
  <si>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</si>
  <si>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</si>
  <si>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</si>
  <si>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</si>
  <si>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</si>
  <si>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</si>
  <si>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</si>
  <si>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</si>
  <si>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</si>
  <si>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</si>
  <si>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</si>
  <si>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</si>
  <si>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</si>
  <si>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</si>
  <si>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</si>
  <si>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</si>
  <si>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</si>
  <si>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</si>
  <si>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</si>
  <si>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</si>
  <si>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</si>
  <si>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</si>
  <si>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</si>
  <si>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</si>
  <si>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</si>
  <si>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</si>
  <si>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</si>
  <si>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</si>
  <si>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</si>
  <si>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</si>
  <si>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</si>
  <si>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</si>
  <si>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</si>
  <si>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</si>
  <si>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</si>
  <si>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</si>
  <si>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</si>
  <si>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</si>
  <si>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</si>
  <si>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</si>
  <si>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</si>
  <si>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</si>
  <si>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</si>
  <si>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</si>
  <si>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</si>
  <si>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</si>
  <si>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</si>
  <si>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</si>
  <si>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</si>
  <si>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</si>
  <si>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</si>
  <si>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</si>
  <si>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</si>
  <si>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</si>
  <si>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</si>
  <si>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</si>
  <si>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</si>
  <si>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</si>
  <si>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</si>
  <si>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</si>
  <si>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</si>
  <si>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</si>
  <si>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</si>
  <si>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</si>
  <si>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</si>
  <si>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</si>
  <si>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</si>
  <si>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</si>
  <si>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</si>
  <si>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</si>
  <si>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</si>
  <si>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</si>
  <si>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</si>
  <si>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</si>
  <si>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</si>
  <si>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</si>
  <si>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</si>
  <si>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</si>
  <si>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</si>
  <si>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</si>
  <si>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</si>
  <si>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</si>
  <si>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</si>
  <si>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</si>
  <si>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</si>
  <si>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</si>
  <si>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</si>
  <si>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</si>
  <si>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</si>
  <si>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</si>
  <si>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</si>
  <si>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</si>
  <si>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</si>
  <si>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</si>
  <si>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</si>
  <si>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</si>
  <si>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</si>
  <si>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</si>
  <si>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</si>
  <si>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</si>
  <si>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</si>
  <si>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</si>
  <si>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</si>
  <si>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</si>
  <si>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</si>
  <si>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</si>
  <si>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</si>
  <si>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</si>
  <si>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</si>
  <si>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</si>
  <si>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</si>
  <si>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</si>
  <si>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</si>
  <si>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</si>
  <si>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</si>
  <si>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</si>
  <si>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</si>
  <si>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</si>
  <si>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</si>
  <si>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</si>
  <si>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</si>
  <si>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</si>
  <si>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</si>
  <si>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</si>
  <si>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</si>
  <si>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</si>
  <si>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</si>
  <si>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</si>
  <si>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</si>
  <si>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</si>
  <si>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</si>
  <si>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</si>
  <si>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</si>
  <si>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</si>
  <si>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</si>
  <si>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</si>
  <si>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</si>
  <si>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</si>
  <si>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</si>
  <si>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</si>
  <si>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</si>
  <si>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</si>
  <si>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</si>
  <si>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</si>
  <si>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</si>
  <si>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</si>
  <si>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</si>
  <si>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</si>
  <si>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</si>
  <si>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</si>
  <si>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</si>
  <si>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</si>
  <si>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</si>
  <si>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</si>
  <si>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</si>
  <si>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</si>
  <si>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</si>
  <si>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</si>
  <si>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</si>
  <si>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</si>
  <si>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</si>
  <si>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</si>
  <si>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</si>
  <si>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</si>
  <si>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</si>
  <si>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</si>
  <si>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</si>
  <si>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</si>
  <si>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</si>
  <si>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</si>
  <si>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</si>
  <si>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</si>
  <si>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</si>
  <si>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</si>
  <si>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</si>
  <si>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</si>
  <si>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</si>
  <si>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</si>
  <si>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</si>
  <si>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</si>
  <si>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</si>
  <si>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</si>
  <si>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</si>
  <si>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</si>
  <si>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</si>
  <si>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</si>
  <si>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</si>
  <si>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</si>
  <si>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</si>
  <si>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</si>
  <si>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</si>
  <si>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</si>
  <si>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</si>
  <si>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</si>
  <si>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</si>
  <si>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</si>
  <si>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</si>
  <si>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</si>
  <si>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</si>
  <si>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</si>
  <si>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</si>
  <si>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</si>
  <si>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</si>
  <si>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</si>
  <si>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</si>
  <si>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</si>
  <si>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</si>
  <si>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</si>
  <si>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</si>
  <si>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</si>
  <si>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</si>
  <si>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</si>
  <si>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</si>
  <si>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</si>
  <si>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</si>
  <si>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</si>
  <si>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</si>
  <si>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</si>
  <si>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</si>
  <si>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</si>
  <si>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</si>
  <si>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</si>
  <si>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</si>
  <si>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</si>
  <si>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</si>
  <si>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</si>
  <si>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</si>
  <si>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</si>
  <si>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</si>
  <si>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</si>
  <si>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</si>
  <si>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</si>
  <si>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</si>
  <si>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</si>
  <si>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</si>
  <si>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</si>
  <si>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</si>
  <si>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</si>
  <si>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</si>
  <si>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</si>
  <si>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</si>
  <si>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</si>
  <si>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</si>
  <si>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</si>
  <si>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</si>
  <si>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</si>
  <si>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</si>
  <si>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</si>
  <si>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</si>
  <si>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</si>
  <si>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</si>
  <si>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</si>
  <si>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</si>
  <si>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</si>
  <si>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</si>
  <si>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</si>
  <si>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</si>
  <si>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</si>
  <si>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</si>
  <si>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</si>
  <si>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</si>
  <si>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</si>
  <si>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</si>
  <si>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</si>
  <si>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</si>
  <si>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</si>
  <si>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</si>
  <si>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</si>
  <si>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</si>
  <si>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</si>
  <si>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</si>
  <si>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</si>
  <si>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</si>
  <si>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</si>
  <si>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</si>
  <si>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</si>
  <si>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</si>
  <si>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</si>
  <si>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</si>
  <si>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</si>
  <si>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</si>
  <si>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</si>
  <si>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</si>
  <si>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</si>
  <si>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</si>
  <si>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</si>
  <si>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</si>
  <si>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</si>
  <si>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</si>
  <si>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</si>
  <si>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</si>
  <si>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</si>
  <si>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</si>
  <si>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</si>
  <si>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</si>
  <si>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</si>
  <si>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</si>
  <si>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</si>
  <si>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</si>
  <si>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</si>
  <si>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</si>
  <si>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</si>
  <si>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</si>
  <si>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</si>
  <si>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</si>
  <si>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</si>
  <si>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</si>
  <si>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</si>
  <si>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</si>
  <si>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</si>
  <si>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</si>
  <si>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</si>
  <si>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</si>
  <si>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</si>
  <si>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</si>
  <si>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</si>
  <si>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</si>
  <si>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</si>
  <si>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</si>
  <si>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</si>
  <si>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</si>
  <si>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</si>
  <si>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</si>
  <si>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</si>
  <si>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</si>
  <si>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</si>
  <si>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</si>
  <si>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</si>
  <si>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</si>
  <si>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</si>
  <si>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</si>
  <si>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</si>
  <si>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</si>
  <si>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</si>
  <si>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</si>
  <si>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</si>
  <si>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</si>
  <si>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</si>
  <si>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</si>
  <si>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</si>
  <si>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</si>
  <si>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</si>
  <si>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</si>
  <si>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</si>
  <si>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</si>
  <si>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</si>
  <si>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</si>
  <si>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</si>
  <si>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</si>
  <si>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</si>
  <si>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</si>
  <si>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</si>
  <si>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</si>
  <si>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</si>
  <si>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</si>
  <si>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</si>
  <si>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</si>
  <si>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</si>
  <si>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</si>
  <si>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</si>
  <si>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</si>
  <si>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</si>
  <si>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</si>
  <si>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</si>
  <si>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</si>
  <si>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</si>
  <si>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</si>
  <si>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</si>
  <si>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</si>
  <si>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</si>
  <si>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</si>
  <si>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</si>
  <si>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</si>
  <si>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</si>
  <si>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</si>
  <si>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</si>
  <si>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</si>
  <si>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</si>
  <si>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</si>
  <si>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</si>
  <si>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</si>
  <si>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</si>
  <si>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</si>
  <si>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</si>
  <si>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</si>
  <si>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</si>
  <si>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</si>
  <si>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</si>
  <si>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</si>
  <si>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</si>
  <si>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</si>
  <si>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</si>
  <si>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</si>
  <si>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</si>
  <si>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</si>
  <si>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</si>
  <si>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</si>
  <si>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</si>
  <si>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</si>
  <si>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</si>
  <si>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</si>
  <si>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</si>
  <si>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</si>
  <si>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</si>
  <si>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</si>
  <si>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</si>
  <si>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</si>
  <si>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</si>
  <si>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</si>
  <si>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</si>
  <si>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</si>
  <si>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</si>
  <si>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</si>
  <si>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</si>
  <si>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</si>
  <si>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</si>
  <si>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</si>
  <si>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</si>
  <si>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</si>
  <si>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</si>
  <si>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</si>
  <si>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</si>
  <si>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</si>
  <si>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</si>
  <si>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</si>
  <si>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</si>
  <si>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</si>
  <si>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</si>
  <si>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</si>
  <si>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</si>
  <si>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</si>
  <si>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</si>
  <si>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</si>
  <si>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</si>
  <si>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</si>
  <si>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</si>
  <si>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</si>
  <si>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</si>
  <si>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</si>
  <si>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</si>
  <si>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</si>
  <si>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</si>
  <si>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</si>
  <si>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</si>
  <si>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</si>
  <si>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</si>
  <si>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</si>
  <si>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</si>
  <si>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</si>
  <si>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</si>
  <si>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</si>
  <si>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</si>
  <si>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</si>
  <si>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</si>
  <si>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</si>
  <si>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</si>
  <si>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</si>
  <si>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</si>
  <si>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</si>
  <si>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</si>
  <si>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</si>
  <si>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</si>
  <si>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</si>
  <si>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</si>
  <si>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</si>
  <si>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</si>
  <si>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</si>
  <si>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</si>
  <si>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</si>
  <si>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</si>
  <si>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</si>
  <si>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</si>
  <si>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</si>
  <si>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</si>
  <si>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</si>
  <si>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</si>
  <si>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</si>
  <si>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</si>
  <si>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</si>
  <si>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</si>
  <si>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</si>
  <si>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</si>
  <si>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</si>
  <si>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</si>
  <si>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</si>
  <si>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</si>
  <si>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</si>
  <si>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</si>
  <si>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</si>
  <si>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</si>
  <si>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</si>
  <si>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</si>
  <si>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</si>
  <si>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</si>
  <si>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</si>
  <si>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</si>
  <si>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</si>
  <si>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</si>
  <si>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</si>
  <si>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</si>
  <si>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</si>
  <si>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</si>
  <si>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</si>
  <si>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</si>
  <si>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</si>
  <si>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</si>
  <si>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</si>
  <si>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</si>
  <si>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</si>
  <si>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</si>
  <si>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</si>
  <si>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</si>
  <si>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</si>
  <si>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</si>
  <si>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</si>
  <si>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</si>
  <si>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</si>
  <si>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</si>
  <si>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</si>
  <si>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</si>
  <si>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</si>
  <si>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</si>
  <si>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</si>
  <si>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</si>
  <si>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</si>
  <si>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</si>
  <si>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</si>
  <si>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</si>
  <si>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</si>
  <si>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</si>
  <si>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</si>
  <si>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</si>
  <si>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</si>
  <si>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</si>
  <si>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</si>
  <si>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</si>
  <si>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</si>
  <si>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</si>
  <si>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</si>
  <si>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</si>
  <si>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</si>
  <si>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</si>
  <si>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</si>
  <si>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</si>
  <si>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</si>
  <si>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</si>
  <si>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</si>
  <si>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</si>
  <si>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</si>
  <si>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</si>
  <si>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</si>
  <si>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</si>
  <si>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</si>
  <si>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</si>
  <si>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</si>
  <si>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</si>
  <si>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</si>
  <si>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</si>
  <si>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</si>
  <si>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</si>
  <si>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</si>
  <si>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</si>
  <si>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</si>
  <si>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</si>
  <si>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</si>
  <si>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</si>
  <si>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</si>
  <si>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</si>
  <si>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</si>
  <si>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</si>
  <si>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</si>
  <si>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</si>
  <si>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</si>
  <si>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</si>
  <si>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</si>
  <si>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</si>
  <si>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</si>
  <si>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</si>
  <si>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</si>
  <si>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</si>
  <si>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</si>
  <si>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</si>
  <si>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</si>
  <si>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</si>
  <si>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</si>
  <si>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</si>
  <si>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</si>
  <si>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</si>
  <si>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</si>
  <si>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</si>
  <si>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</si>
  <si>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</si>
  <si>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</si>
  <si>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</si>
  <si>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</si>
  <si>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</si>
  <si>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</si>
  <si>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</si>
  <si>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</si>
  <si>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</si>
  <si>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</si>
  <si>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</si>
  <si>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</si>
  <si>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</si>
  <si>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</si>
  <si>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</si>
  <si>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</si>
  <si>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</si>
  <si>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</si>
  <si>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</si>
  <si>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</si>
  <si>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</si>
  <si>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</si>
  <si>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</si>
  <si>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</si>
  <si>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</si>
  <si>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</si>
  <si>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</si>
  <si>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</si>
  <si>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</si>
  <si>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</si>
  <si>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</si>
  <si>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</si>
  <si>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</si>
  <si>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</si>
  <si>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</si>
  <si>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</si>
  <si>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</si>
  <si>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</si>
  <si>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</si>
  <si>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</si>
  <si>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</si>
  <si>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</si>
  <si>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</si>
  <si>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</si>
  <si>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</si>
  <si>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</si>
  <si>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</si>
  <si>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</si>
  <si>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</si>
  <si>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</si>
  <si>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</si>
  <si>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</si>
  <si>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</si>
  <si>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</si>
  <si>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</si>
  <si>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</si>
  <si>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</si>
  <si>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</si>
  <si>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</si>
  <si>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</si>
  <si>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</si>
  <si>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</si>
  <si>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</si>
  <si>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</si>
  <si>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</si>
  <si>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</si>
  <si>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</si>
  <si>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</si>
  <si>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</si>
  <si>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</si>
  <si>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</si>
  <si>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</si>
  <si>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</si>
  <si>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</si>
  <si>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</si>
  <si>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</si>
  <si>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</si>
  <si>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</si>
  <si>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</si>
  <si>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</si>
  <si>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</si>
  <si>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</si>
  <si>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</si>
  <si>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</si>
  <si>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</si>
  <si>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</si>
  <si>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</si>
  <si>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</si>
  <si>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</si>
  <si>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</si>
  <si>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</si>
  <si>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</si>
  <si>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</si>
  <si>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</si>
  <si>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</si>
  <si>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</si>
  <si>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</si>
  <si>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</si>
  <si>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</si>
  <si>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</si>
  <si>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</si>
  <si>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</si>
  <si>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</si>
  <si>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</si>
  <si>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</si>
  <si>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</si>
  <si>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</si>
  <si>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</si>
  <si>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</si>
  <si>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</si>
  <si>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</si>
  <si>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</si>
  <si>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</si>
  <si>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</si>
  <si>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</si>
  <si>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</si>
  <si>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</si>
  <si>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</si>
  <si>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</si>
  <si>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</si>
  <si>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</si>
  <si>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</si>
  <si>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</si>
  <si>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</si>
  <si>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</si>
  <si>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</si>
  <si>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</si>
  <si>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</si>
  <si>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</si>
  <si>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</si>
  <si>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</si>
  <si>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</si>
  <si>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</si>
  <si>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</si>
  <si>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</si>
  <si>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</si>
  <si>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</si>
  <si>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</si>
  <si>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</si>
  <si>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</si>
  <si>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</si>
  <si>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</si>
  <si>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</si>
  <si>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</si>
  <si>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</si>
  <si>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</si>
  <si>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</si>
  <si>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</si>
  <si>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</si>
  <si>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</si>
  <si>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</si>
  <si>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</si>
  <si>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</si>
  <si>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</si>
  <si>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</si>
  <si>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</si>
  <si>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</si>
  <si>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</si>
  <si>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</si>
  <si>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</si>
  <si>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</si>
  <si>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</si>
  <si>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</si>
  <si>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</si>
  <si>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</si>
  <si>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</si>
  <si>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</si>
  <si>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</si>
  <si>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</si>
  <si>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</si>
  <si>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</si>
  <si>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</si>
  <si>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</si>
  <si>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</si>
  <si>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</si>
  <si>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</si>
  <si>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</si>
  <si>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</si>
  <si>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</si>
  <si>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</si>
  <si>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</si>
  <si>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</si>
  <si>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</si>
  <si>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</si>
  <si>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</si>
  <si>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</si>
  <si>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</si>
  <si>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</si>
  <si>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</si>
  <si>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</si>
  <si>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</si>
  <si>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</si>
  <si>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</si>
  <si>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</si>
  <si>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</si>
  <si>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</si>
  <si>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</si>
  <si>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</si>
  <si>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</si>
  <si>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</si>
  <si>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</si>
  <si>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</si>
  <si>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</si>
  <si>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</si>
  <si>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</si>
  <si>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</si>
  <si>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</si>
  <si>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</si>
  <si>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</si>
  <si>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</si>
  <si>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</si>
  <si>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</si>
  <si>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</si>
  <si>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</si>
  <si>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</si>
  <si>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</si>
  <si>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</si>
  <si>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</si>
  <si>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</si>
  <si>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</si>
  <si>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</si>
  <si>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</si>
  <si>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</si>
  <si>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</si>
  <si>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</si>
  <si>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</si>
  <si>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</si>
  <si>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</si>
  <si>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</si>
  <si>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</si>
  <si>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</si>
  <si>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</si>
  <si>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</si>
  <si>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</si>
  <si>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</si>
  <si>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</si>
  <si>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</si>
  <si>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</si>
  <si>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</si>
  <si>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</si>
  <si>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</si>
  <si>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</si>
  <si>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</si>
  <si>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</si>
  <si>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</si>
  <si>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</si>
  <si>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</si>
  <si>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</si>
  <si>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</si>
  <si>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</si>
  <si>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</si>
  <si>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</si>
  <si>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</si>
  <si>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</si>
  <si>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</si>
  <si>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</si>
  <si>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</si>
  <si>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</si>
  <si>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</si>
  <si>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</si>
  <si>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</si>
  <si>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</si>
  <si>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</si>
  <si>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</si>
  <si>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</si>
  <si>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</si>
  <si>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</si>
  <si>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</si>
  <si>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</si>
  <si>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</si>
  <si>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</si>
  <si>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</si>
  <si>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</si>
  <si>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</si>
  <si>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</si>
  <si>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</si>
  <si>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</si>
  <si>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</si>
  <si>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</si>
  <si>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</si>
  <si>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</si>
  <si>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</si>
  <si>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</si>
  <si>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</si>
  <si>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</si>
  <si>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</si>
  <si>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</si>
  <si>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</si>
  <si>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</si>
  <si>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</si>
  <si>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</si>
  <si>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</si>
  <si>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</si>
  <si>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</si>
  <si>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</si>
  <si>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</si>
  <si>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</si>
  <si>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</si>
  <si>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</si>
  <si>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</si>
  <si>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</si>
  <si>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</si>
  <si>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</si>
  <si>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</si>
  <si>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</si>
  <si>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</si>
  <si>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</si>
  <si>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</si>
  <si>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</si>
  <si>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</si>
  <si>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</si>
  <si>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</si>
  <si>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</si>
  <si>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</si>
  <si>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</si>
  <si>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</si>
  <si>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</si>
  <si>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</si>
  <si>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</si>
  <si>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</si>
  <si>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</si>
  <si>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</si>
  <si>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</si>
  <si>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</si>
  <si>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</si>
  <si>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</si>
  <si>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</si>
  <si>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</si>
  <si>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</si>
  <si>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</si>
  <si>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</si>
  <si>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</si>
  <si>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</si>
  <si>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</si>
  <si>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</si>
  <si>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</si>
  <si>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</si>
  <si>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</si>
  <si>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</si>
  <si>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</si>
  <si>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</si>
  <si>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</si>
  <si>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</si>
  <si>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</si>
  <si>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</si>
  <si>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</si>
  <si>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</si>
  <si>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</si>
  <si>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</si>
  <si>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</si>
  <si>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</si>
  <si>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</si>
  <si>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</si>
  <si>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</si>
  <si>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</si>
  <si>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</si>
  <si>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</si>
  <si>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</si>
  <si>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</si>
  <si>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</si>
  <si>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</si>
  <si>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</si>
  <si>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</si>
  <si>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</si>
  <si>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</si>
  <si>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</si>
  <si>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</si>
  <si>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</si>
  <si>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</si>
  <si>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</si>
  <si>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</si>
  <si>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</si>
  <si>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</si>
  <si>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</si>
  <si>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</si>
  <si>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</si>
  <si>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</si>
  <si>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</si>
  <si>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</si>
  <si>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</si>
  <si>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</si>
  <si>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</si>
  <si>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</si>
  <si>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</si>
  <si>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</si>
  <si>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</si>
  <si>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</si>
  <si>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</si>
  <si>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</si>
  <si>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</si>
  <si>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</si>
  <si>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</si>
  <si>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</si>
  <si>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</si>
  <si>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</si>
  <si>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</si>
  <si>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</si>
  <si>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</si>
  <si>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</si>
  <si>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</si>
  <si>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</si>
  <si>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</si>
  <si>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</si>
  <si>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</si>
  <si>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</si>
  <si>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</si>
  <si>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</si>
  <si>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</si>
  <si>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</si>
  <si>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</si>
  <si>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</si>
  <si>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</si>
  <si>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</si>
  <si>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</si>
  <si>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</si>
  <si>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</si>
  <si>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</si>
  <si>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</si>
  <si>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</si>
  <si>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</si>
  <si>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</si>
  <si>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</si>
  <si>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</si>
  <si>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</si>
  <si>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</si>
  <si>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</si>
  <si>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</si>
  <si>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</si>
  <si>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</si>
  <si>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</si>
  <si>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</si>
  <si>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</si>
  <si>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</si>
  <si>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</si>
  <si>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</si>
  <si>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</si>
  <si>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</si>
  <si>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</si>
  <si>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</si>
  <si>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</si>
  <si>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</si>
  <si>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</si>
  <si>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</si>
  <si>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</si>
  <si>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</si>
  <si>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</si>
  <si>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</si>
  <si>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</si>
  <si>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</si>
  <si>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</si>
  <si>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</si>
  <si>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</si>
  <si>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</si>
  <si>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</si>
  <si>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</si>
  <si>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</si>
  <si>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</si>
  <si>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</si>
  <si>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</si>
  <si>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</si>
  <si>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</si>
  <si>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</si>
  <si>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</si>
  <si>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</si>
  <si>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</si>
  <si>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</si>
  <si>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</si>
  <si>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</si>
  <si>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</si>
  <si>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</si>
  <si>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</si>
  <si>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</si>
  <si>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</si>
  <si>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</si>
  <si>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</si>
  <si>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</si>
  <si>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</si>
  <si>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</si>
  <si>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</si>
  <si>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</si>
  <si>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</si>
  <si>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</si>
  <si>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</si>
  <si>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</si>
  <si>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</si>
  <si>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</si>
  <si>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</si>
  <si>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</si>
  <si>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</si>
  <si>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</si>
  <si>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</si>
  <si>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</si>
  <si>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</si>
  <si>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</si>
  <si>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</si>
  <si>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</si>
  <si>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</si>
  <si>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</si>
  <si>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</si>
  <si>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</si>
  <si>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</si>
  <si>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</si>
  <si>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</si>
  <si>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</si>
  <si>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</si>
  <si>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</si>
  <si>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</si>
  <si>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</si>
  <si>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</si>
  <si>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</si>
  <si>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</si>
  <si>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</si>
  <si>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</si>
  <si>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</si>
  <si>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</si>
  <si>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</si>
  <si>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</si>
  <si>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</si>
  <si>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</si>
  <si>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</si>
  <si>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</si>
  <si>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</si>
  <si>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</si>
  <si>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</si>
  <si>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</si>
  <si>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</si>
  <si>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</si>
  <si>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</si>
  <si>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</si>
  <si>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</si>
  <si>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</si>
  <si>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</si>
  <si>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</si>
  <si>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</si>
  <si>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</si>
  <si>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</si>
  <si>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</si>
  <si>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</si>
  <si>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</si>
  <si>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</si>
  <si>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</si>
  <si>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</si>
  <si>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</si>
  <si>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</si>
  <si>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</si>
  <si>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</si>
  <si>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</si>
  <si>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</si>
  <si>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</si>
  <si>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</si>
  <si>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</si>
  <si>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</si>
  <si>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</si>
  <si>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</si>
  <si>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</si>
  <si>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</si>
  <si>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</si>
  <si>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</si>
  <si>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</si>
  <si>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</si>
  <si>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</si>
  <si>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</si>
  <si>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</si>
  <si>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</si>
  <si>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</si>
  <si>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</si>
  <si>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</si>
  <si>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</si>
  <si>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</si>
  <si>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</si>
  <si>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</si>
  <si>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</si>
  <si>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</si>
  <si>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</si>
  <si>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</si>
  <si>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</si>
  <si>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</si>
  <si>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</si>
  <si>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</si>
  <si>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</si>
  <si>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</si>
  <si>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</si>
  <si>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</si>
  <si>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</si>
  <si>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</si>
  <si>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</si>
  <si>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</si>
  <si>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</si>
  <si>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</si>
  <si>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</si>
  <si>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</si>
  <si>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</si>
  <si>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</si>
  <si>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</si>
  <si>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</si>
  <si>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</si>
  <si>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</si>
  <si>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</si>
  <si>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</si>
  <si>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</si>
  <si>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</si>
  <si>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</si>
  <si>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</si>
  <si>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</si>
  <si>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</si>
  <si>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</si>
  <si>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</si>
  <si>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</si>
  <si>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</si>
  <si>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</si>
  <si>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</si>
  <si>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</si>
  <si>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</si>
  <si>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</si>
  <si>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</si>
  <si>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</si>
  <si>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</si>
  <si>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</si>
  <si>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</si>
  <si>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</si>
  <si>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</si>
  <si>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</si>
  <si>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</si>
  <si>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</si>
  <si>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</si>
  <si>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</si>
  <si>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</si>
  <si>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</si>
  <si>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</si>
  <si>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</si>
  <si>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</si>
  <si>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</si>
  <si>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</si>
  <si>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</si>
  <si>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</si>
  <si>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</si>
  <si>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</si>
  <si>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</si>
  <si>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</si>
  <si>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</si>
  <si>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</si>
  <si>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</si>
  <si>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</si>
  <si>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</si>
  <si>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</si>
  <si>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</si>
  <si>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</si>
  <si>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</si>
  <si>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</si>
  <si>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</si>
  <si>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</si>
  <si>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</si>
  <si>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</si>
  <si>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</si>
  <si>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</si>
  <si>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</si>
  <si>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</si>
  <si>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</si>
  <si>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</si>
  <si>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</si>
  <si>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</si>
  <si>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</si>
  <si>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</si>
  <si>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</si>
  <si>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</si>
  <si>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</si>
  <si>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</si>
  <si>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</si>
  <si>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</si>
  <si>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</si>
  <si>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</si>
  <si>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</si>
  <si>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</si>
  <si>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</si>
  <si>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</si>
  <si>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</si>
  <si>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</si>
  <si>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</si>
  <si>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</si>
  <si>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</si>
  <si>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</si>
  <si>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</si>
  <si>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</si>
  <si>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</si>
  <si>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</si>
  <si>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</si>
  <si>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</si>
  <si>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</si>
  <si>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</si>
  <si>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</si>
  <si>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</si>
  <si>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</si>
  <si>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</si>
  <si>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</si>
  <si>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</si>
  <si>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</si>
  <si>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</si>
  <si>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</si>
  <si>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</si>
  <si>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</si>
  <si>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</si>
  <si>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</si>
  <si>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</si>
  <si>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</si>
  <si>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</si>
  <si>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</si>
  <si>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</si>
  <si>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</si>
  <si>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</si>
  <si>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</si>
  <si>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</si>
  <si>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</si>
  <si>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</si>
  <si>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</si>
  <si>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</si>
  <si>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</si>
  <si>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</si>
  <si>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</si>
  <si>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</si>
  <si>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</si>
  <si>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</si>
  <si>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</si>
  <si>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</si>
  <si>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</si>
  <si>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</si>
  <si>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</si>
  <si>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</si>
  <si>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</si>
  <si>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</si>
  <si>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</si>
  <si>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</si>
  <si>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</si>
  <si>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</si>
  <si>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</si>
  <si>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</si>
  <si>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</si>
  <si>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</si>
  <si>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</si>
  <si>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</si>
  <si>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</si>
  <si>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</si>
  <si>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</si>
  <si>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</si>
  <si>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</si>
  <si>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</si>
  <si>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</si>
  <si>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</si>
  <si>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</si>
  <si>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</si>
  <si>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</si>
  <si>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</si>
  <si>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</si>
  <si>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</si>
  <si>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</si>
  <si>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</si>
  <si>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</si>
  <si>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</si>
  <si>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</si>
  <si>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</si>
  <si>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</si>
  <si>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</si>
  <si>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</si>
  <si>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</si>
  <si>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</si>
  <si>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</si>
  <si>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</si>
  <si>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</si>
  <si>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</si>
  <si>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</si>
  <si>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</si>
  <si>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</si>
  <si>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</si>
  <si>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</si>
  <si>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</si>
  <si>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</si>
  <si>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</si>
  <si>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</si>
  <si>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</si>
  <si>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</si>
  <si>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</si>
  <si>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</si>
  <si>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</si>
  <si>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</si>
  <si>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</si>
  <si>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</si>
  <si>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</si>
  <si>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</si>
  <si>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</si>
  <si>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</si>
  <si>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</si>
  <si>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</si>
  <si>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</si>
  <si>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</si>
  <si>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</si>
  <si>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</si>
  <si>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</si>
  <si>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</si>
  <si>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</si>
  <si>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</si>
  <si>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</si>
  <si>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</si>
  <si>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</si>
  <si>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</si>
  <si>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</si>
  <si>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</si>
  <si>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</si>
  <si>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</si>
  <si>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</si>
  <si>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</si>
  <si>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</si>
  <si>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</si>
  <si>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</si>
  <si>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</si>
  <si>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</si>
  <si>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</si>
  <si>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</si>
  <si>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</si>
  <si>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</si>
  <si>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</si>
  <si>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</si>
  <si>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</si>
  <si>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</si>
  <si>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</si>
  <si>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</si>
  <si>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</si>
  <si>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</si>
  <si>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</si>
  <si>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</si>
  <si>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</si>
  <si>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</si>
  <si>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</si>
  <si>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</si>
  <si>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</si>
  <si>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</si>
  <si>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</si>
  <si>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</si>
  <si>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</si>
  <si>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</si>
  <si>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</si>
  <si>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</si>
  <si>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</si>
  <si>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</si>
  <si>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</si>
  <si>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</si>
  <si>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</si>
  <si>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</si>
  <si>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</si>
  <si>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</si>
  <si>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</si>
  <si>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</si>
  <si>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</si>
  <si>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</si>
  <si>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</si>
  <si>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</si>
  <si>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</si>
  <si>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</si>
  <si>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</si>
  <si>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</si>
  <si>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</si>
  <si>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</si>
  <si>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</si>
  <si>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</si>
  <si>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</si>
  <si>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</si>
  <si>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</si>
  <si>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</si>
  <si>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</si>
  <si>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</si>
  <si>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</si>
  <si>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</si>
  <si>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</si>
  <si>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</si>
  <si>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</si>
  <si>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</si>
  <si>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</si>
  <si>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</si>
  <si>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</si>
  <si>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</si>
  <si>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</si>
  <si>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</si>
  <si>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</si>
  <si>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</si>
  <si>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</si>
  <si>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</si>
  <si>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</si>
  <si>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</si>
  <si>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</si>
  <si>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</si>
  <si>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</si>
  <si>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</si>
  <si>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</si>
  <si>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</si>
  <si>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</si>
  <si>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</si>
  <si>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</si>
  <si>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</si>
  <si>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</si>
  <si>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</si>
  <si>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</si>
  <si>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</si>
  <si>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</si>
  <si>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</si>
  <si>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</si>
  <si>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</si>
  <si>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</si>
  <si>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</si>
  <si>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</si>
  <si>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</si>
  <si>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</si>
  <si>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</si>
  <si>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</si>
  <si>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</si>
  <si>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</si>
  <si>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</si>
  <si>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</si>
  <si>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</si>
  <si>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</si>
  <si>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</si>
  <si>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</si>
  <si>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</si>
  <si>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</si>
  <si>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</si>
  <si>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</si>
  <si>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</si>
  <si>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</si>
  <si>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</si>
  <si>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</si>
  <si>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</si>
  <si>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</si>
  <si>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</si>
  <si>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</si>
  <si>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</si>
  <si>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</si>
  <si>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</si>
  <si>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</si>
  <si>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</si>
  <si>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</si>
  <si>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</si>
  <si>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</si>
  <si>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</si>
  <si>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</si>
  <si>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</si>
  <si>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</si>
  <si>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</si>
  <si>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</si>
  <si>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</si>
  <si>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</si>
  <si>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</si>
  <si>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</si>
  <si>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</si>
  <si>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</si>
  <si>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</si>
  <si>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</si>
  <si>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</si>
  <si>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</si>
  <si>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</si>
  <si>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</si>
  <si>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</si>
  <si>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</si>
  <si>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</si>
  <si>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</si>
  <si>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</si>
  <si>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</si>
  <si>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</si>
  <si>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</si>
  <si>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</si>
  <si>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</si>
  <si>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</si>
  <si>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</si>
  <si>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</si>
  <si>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</si>
  <si>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</si>
  <si>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</si>
  <si>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</si>
  <si>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</si>
  <si>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</si>
  <si>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</si>
  <si>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</si>
  <si>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</si>
  <si>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</si>
  <si>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</si>
  <si>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</si>
  <si>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</si>
  <si>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</si>
  <si>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</si>
  <si>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</si>
  <si>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</si>
  <si>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</si>
  <si>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</si>
  <si>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</si>
  <si>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</si>
  <si>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</si>
  <si>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</si>
  <si>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</si>
  <si>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</si>
  <si>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</si>
  <si>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</si>
  <si>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</si>
  <si>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</si>
  <si>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</si>
  <si>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</si>
  <si>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</si>
  <si>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</si>
  <si>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</si>
  <si>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</si>
  <si>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</si>
  <si>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</si>
  <si>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</si>
  <si>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</si>
  <si>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</si>
  <si>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</si>
  <si>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</si>
  <si>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</si>
  <si>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</si>
  <si>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</si>
  <si>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</si>
  <si>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</si>
  <si>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</si>
  <si>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</si>
  <si>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</si>
  <si>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</si>
  <si>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</si>
  <si>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</si>
  <si>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</si>
  <si>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</si>
  <si>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</si>
  <si>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</si>
  <si>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</si>
  <si>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</si>
  <si>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</si>
  <si>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</si>
  <si>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</si>
  <si>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</si>
  <si>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</si>
  <si>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</si>
  <si>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</si>
  <si>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</si>
  <si>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</si>
  <si>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</si>
  <si>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</si>
  <si>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</si>
  <si>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</si>
  <si>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</si>
  <si>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</si>
  <si>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</si>
  <si>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</si>
  <si>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</si>
  <si>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</si>
  <si>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</si>
  <si>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</si>
  <si>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</si>
  <si>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</si>
  <si>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</si>
  <si>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</si>
  <si>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</si>
  <si>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</si>
  <si>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</si>
  <si>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</si>
  <si>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</si>
  <si>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</si>
  <si>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</si>
  <si>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</si>
  <si>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</si>
  <si>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</si>
  <si>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</si>
  <si>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</si>
  <si>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</si>
  <si>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</si>
  <si>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</si>
  <si>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</si>
  <si>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</si>
  <si>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</si>
  <si>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</si>
  <si>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</si>
  <si>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</si>
  <si>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</si>
  <si>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</si>
  <si>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</si>
  <si>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</si>
  <si>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</si>
  <si>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</si>
  <si>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</si>
  <si>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</si>
  <si>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</si>
  <si>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</si>
  <si>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</si>
  <si>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</si>
  <si>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</si>
  <si>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</si>
  <si>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</si>
  <si>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</si>
  <si>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</si>
  <si>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</si>
  <si>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</si>
  <si>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</si>
  <si>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</si>
  <si>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</si>
  <si>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</si>
  <si>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</si>
  <si>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</si>
  <si>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</si>
  <si>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</si>
  <si>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</si>
  <si>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</si>
  <si>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</si>
  <si>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</si>
  <si>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</si>
  <si>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</si>
  <si>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</si>
  <si>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</si>
  <si>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</si>
  <si>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</si>
  <si>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</si>
  <si>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</si>
  <si>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</si>
  <si>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</si>
  <si>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</si>
  <si>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</si>
  <si>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</si>
  <si>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</si>
  <si>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</si>
  <si>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</si>
  <si>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</si>
  <si>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</si>
  <si>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</si>
  <si>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</si>
  <si>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</si>
  <si>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</si>
  <si>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</si>
  <si>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</si>
  <si>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</si>
  <si>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</si>
  <si>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</si>
  <si>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</si>
  <si>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</si>
  <si>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</si>
  <si>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</si>
  <si>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</si>
  <si>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</si>
  <si>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</si>
  <si>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</si>
  <si>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</si>
  <si>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</si>
  <si>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</si>
  <si>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</si>
  <si>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</si>
  <si>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</si>
  <si>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</si>
  <si>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</si>
  <si>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</si>
  <si>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</si>
  <si>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</si>
  <si>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</si>
  <si>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</si>
  <si>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</si>
  <si>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</si>
  <si>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</si>
  <si>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</si>
  <si>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</si>
  <si>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</si>
  <si>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</si>
  <si>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</si>
  <si>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</si>
  <si>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</si>
  <si>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</si>
  <si>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</si>
  <si>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</si>
  <si>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</si>
  <si>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</si>
  <si>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</si>
  <si>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</si>
  <si>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</si>
  <si>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</si>
  <si>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</si>
  <si>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</si>
  <si>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</si>
  <si>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</si>
  <si>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</si>
  <si>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</si>
  <si>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</si>
  <si>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</si>
  <si>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</si>
  <si>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</si>
  <si>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</si>
  <si>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</si>
  <si>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</si>
  <si>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</si>
  <si>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</si>
  <si>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</si>
  <si>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</si>
  <si>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</si>
  <si>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</si>
  <si>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</si>
  <si>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</si>
  <si>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</si>
  <si>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</si>
  <si>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</si>
  <si>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</si>
  <si>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</si>
  <si>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</si>
  <si>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</si>
  <si>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</si>
  <si>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</si>
  <si>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</si>
  <si>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</si>
  <si>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</si>
  <si>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</si>
  <si>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</si>
  <si>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</si>
  <si>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</si>
  <si>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</si>
  <si>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</si>
  <si>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</si>
  <si>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</si>
  <si>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</si>
  <si>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</si>
  <si>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</si>
  <si>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</si>
  <si>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</si>
  <si>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</si>
  <si>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</si>
  <si>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</si>
  <si>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</si>
  <si>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</si>
  <si>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</si>
  <si>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</si>
  <si>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</si>
  <si>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</si>
  <si>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</si>
  <si>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</si>
  <si>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</si>
  <si>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</si>
  <si>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</si>
  <si>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</si>
  <si>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</si>
  <si>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</si>
  <si>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</si>
  <si>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</si>
  <si>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</si>
  <si>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</si>
  <si>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</si>
  <si>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</si>
  <si>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</si>
  <si>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</si>
  <si>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</si>
  <si>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</si>
  <si>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</si>
  <si>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</si>
  <si>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</si>
  <si>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</si>
  <si>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</si>
  <si>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</si>
  <si>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</si>
  <si>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</si>
  <si>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</si>
  <si>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</si>
  <si>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</si>
  <si>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</si>
  <si>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</si>
  <si>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</si>
  <si>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</si>
  <si>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</si>
  <si>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</si>
  <si>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</si>
  <si>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</si>
  <si>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</si>
  <si>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</si>
  <si>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</si>
  <si>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</si>
  <si>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</si>
  <si>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</si>
  <si>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</si>
  <si>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</si>
  <si>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</si>
  <si>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</si>
  <si>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</si>
  <si>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</si>
  <si>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</si>
  <si>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</si>
  <si>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</si>
  <si>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</si>
  <si>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</si>
  <si>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</si>
  <si>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</si>
  <si>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</si>
  <si>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</si>
  <si>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</si>
  <si>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</si>
  <si>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</si>
  <si>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</si>
  <si>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</si>
  <si>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</si>
  <si>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</si>
  <si>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</si>
  <si>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</si>
  <si>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</si>
  <si>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</si>
  <si>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</si>
  <si>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</si>
  <si>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</si>
  <si>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</si>
  <si>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</si>
  <si>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</si>
  <si>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</si>
  <si>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</si>
  <si>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</si>
  <si>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</si>
  <si>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</si>
  <si>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</si>
  <si>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</si>
  <si>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</si>
  <si>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</si>
  <si>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</si>
  <si>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</si>
  <si>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</si>
  <si>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</si>
  <si>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</si>
  <si>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</si>
  <si>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</si>
  <si>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</si>
  <si>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</si>
  <si>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</si>
  <si>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</si>
  <si>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</si>
  <si>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</si>
  <si>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</si>
  <si>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</si>
  <si>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</si>
  <si>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</si>
  <si>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</si>
  <si>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</si>
  <si>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</si>
  <si>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</si>
  <si>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</si>
  <si>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</si>
  <si>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</si>
  <si>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</si>
  <si>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</si>
  <si>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</si>
  <si>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</si>
  <si>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</si>
  <si>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</si>
  <si>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</si>
  <si>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</si>
  <si>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</si>
  <si>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</si>
  <si>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</si>
  <si>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</si>
  <si>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</si>
  <si>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</si>
  <si>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</si>
  <si>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</si>
  <si>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</si>
  <si>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</si>
  <si>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</si>
  <si>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</si>
  <si>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</si>
  <si>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</si>
  <si>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</si>
  <si>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</si>
  <si>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</si>
  <si>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</si>
  <si>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</si>
  <si>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</si>
  <si>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</si>
  <si>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</si>
  <si>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</si>
  <si>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</si>
  <si>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</si>
  <si>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</si>
  <si>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</si>
  <si>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</si>
  <si>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</si>
  <si>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</si>
  <si>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</si>
  <si>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</si>
  <si>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</si>
  <si>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</si>
  <si>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</si>
  <si>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</si>
  <si>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</si>
  <si>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</si>
  <si>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</si>
  <si>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</si>
  <si>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</si>
  <si>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</si>
  <si>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</si>
  <si>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</si>
  <si>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</si>
  <si>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</si>
  <si>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</si>
  <si>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</si>
  <si>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</si>
  <si>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</si>
  <si>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</si>
  <si>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</si>
  <si>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</si>
  <si>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</si>
  <si>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</si>
  <si>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</si>
  <si>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</si>
  <si>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</si>
  <si>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</si>
  <si>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</si>
  <si>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</si>
  <si>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</si>
  <si>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</si>
  <si>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</si>
  <si>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</si>
  <si>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</si>
  <si>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</si>
  <si>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</si>
  <si>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</si>
  <si>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</si>
  <si>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</si>
  <si>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</si>
  <si>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</si>
  <si>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</si>
  <si>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</si>
  <si>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</si>
  <si>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</si>
  <si>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</si>
  <si>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</si>
  <si>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</si>
  <si>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</si>
  <si>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</si>
  <si>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</si>
  <si>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</si>
  <si>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</si>
  <si>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</si>
  <si>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</si>
  <si>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</si>
  <si>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</si>
  <si>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</si>
  <si>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</si>
  <si>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</si>
  <si>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</si>
  <si>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</si>
  <si>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</si>
  <si>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</si>
  <si>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</si>
  <si>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</si>
  <si>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</si>
  <si>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</si>
  <si>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</si>
  <si>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</si>
  <si>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</si>
  <si>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</si>
  <si>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</si>
  <si>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</si>
  <si>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</si>
  <si>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</si>
  <si>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</si>
  <si>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</si>
  <si>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</si>
  <si>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</si>
  <si>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</si>
  <si>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</si>
  <si>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</si>
  <si>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</si>
  <si>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</si>
  <si>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</si>
  <si>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</si>
  <si>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</si>
  <si>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</si>
  <si>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</si>
  <si>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</si>
  <si>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</si>
  <si>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</si>
  <si>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</si>
  <si>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</si>
  <si>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</si>
  <si>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</si>
  <si>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</si>
  <si>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</si>
  <si>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</si>
  <si>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</si>
  <si>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</si>
  <si>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</si>
  <si>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</si>
  <si>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</si>
  <si>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</si>
  <si>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</si>
  <si>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</si>
  <si>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</si>
  <si>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</si>
  <si>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</si>
  <si>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</si>
  <si>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</si>
  <si>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</si>
  <si>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</si>
  <si>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</si>
  <si>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</si>
  <si>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</si>
  <si>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</si>
  <si>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</si>
  <si>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</si>
  <si>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</si>
  <si>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</si>
  <si>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</si>
  <si>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</si>
  <si>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</si>
  <si>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</si>
  <si>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</si>
  <si>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</si>
  <si>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</si>
  <si>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</si>
  <si>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</si>
  <si>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</si>
  <si>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</si>
  <si>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</si>
  <si>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</si>
  <si>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</si>
  <si>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</si>
  <si>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</si>
  <si>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</si>
  <si>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</si>
  <si>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</si>
  <si>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</si>
  <si>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</si>
  <si>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</si>
  <si>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</si>
  <si>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</si>
  <si>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</si>
  <si>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</si>
  <si>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</si>
  <si>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</si>
  <si>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</si>
  <si>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</si>
  <si>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</si>
  <si>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</si>
  <si>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</si>
  <si>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</si>
  <si>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</si>
  <si>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</si>
  <si>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</si>
  <si>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</si>
  <si>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</si>
  <si>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</si>
  <si>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</si>
  <si>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</si>
  <si>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</si>
  <si>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</si>
  <si>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</si>
  <si>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</si>
  <si>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</si>
  <si>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</si>
  <si>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</si>
  <si>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</si>
  <si>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</si>
  <si>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</si>
  <si>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</si>
  <si>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</si>
  <si>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</si>
  <si>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</si>
  <si>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</si>
  <si>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</si>
  <si>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</si>
  <si>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</si>
  <si>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</si>
  <si>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</si>
  <si>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</si>
  <si>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</si>
  <si>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</si>
  <si>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</si>
  <si>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</si>
  <si>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</si>
  <si>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</si>
  <si>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</si>
  <si>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</si>
  <si>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</si>
  <si>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</si>
  <si>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</si>
  <si>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</si>
  <si>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</si>
  <si>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</si>
  <si>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</si>
  <si>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</si>
  <si>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</si>
  <si>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</si>
  <si>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</si>
  <si>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</si>
  <si>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</si>
  <si>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</si>
  <si>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</si>
  <si>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</si>
  <si>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</si>
  <si>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</si>
  <si>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</si>
  <si>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</si>
  <si>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</si>
  <si>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</si>
  <si>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</si>
  <si>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</si>
  <si>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</si>
  <si>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</si>
  <si>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</si>
  <si>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</si>
  <si>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</si>
  <si>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</si>
  <si>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</si>
  <si>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</si>
  <si>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</si>
  <si>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</si>
  <si>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</si>
  <si>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</si>
  <si>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</si>
  <si>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</si>
  <si>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</si>
  <si>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</si>
  <si>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</si>
  <si>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</si>
  <si>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</si>
  <si>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</si>
  <si>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</si>
  <si>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</si>
  <si>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</si>
  <si>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</si>
  <si>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</si>
  <si>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</si>
  <si>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</si>
  <si>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</si>
  <si>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</si>
  <si>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</si>
  <si>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</si>
  <si>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</si>
  <si>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</si>
  <si>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</si>
  <si>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</si>
  <si>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</si>
  <si>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</si>
  <si>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</si>
  <si>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</si>
  <si>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</si>
  <si>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</si>
  <si>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</si>
  <si>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</si>
  <si>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</si>
  <si>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</si>
  <si>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</si>
  <si>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</si>
  <si>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</si>
  <si>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</si>
  <si>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</si>
  <si>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</si>
  <si>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</si>
  <si>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</si>
  <si>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</si>
  <si>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</si>
  <si>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</si>
  <si>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</si>
  <si>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</si>
  <si>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</si>
  <si>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</si>
  <si>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</si>
  <si>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</si>
  <si>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</si>
  <si>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</si>
  <si>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</si>
  <si>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</si>
  <si>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</si>
  <si>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</si>
  <si>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</si>
  <si>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</si>
  <si>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</si>
  <si>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</si>
  <si>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</si>
  <si>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</si>
  <si>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</si>
  <si>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</si>
  <si>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</si>
  <si>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</si>
  <si>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</si>
  <si>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</si>
  <si>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</si>
  <si>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</si>
  <si>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</si>
  <si>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</si>
  <si>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</si>
  <si>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</si>
  <si>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</si>
  <si>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</si>
  <si>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</si>
  <si>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</si>
  <si>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</si>
  <si>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</si>
  <si>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</si>
  <si>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</si>
  <si>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</si>
  <si>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</si>
  <si>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</si>
  <si>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</si>
  <si>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</si>
  <si>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</si>
  <si>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</si>
  <si>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</si>
  <si>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</si>
  <si>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</si>
  <si>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</si>
  <si>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</si>
  <si>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</si>
  <si>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</si>
  <si>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</si>
  <si>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</si>
  <si>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</si>
  <si>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</si>
  <si>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</si>
  <si>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</si>
  <si>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</si>
  <si>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</si>
  <si>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</si>
  <si>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</si>
  <si>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</si>
  <si>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</si>
  <si>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</si>
  <si>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</si>
  <si>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</si>
  <si>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</si>
  <si>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</si>
  <si>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</si>
  <si>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</si>
  <si>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</si>
  <si>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</si>
  <si>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</si>
  <si>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</si>
  <si>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</si>
  <si>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</si>
  <si>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</si>
  <si>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</si>
  <si>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</si>
  <si>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</si>
  <si>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</si>
  <si>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</si>
  <si>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</si>
  <si>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</si>
  <si>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</si>
  <si>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</si>
  <si>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</si>
  <si>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</si>
  <si>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</si>
  <si>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</si>
  <si>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</si>
  <si>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</si>
  <si>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</si>
  <si>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</si>
  <si>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</si>
  <si>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</si>
  <si>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</si>
  <si>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</si>
  <si>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</si>
  <si>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</si>
  <si>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</si>
  <si>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</si>
  <si>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</si>
  <si>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</si>
  <si>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</si>
  <si>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</si>
  <si>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</si>
  <si>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</si>
  <si>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</si>
  <si>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</si>
  <si>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</si>
  <si>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</si>
  <si>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</si>
  <si>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</si>
  <si>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</si>
  <si>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</si>
  <si>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</si>
  <si>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</si>
  <si>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</si>
  <si>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</si>
  <si>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</si>
  <si>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</si>
  <si>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</si>
  <si>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</si>
  <si>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</si>
  <si>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</si>
  <si>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</si>
  <si>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</si>
  <si>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</si>
  <si>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</si>
  <si>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</si>
  <si>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</si>
  <si>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</si>
  <si>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</si>
  <si>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</si>
  <si>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</si>
  <si>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</si>
  <si>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</si>
  <si>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</si>
  <si>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</si>
  <si>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</si>
  <si>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</si>
  <si>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</si>
  <si>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</si>
  <si>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</si>
  <si>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</si>
  <si>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</si>
  <si>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</si>
  <si>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</si>
  <si>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</si>
  <si>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</si>
  <si>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</si>
  <si>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</si>
  <si>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</si>
  <si>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</si>
  <si>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</si>
  <si>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</si>
  <si>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</si>
  <si>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</si>
  <si>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</si>
  <si>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</si>
  <si>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</si>
  <si>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</si>
  <si>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</si>
  <si>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</si>
  <si>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</si>
  <si>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</si>
  <si>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</si>
  <si>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</si>
  <si>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</si>
  <si>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</si>
  <si>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</si>
  <si>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</si>
  <si>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</si>
  <si>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</si>
  <si>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</si>
  <si>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</si>
  <si>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</si>
  <si>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</si>
  <si>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</si>
  <si>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</si>
  <si>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</si>
  <si>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</si>
  <si>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</si>
  <si>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</si>
  <si>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</si>
  <si>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</si>
  <si>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</si>
  <si>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</si>
  <si>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</si>
  <si>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</si>
  <si>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</si>
  <si>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</si>
  <si>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</si>
  <si>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</si>
  <si>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</si>
  <si>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</si>
  <si>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</si>
  <si>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</si>
  <si>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</si>
  <si>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</si>
  <si>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</si>
  <si>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</si>
  <si>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</si>
  <si>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</si>
  <si>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</si>
  <si>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</si>
  <si>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</si>
  <si>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</si>
  <si>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</si>
  <si>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</si>
  <si>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</si>
  <si>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</si>
  <si>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</si>
  <si>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</si>
  <si>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</si>
  <si>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</si>
  <si>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</si>
  <si>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</si>
  <si>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</si>
  <si>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</si>
  <si>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</si>
  <si>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</si>
  <si>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</si>
  <si>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</si>
  <si>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</si>
  <si>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</si>
  <si>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</si>
  <si>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</si>
  <si>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</si>
  <si>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</si>
  <si>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</si>
  <si>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</si>
  <si>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</si>
  <si>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</si>
  <si>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</si>
  <si>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</si>
  <si>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</si>
  <si>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</si>
  <si>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</si>
  <si>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</si>
  <si>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</si>
  <si>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</si>
  <si>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</si>
  <si>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</si>
  <si>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</si>
  <si>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</si>
  <si>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</si>
  <si>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</si>
  <si>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</si>
  <si>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</si>
  <si>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</si>
  <si>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</si>
  <si>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</si>
  <si>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</si>
  <si>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</si>
  <si>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</si>
  <si>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</si>
  <si>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</si>
  <si>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</si>
  <si>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</si>
  <si>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</si>
  <si>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</si>
  <si>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</si>
  <si>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</si>
  <si>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</si>
  <si>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</si>
  <si>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</si>
  <si>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</si>
  <si>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</si>
  <si>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</si>
  <si>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</si>
  <si>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</si>
  <si>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</si>
  <si>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</si>
  <si>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</si>
  <si>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</si>
  <si>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</si>
  <si>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</si>
  <si>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</si>
  <si>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</si>
  <si>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</si>
  <si>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</si>
  <si>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</si>
  <si>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</si>
  <si>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</si>
  <si>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</si>
  <si>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</si>
  <si>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</si>
  <si>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</si>
  <si>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</si>
  <si>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</si>
  <si>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</si>
  <si>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</si>
  <si>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</si>
  <si>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</si>
  <si>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</si>
  <si>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</si>
  <si>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</si>
  <si>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</si>
  <si>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</si>
  <si>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</si>
  <si>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</si>
  <si>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</si>
  <si>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</si>
  <si>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</si>
  <si>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</si>
  <si>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</si>
  <si>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</si>
  <si>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</si>
  <si>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</si>
  <si>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</si>
  <si>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</si>
  <si>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</si>
  <si>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</si>
  <si>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</si>
  <si>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</si>
  <si>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</si>
  <si>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</si>
  <si>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</si>
  <si>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</si>
  <si>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</si>
  <si>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</si>
  <si>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</si>
  <si>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</si>
  <si>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</si>
  <si>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</si>
  <si>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</si>
  <si>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</si>
  <si>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</si>
  <si>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</si>
  <si>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</si>
  <si>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</si>
  <si>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</si>
  <si>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</si>
  <si>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</si>
  <si>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</si>
  <si>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</si>
  <si>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</si>
  <si>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</si>
  <si>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</si>
  <si>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</si>
  <si>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</si>
  <si>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</si>
  <si>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</si>
  <si>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</si>
  <si>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</si>
  <si>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</si>
  <si>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</si>
  <si>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</si>
  <si>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</si>
  <si>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</si>
  <si>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</si>
  <si>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</si>
  <si>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</si>
  <si>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</si>
  <si>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</si>
  <si>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</si>
  <si>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</si>
  <si>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</si>
  <si>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</si>
  <si>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</si>
  <si>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</si>
  <si>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</si>
  <si>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</si>
  <si>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</si>
  <si>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</si>
  <si>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</si>
  <si>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</si>
  <si>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</si>
  <si>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</si>
  <si>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</si>
  <si>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</si>
  <si>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</si>
  <si>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</si>
  <si>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</si>
  <si>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</si>
  <si>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</si>
  <si>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</si>
  <si>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</si>
  <si>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</si>
  <si>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</si>
  <si>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</si>
  <si>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</si>
  <si>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</si>
  <si>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</si>
  <si>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</si>
  <si>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</si>
  <si>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</si>
  <si>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</si>
  <si>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</si>
  <si>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</si>
  <si>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</si>
  <si>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</si>
  <si>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</si>
  <si>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</si>
  <si>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</si>
  <si>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</si>
  <si>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</si>
  <si>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</si>
  <si>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</si>
  <si>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</si>
  <si>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</si>
  <si>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</si>
  <si>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</si>
  <si>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</si>
  <si>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</si>
  <si>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</si>
  <si>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</si>
  <si>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</si>
  <si>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</si>
  <si>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</si>
  <si>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</si>
  <si>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</si>
  <si>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</si>
  <si>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</si>
  <si>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</si>
  <si>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</si>
  <si>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</si>
  <si>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</si>
  <si>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</si>
  <si>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</si>
  <si>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</si>
  <si>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</si>
  <si>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</si>
  <si>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</si>
  <si>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</si>
  <si>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</si>
  <si>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</si>
  <si>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</si>
  <si>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</si>
  <si>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</si>
  <si>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</si>
  <si>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</si>
  <si>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</si>
  <si>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</si>
  <si>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</si>
  <si>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</si>
  <si>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</si>
  <si>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</si>
  <si>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</si>
  <si>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</si>
  <si>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</si>
  <si>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</si>
  <si>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</si>
  <si>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</si>
  <si>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</si>
  <si>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</si>
  <si>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</si>
  <si>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</si>
  <si>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</si>
  <si>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</si>
  <si>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</si>
  <si>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</si>
  <si>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</si>
  <si>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</si>
  <si>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</si>
  <si>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</si>
  <si>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</si>
  <si>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</si>
  <si>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</si>
  <si>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</si>
  <si>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</si>
  <si>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</si>
  <si>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</si>
  <si>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</si>
  <si>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</si>
  <si>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</si>
  <si>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</si>
  <si>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</si>
  <si>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</si>
  <si>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</si>
  <si>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</si>
  <si>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</si>
  <si>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</si>
  <si>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</si>
  <si>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</si>
  <si>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</si>
  <si>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</si>
  <si>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</si>
  <si>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</si>
  <si>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</si>
  <si>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</si>
  <si>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</si>
  <si>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</si>
  <si>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</si>
  <si>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</si>
  <si>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</si>
  <si>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</si>
  <si>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</si>
  <si>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</si>
  <si>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</si>
  <si>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</si>
  <si>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</si>
  <si>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</si>
  <si>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</si>
  <si>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</si>
  <si>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</si>
  <si>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</si>
  <si>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</si>
  <si>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</si>
  <si>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</si>
  <si>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</si>
  <si>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</si>
  <si>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</si>
  <si>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</si>
  <si>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</si>
  <si>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</si>
  <si>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</si>
  <si>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</si>
  <si>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</si>
  <si>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</si>
  <si>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</si>
  <si>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</si>
  <si>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</si>
  <si>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</si>
  <si>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</si>
  <si>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</si>
  <si>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</si>
  <si>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</si>
  <si>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</si>
  <si>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</si>
  <si>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</si>
  <si>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</si>
  <si>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</si>
  <si>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</si>
  <si>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</si>
  <si>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</si>
  <si>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</si>
  <si>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</si>
  <si>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</si>
  <si>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</si>
  <si>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</si>
  <si>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</si>
  <si>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</si>
  <si>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</si>
  <si>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</si>
  <si>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</si>
  <si>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</si>
  <si>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</si>
  <si>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</si>
  <si>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</si>
  <si>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</si>
  <si>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</si>
  <si>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</si>
  <si>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</si>
  <si>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</si>
  <si>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</si>
  <si>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</si>
  <si>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</si>
  <si>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</si>
  <si>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</si>
  <si>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</si>
  <si>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</si>
  <si>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</si>
  <si>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</si>
  <si>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</si>
  <si>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</si>
  <si>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</si>
  <si>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</si>
  <si>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</si>
  <si>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</si>
  <si>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</si>
  <si>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</si>
  <si>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</si>
  <si>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</si>
  <si>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</si>
  <si>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</si>
  <si>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</si>
  <si>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</si>
  <si>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</si>
  <si>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</si>
  <si>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</si>
  <si>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</si>
  <si>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</si>
  <si>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</si>
  <si>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</si>
  <si>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</si>
  <si>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</si>
  <si>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</si>
  <si>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</si>
  <si>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</si>
  <si>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</si>
  <si>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</si>
  <si>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</si>
  <si>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</si>
  <si>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</si>
  <si>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</si>
  <si>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</si>
  <si>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</si>
  <si>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</si>
  <si>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</si>
  <si>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</si>
  <si>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</si>
  <si>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</si>
  <si>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</si>
  <si>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</si>
  <si>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</si>
  <si>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</si>
  <si>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</si>
  <si>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</si>
  <si>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</si>
  <si>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</si>
  <si>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</si>
  <si>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</si>
  <si>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</si>
  <si>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</si>
  <si>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</si>
  <si>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</si>
  <si>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</si>
  <si>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</si>
  <si>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</si>
  <si>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</si>
  <si>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</si>
  <si>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</si>
  <si>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</si>
  <si>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</si>
  <si>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</si>
  <si>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</si>
  <si>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</si>
  <si>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</si>
  <si>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</si>
  <si>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</si>
  <si>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</si>
  <si>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</si>
  <si>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</si>
  <si>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</si>
  <si>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</si>
  <si>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</si>
  <si>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</si>
  <si>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</si>
  <si>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</si>
  <si>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</si>
  <si>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</si>
  <si>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</si>
  <si>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</si>
  <si>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</si>
  <si>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</si>
  <si>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</si>
  <si>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</si>
  <si>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</si>
  <si>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</si>
  <si>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</si>
  <si>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</si>
  <si>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</si>
  <si>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</si>
  <si>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</si>
  <si>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</si>
  <si>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</si>
  <si>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</si>
  <si>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</si>
  <si>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</si>
  <si>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</si>
  <si>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</si>
  <si>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</si>
  <si>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</si>
  <si>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</si>
  <si>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</si>
  <si>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</si>
  <si>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</si>
  <si>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</si>
  <si>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</si>
  <si>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</si>
  <si>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</si>
  <si>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</si>
  <si>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</si>
  <si>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</si>
  <si>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</si>
  <si>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</si>
  <si>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</si>
  <si>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</si>
  <si>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</si>
  <si>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</si>
  <si>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</si>
  <si>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</si>
  <si>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</si>
  <si>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</si>
  <si>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</si>
  <si>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</si>
  <si>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</si>
  <si>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</si>
  <si>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</si>
  <si>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</si>
  <si>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</si>
  <si>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</si>
  <si>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</si>
  <si>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</si>
  <si>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</si>
  <si>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</si>
  <si>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</si>
  <si>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</si>
  <si>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</si>
  <si>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</si>
  <si>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</si>
  <si>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</si>
  <si>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</si>
  <si>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</si>
  <si>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</si>
  <si>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</si>
  <si>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</si>
  <si>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</si>
  <si>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</si>
  <si>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</si>
  <si>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</si>
  <si>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</si>
  <si>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</si>
  <si>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</si>
  <si>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</si>
  <si>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</si>
  <si>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</si>
  <si>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</si>
  <si>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</si>
  <si>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</si>
  <si>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</si>
  <si>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</si>
  <si>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</si>
  <si>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</si>
  <si>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</si>
  <si>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</si>
  <si>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</si>
  <si>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</si>
  <si>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</si>
  <si>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</si>
  <si>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</si>
  <si>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</si>
  <si>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</si>
  <si>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</si>
  <si>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</si>
  <si>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</si>
  <si>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</si>
  <si>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</si>
  <si>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</si>
  <si>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</si>
  <si>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</si>
  <si>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</si>
  <si>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</si>
  <si>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</si>
  <si>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</si>
  <si>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</si>
  <si>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</si>
  <si>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</si>
  <si>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</si>
  <si>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</si>
  <si>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</si>
  <si>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</si>
  <si>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</si>
  <si>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</si>
  <si>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</si>
  <si>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</si>
  <si>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</si>
  <si>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</si>
  <si>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</si>
  <si>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</si>
  <si>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</si>
  <si>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</si>
  <si>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</si>
  <si>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</si>
  <si>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</si>
  <si>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</si>
  <si>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</si>
  <si>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</si>
  <si>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</si>
  <si>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</si>
  <si>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</si>
  <si>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</si>
  <si>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</si>
  <si>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</si>
  <si>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</si>
  <si>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</si>
  <si>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</si>
  <si>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</si>
  <si>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</si>
  <si>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</si>
  <si>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</si>
  <si>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</si>
  <si>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</si>
  <si>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</si>
  <si>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</si>
  <si>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</si>
  <si>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</si>
  <si>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</si>
  <si>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</si>
  <si>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</si>
  <si>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</si>
  <si>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</si>
  <si>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</si>
  <si>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</si>
  <si>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</si>
  <si>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</si>
  <si>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</si>
  <si>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</si>
  <si>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</si>
  <si>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</si>
  <si>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</si>
  <si>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</si>
  <si>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</si>
  <si>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</si>
  <si>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</si>
  <si>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</si>
  <si>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</si>
  <si>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</si>
  <si>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</si>
  <si>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</si>
  <si>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</si>
  <si>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</si>
  <si>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</si>
  <si>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</si>
  <si>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</si>
  <si>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</si>
  <si>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</si>
  <si>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</si>
  <si>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</si>
  <si>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</si>
  <si>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</si>
  <si>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</si>
  <si>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</si>
  <si>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</si>
  <si>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</si>
  <si>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</si>
  <si>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</si>
  <si>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</si>
  <si>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</si>
  <si>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</si>
  <si>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</si>
  <si>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</si>
  <si>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</si>
  <si>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</si>
  <si>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</si>
  <si>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</si>
  <si>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</si>
  <si>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</si>
  <si>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</si>
  <si>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</si>
  <si>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</si>
  <si>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</si>
  <si>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</si>
  <si>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</si>
  <si>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</si>
  <si>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</si>
  <si>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</si>
  <si>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</si>
  <si>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</si>
  <si>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</si>
  <si>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</si>
  <si>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</si>
  <si>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</si>
  <si>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</si>
  <si>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</si>
  <si>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</si>
  <si>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</si>
  <si>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</si>
  <si>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</si>
  <si>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</si>
  <si>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</si>
  <si>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</si>
  <si>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</si>
  <si>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</si>
  <si>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</si>
  <si>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</si>
  <si>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</si>
  <si>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</si>
  <si>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</si>
  <si>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</si>
  <si>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</si>
  <si>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</si>
  <si>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</si>
  <si>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</si>
  <si>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</si>
  <si>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</si>
  <si>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</si>
  <si>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</si>
  <si>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</si>
  <si>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</si>
  <si>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</si>
  <si>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</si>
  <si>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</si>
  <si>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</si>
  <si>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</si>
  <si>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</si>
  <si>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</si>
  <si>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</si>
  <si>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</si>
  <si>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</si>
  <si>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</si>
  <si>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</si>
  <si>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</si>
  <si>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</si>
  <si>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</si>
  <si>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</si>
  <si>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</si>
  <si>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</si>
  <si>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</si>
  <si>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</si>
  <si>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</si>
  <si>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</si>
  <si>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</si>
  <si>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</si>
  <si>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</si>
  <si>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</si>
  <si>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</si>
  <si>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</si>
  <si>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</si>
  <si>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</si>
  <si>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</si>
  <si>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</si>
  <si>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</si>
  <si>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</si>
  <si>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</si>
  <si>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</si>
  <si>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</si>
  <si>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</si>
  <si>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</si>
  <si>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</si>
  <si>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</si>
  <si>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</si>
  <si>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</si>
  <si>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</si>
  <si>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</si>
  <si>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</si>
  <si>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</si>
  <si>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</si>
  <si>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</si>
  <si>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</si>
  <si>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</si>
  <si>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</si>
  <si>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</si>
  <si>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</si>
  <si>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</si>
  <si>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</si>
  <si>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</si>
  <si>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</si>
  <si>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</si>
  <si>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</si>
  <si>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</si>
  <si>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</si>
  <si>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</si>
  <si>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</si>
  <si>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</si>
  <si>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</si>
  <si>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</si>
  <si>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</si>
  <si>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</si>
  <si>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</si>
  <si>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</si>
  <si>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</si>
  <si>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</si>
  <si>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</si>
  <si>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</si>
  <si>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</si>
  <si>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</si>
  <si>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</si>
  <si>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</si>
  <si>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</si>
  <si>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</si>
  <si>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</si>
  <si>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</si>
  <si>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</si>
  <si>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</si>
  <si>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</si>
  <si>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</si>
  <si>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</si>
  <si>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</si>
  <si>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</si>
  <si>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</si>
  <si>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</si>
  <si>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</si>
  <si>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2023PA-009</t>
  </si>
  <si>
    <t>Landbridge Development, LLC</t>
  </si>
  <si>
    <t>D'Anne Hilsmier</t>
  </si>
  <si>
    <t>Application Manager</t>
  </si>
  <si>
    <t>d_anne@grhco.com</t>
  </si>
  <si>
    <t>Gary Hammond</t>
  </si>
  <si>
    <t>grh@grhco.com</t>
  </si>
  <si>
    <t>Affordable Equity Partners</t>
  </si>
  <si>
    <t>Amortizing</t>
  </si>
  <si>
    <t>Deferred Developer Fee</t>
  </si>
  <si>
    <t>GP Contribution</t>
  </si>
  <si>
    <t>Engineer DD &amp; OPC</t>
  </si>
  <si>
    <t>Electric Heat Pump</t>
  </si>
  <si>
    <t>huduser.gov/portal/datasets/il.html</t>
  </si>
  <si>
    <t>40% of Units at 60% of AMI</t>
  </si>
  <si>
    <t>N/a</t>
  </si>
  <si>
    <t xml:space="preserve">* To all applicants: in addition to your other comments, please provide methodology for determining applicable construction hard costs.
The Furniture Fixture &amp; Equipment line item includes the following items:  Office/Common Area furnishings, Fitness Center Equipment, Wellness Center/Waiting Area Equipment and Supplies,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are included in the documentation.  
The Operating Reserve meets DCA's minimum requirements. </t>
  </si>
  <si>
    <t>The Applicant has complied with the requirements of the 2023 QAP.
The Applicant has included the commitments for the construction and permanent loans and for the State and Federal Equity as required.</t>
  </si>
  <si>
    <t>Bowen National Research</t>
  </si>
  <si>
    <t>Purchase Contract</t>
  </si>
  <si>
    <t>Not Applicable</t>
  </si>
  <si>
    <t>Agree</t>
  </si>
  <si>
    <t>Yes - see Comment</t>
  </si>
  <si>
    <t>Resource Housing Group, Inc.</t>
  </si>
  <si>
    <t>www.rhgroup.org</t>
  </si>
  <si>
    <t xml:space="preserve">Resource Housing Group, Inc. was organized as a 501c3 organization in 1995 and has maintained nonprofit status since it's inception. </t>
  </si>
  <si>
    <t>A legal opinion from a third party attorney that specializes in tax law has been included to opine on the nonprofit's current federal tax exempt qualification status.</t>
  </si>
  <si>
    <t>Applicant agrees to comply with all AFFH requirements as set forth in the QAP.</t>
  </si>
  <si>
    <t xml:space="preserve">The Applicant has complied with all requirements of the QAP and after much due diligence believes this project is an efficient use of DCA resources.  </t>
  </si>
  <si>
    <t>This scoring item is only available to Atlanta Metro Projects.</t>
  </si>
  <si>
    <t>TBD (only if Option A)</t>
  </si>
  <si>
    <t>Upon award the applicant will engage with a QB for the purposes of meeting the requirements of the current year QAP for XVIIA Engagement Commitment and Reporting.</t>
  </si>
  <si>
    <t>The applicant commits to accept resident services coordination from an entity certified as a 3rd Party Resident Services Coordination Contractor" by CORES or other DCA-approved program.</t>
  </si>
  <si>
    <t>Not applicable.</t>
  </si>
  <si>
    <t>Peaks of Douglas</t>
  </si>
  <si>
    <t>Unincorporated County</t>
  </si>
  <si>
    <t>A pre-application was submitted in 2022 at Pre-App for this project and received a determination of "Qualified".  The same project team received a "Qualified" determination with a 2023 Pre-App for another project.  We have included these determinations and an updated performance workbook within the application.</t>
  </si>
  <si>
    <t>Plan and Cost Review</t>
  </si>
  <si>
    <t>Traffic Study</t>
  </si>
  <si>
    <t>DCA - Georgia North (Row House)</t>
  </si>
  <si>
    <t>Row House/TH</t>
  </si>
  <si>
    <t>DCA - Georgia North (Low Rise)</t>
  </si>
  <si>
    <t>Low-Rise Elevator</t>
  </si>
  <si>
    <t>Applicant and Property Manager will provide and/or coordinate activities.  Third party vendors may also be used.  Additionally, the property manager will conduct social/recreational and enrichment programs (ex. potlucks, move-nights, bingo, budgeting, arts/crafts, and health classes).</t>
  </si>
  <si>
    <t>The property zoning is PRD as shown in the Zoning letter provided by the Douglas County Zoning Official.  The PRD zoning allows for Multi-Family Residential Development.</t>
  </si>
  <si>
    <t>GreyStone Power Corporation</t>
  </si>
  <si>
    <t>GreyStone Power Corporation has electrical facilities available to serve the Peaks of Douglas Community as shown in the Availability Letter provided.</t>
  </si>
  <si>
    <t>Douglasville-Douglas County Water and Sewer Authority</t>
  </si>
  <si>
    <t>Douglasville-Douglas County Water and Sewer Authority is available to serve the Peaks of Douglas Community as shown in the Availability Letter provided.</t>
  </si>
  <si>
    <t>Room</t>
  </si>
  <si>
    <t>Covered Porch</t>
  </si>
  <si>
    <t>W&amp;D installed in each unit</t>
  </si>
  <si>
    <t>The draft scoring sheet showing the minimum and expected score of our project has been submitted in excel and pdf as required.  The DCA Sustainability Training was completed on 4/24/2023 at 3:03 pm by D'Anne Hilsmier.  The training was a video and no certificate was provided.</t>
  </si>
  <si>
    <t>Not applicable</t>
  </si>
  <si>
    <t xml:space="preserve">The project location is qualified to received 24.5 desirable points.  </t>
  </si>
  <si>
    <t>Connect Douglas</t>
  </si>
  <si>
    <t>770-949-7665</t>
  </si>
  <si>
    <t>connectdouglas@co.douglas.ga.us</t>
  </si>
  <si>
    <t>www.celebratedouglascounty.com/234/Douglas-County-Fixed-Route-Bus-Service</t>
  </si>
  <si>
    <t>Arbor Station Elementary School</t>
  </si>
  <si>
    <t>Chapel Hill Middle School</t>
  </si>
  <si>
    <t>Chapel Hill High School</t>
  </si>
  <si>
    <t>Site Census Tract</t>
  </si>
  <si>
    <t>Above 60th Percentile</t>
  </si>
  <si>
    <t>At or Above 80th Percentile</t>
  </si>
  <si>
    <t xml:space="preserve">We used the data from the 2020 Statistic Set.  The project continues to meet these requirements for 2021 in the area of health insurance and income.  </t>
  </si>
  <si>
    <t>No LIHTC projects have been built in Douglas County withing the last 15 DCA Housing Credit Competitive Rounds.</t>
  </si>
  <si>
    <t>No applicable.</t>
  </si>
  <si>
    <t>The applicant has accepted Section 811 contracts with DCA previously.</t>
  </si>
  <si>
    <t>Applicant will comply with all of the requirements for a HFOP project per the current year QAP.</t>
  </si>
  <si>
    <t>Sterling Bank</t>
  </si>
  <si>
    <t>BWE Freddie Mac 9% Forward</t>
  </si>
  <si>
    <t>Peaks of Douglas, LP</t>
  </si>
  <si>
    <t xml:space="preserve">The project team received a determination of "Qualified" for Resource Housing Group, Inc. and Landbridge Development, LLC for another project in the 2023 round.  This project and project team was submitted in 2022 and received a "Qualified" determination.  These determination letters have been submitted in addition to the required Performance Workbook.  </t>
  </si>
  <si>
    <t>The property pedestrian entrance is located &lt;0.20 miles from a public transportation stop located at the Kohl's Department store.</t>
  </si>
  <si>
    <t>GIBCO Environmental, LLC</t>
  </si>
  <si>
    <t xml:space="preserve">Applicant has two parcels under contract, both of which give the applicant site control longer than the required Threshold date of November 30, 2023.  </t>
  </si>
  <si>
    <t>Owner will be paying for Refuse Collection; Residents will be paying all other utilities.  The Owner is providing all kitchen applicances and the electricity for those is paid for by the tenant and is included in the Other Electric line item.  There are two different types of buidings on the property.  There is an elevator building that houses 48 of the units, and 2-quadplexes that house the 8 additional units.</t>
  </si>
  <si>
    <t>There are no debt service payment amounts that deviate from the amount shown in Permanent Sources (Part III).  DDF is paid off within the required 15 years (shown above).
The DSCR for this project starts at 1.22 and ends with 1.27 in year 15.  
See Tab 02 for documentation to reflect the real estate tax and insurance analysis.</t>
  </si>
  <si>
    <t>Required for the zoning application.</t>
  </si>
  <si>
    <t>For civil engineering site feasibility study, conceptual site plan, preliminary grading plan, and opinion of probably cost to include on-site and off-site work, estimate of local government fees, and construction materials testing and NPDES monitoring.</t>
  </si>
  <si>
    <t>For review of project plans and specifications and associated cost as required by DCA, lender, and investor.</t>
  </si>
  <si>
    <t>Included in eligible basis as normal and customary requirements.</t>
  </si>
  <si>
    <t>Included in eligible basis as normal and customary investigation.</t>
  </si>
  <si>
    <t>Comment boxes were not provided for the following sections where points were claimed.
III Application Completeness (10 pts):  The applicant is eligible for the full 10 points for submitting a complete application.
IV Deeper Targeting (2 pts):  The applicant has chosen the 40% at 60% minimum setaside for the 2 points.
XI Mixed Income Developments (1 pt):  We are claiming B Income Averaging for 1 point.  There is no comment box available.  
XV Extended Affordability Commitment (4 pts):  The applicant selected A1 the owner is willing to forgo the Qualified Contract "cancellation option" after the close of the Compliance Period for 3 points and C to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for an additional 1 point.
XIX Exceptional Nonprofit (2 pts):  The applicant meets the requirements for the nonprofit set aside and has submitted all required documents to verify that they are an "Exceptional Nonprofit" for the purposes of the 2 points.
XXIII Compliance Performance (10 pts):  The applicant is eligible for the full compliance score of 10 points per the current QAP.</t>
  </si>
  <si>
    <t xml:space="preserve">Applicant agrees to comply with the current year QAP and DCA Architectural Requirements for Accessibility.  </t>
  </si>
  <si>
    <t xml:space="preserve">GIBCO Environmental, LLC completed a full Phase I evaluation of the site and found no concerns that warrated further investigation.  </t>
  </si>
  <si>
    <t>Applicant has an equity commitment from Affordable Equity Partners which provides for the equity as listed above and a letter from Sterling Bank for a Construction and Permanent Loans in the amounts shown.  As is customary with any partnership an inital contribution will be made at closing by the GP/SLP representative of their partnership interests.  The DDF is under the 50% limit per the QAP and is repaid from cash flow in 15 years.
The Equity Check does not match because of the 0.01% to the General Partner.</t>
  </si>
  <si>
    <t>A Pre-Demolition Asbestos Survery is included as part of the Phase I and did identify some evidence of asbestos in the existing structures.  These structures will be demolished using best practices and contractor certified in asbestos removal.</t>
  </si>
  <si>
    <t>The Tax Credit Overall Occupancy Rate in the market area is 100%.  The overall unrestricted Market Rate Occupancy rate of 92.4% takes into account one property that contains nearly half of the vacant units reprepresented in the study.  When excluding this property the Market Rate Occupancy rate increases to 95.4%.   The Market Study shows high demand for this project as structured.  The two age-restricted LIHTC properties in the Market Area both maintain waiting list of 102-250 households.</t>
  </si>
  <si>
    <t>Site access to the property will be from Stewart Mill Road.  There will be a vehicular entrance and an additional pedestrian walkway entrance.  These entrances are shown on the CDSP.</t>
  </si>
  <si>
    <t xml:space="preserve">Applicant agrees to comply with the current year QAP and DCA Architectural Requirement for rehabilitation.  The Standard Design Options are indicated on the CSDP.  </t>
  </si>
  <si>
    <t xml:space="preserve">The CSDP submitted meets all of the requirements of the 2023 QAP.  </t>
  </si>
  <si>
    <t xml:space="preserve">The Applicant agrees to provide all amenities as required per the 2023 QAP.  The required amenities are identified on the CDSP.  We will be including the Community Room, Covered Porch (exterior gathering area), washers/dryers installed in each unit, covered pavilion with picnic/bbq facilities, fenced community gardens, and the additional senior requirements of an elevator, and interior conditioned and furnished gathering areas (min of 1 per floor).  </t>
  </si>
  <si>
    <t>The project is located within the boundaries of schools that meet the requirements for full scoring in this section for an HFOP property.</t>
  </si>
  <si>
    <t>Real Estate Tax Methodology:
We utilized an average of the Income Approach and Uniformity between Tax Credit Comparables as our basis for forecasting.    
For uniformity we used an average of $55,000/dwelling unit and $55/gross living area to come up with a value of $3,068,285.  The Millage rate for the Douglas County is:  $3.2563.
The calculation is:  (Total Value x 40% * Millage Rate)/100
$3,068,285 x 40% = $1,227,314
$1,227,314 x $3.2563 = $3,996,503
$3,996,503/100 = $39,9657 (or $7.14/unit)  
When calculating the Taxes based on the income approach the Value was $3,678,706 with a tax burden of $47,916 or $856 per unit.  
The average of these two methods is $785/unit.  We are using $800 as our expense projection for RE Taxes.  
TOTAL TAX PROJECTION  (See Tab 02 for comp methodology and comp information). 
Insurance Methodology:  TIV Value $10,599,254:  
Policy Rates:  
Primary Property &amp; Liability - $0.21471 per $100 Total Insurable Value
Umbrella/Excess Liability - $88/unit = $4,928
Environmental Liability - $3.68/unit = $206.08
Fidelity - $100.09/property 
TOTAL INSURANCE PREMIUM = $22,758 or $499.85/unit 
(See Tab 02 for methodology)  
ANCILLARY INCOME:  The ancillary income amount includes all additional collected fees for applications, vending, etc.
The Market study is utilitzing gross living area because that is the comparable square footage to the market comps.  The square footage in the table above is reflective of the net leasable area as defined by 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</si>
</sst>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Peaks of Douglas</v>
      </c>
    </row>
    <row r="3" spans="1:6" ht="15" customHeight="1">
      <c r="A3" s="666" t="str">
        <f>CONCATENATE('Part I-Project Identification'!F26,", ", 'Part I-Project Identification'!J26," County")</f>
        <v>Douglasville, Douglas County</v>
      </c>
    </row>
    <row r="4" spans="1:6" ht="12" customHeight="1">
      <c r="A4" s="1121"/>
    </row>
    <row r="5" spans="1:6" ht="72" customHeight="1">
      <c r="A5" s="3009" t="s">
        <v>6070</v>
      </c>
      <c r="B5" s="3010" t="s">
        <v>3894</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 customHeight="1">
      <c r="A2" s="3031" t="str">
        <f>CONCATENATE("PART ONE - PROJECT INFORMATION"," - ",$O$7," ",$F$25,", ",'Part I-Project Identification'!F26,", ",'Part I-Project Identification'!J26," County")</f>
        <v>PART ONE - PROJECT INFORMATION - 2023-0 Peaks of Douglas, Douglasville, Douglas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6744</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7033</v>
      </c>
      <c r="B6" s="3046"/>
      <c r="C6" s="3046"/>
      <c r="D6" s="3046"/>
      <c r="F6" s="242"/>
      <c r="G6" s="224" t="s">
        <v>3822</v>
      </c>
      <c r="L6" s="375"/>
      <c r="P6" s="1788" t="s">
        <v>3288</v>
      </c>
      <c r="Z6" s="1706">
        <v>6</v>
      </c>
    </row>
    <row r="7" spans="1:26" s="144" customFormat="1" ht="12" customHeight="1" thickBot="1">
      <c r="A7" s="3046"/>
      <c r="B7" s="3046"/>
      <c r="C7" s="3046"/>
      <c r="D7" s="3046"/>
      <c r="E7" s="999"/>
      <c r="F7" s="244"/>
      <c r="G7" s="224" t="s">
        <v>6082</v>
      </c>
      <c r="H7" s="248"/>
      <c r="I7" s="248"/>
      <c r="J7" s="248"/>
      <c r="O7" s="3034" t="s">
        <v>6910</v>
      </c>
      <c r="P7" s="3035"/>
      <c r="Q7" s="3048" t="s">
        <v>6633</v>
      </c>
      <c r="R7" s="3048"/>
      <c r="S7" s="3049"/>
      <c r="Z7" s="1706">
        <v>7</v>
      </c>
    </row>
    <row r="8" spans="1:26" s="144" customFormat="1" ht="12" customHeight="1">
      <c r="A8" s="3046"/>
      <c r="B8" s="3046"/>
      <c r="C8" s="3046"/>
      <c r="D8" s="3046"/>
      <c r="E8" s="999"/>
      <c r="F8" s="408"/>
      <c r="G8" s="147" t="s">
        <v>2958</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2191</v>
      </c>
      <c r="D10" s="145"/>
      <c r="E10" s="245"/>
      <c r="F10" s="246" t="s">
        <v>3265</v>
      </c>
      <c r="I10" s="3036">
        <f>'Part III-A-Uses of Funds'!$J$191</f>
        <v>1135000</v>
      </c>
      <c r="J10" s="3037"/>
      <c r="L10" s="144" t="s">
        <v>3266</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1890</v>
      </c>
      <c r="F12" s="3040" t="s">
        <v>7034</v>
      </c>
      <c r="G12" s="3041"/>
      <c r="H12" s="3042"/>
      <c r="I12" s="1789" t="s">
        <v>6516</v>
      </c>
      <c r="J12" s="393" t="s">
        <v>6942</v>
      </c>
      <c r="K12" s="243"/>
      <c r="L12" s="248"/>
      <c r="O12" s="3043" t="s">
        <v>7035</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3671</v>
      </c>
      <c r="D14" s="246"/>
      <c r="E14" s="245"/>
      <c r="G14" s="245"/>
      <c r="H14" s="245"/>
      <c r="I14" s="751" t="s">
        <v>3293</v>
      </c>
      <c r="L14" s="247"/>
      <c r="Q14" s="3050"/>
      <c r="R14" s="3051"/>
      <c r="S14" s="3052"/>
      <c r="Z14" s="1706">
        <v>14</v>
      </c>
    </row>
    <row r="15" spans="1:26" s="144" customFormat="1">
      <c r="B15" s="144" t="s">
        <v>3294</v>
      </c>
      <c r="F15" s="3016" t="s">
        <v>7036</v>
      </c>
      <c r="G15" s="3017"/>
      <c r="H15" s="3018"/>
      <c r="I15" s="2444" t="s">
        <v>1670</v>
      </c>
      <c r="J15" s="3019" t="s">
        <v>7037</v>
      </c>
      <c r="K15" s="3020"/>
      <c r="L15" s="3021"/>
      <c r="M15" s="1898" t="s">
        <v>1838</v>
      </c>
      <c r="N15" s="3016" t="s">
        <v>7038</v>
      </c>
      <c r="O15" s="3017"/>
      <c r="P15" s="3018"/>
      <c r="Q15" s="3050"/>
      <c r="R15" s="3051"/>
      <c r="S15" s="3052"/>
      <c r="Z15" s="1706">
        <v>15</v>
      </c>
    </row>
    <row r="16" spans="1:26" s="144" customFormat="1" ht="12.75" customHeight="1">
      <c r="B16" s="246" t="s">
        <v>1599</v>
      </c>
      <c r="F16" s="3013">
        <v>7704810855</v>
      </c>
      <c r="G16" s="3014"/>
      <c r="H16" s="3015"/>
      <c r="I16" s="2445" t="s">
        <v>1598</v>
      </c>
      <c r="J16" s="823">
        <v>103</v>
      </c>
      <c r="M16" s="246" t="s">
        <v>1600</v>
      </c>
      <c r="N16" s="3013">
        <v>6786384181</v>
      </c>
      <c r="O16" s="3014"/>
      <c r="P16" s="3015"/>
      <c r="Q16" s="3050"/>
      <c r="R16" s="3051"/>
      <c r="S16" s="3052"/>
      <c r="V16" s="751"/>
      <c r="W16" s="751"/>
      <c r="X16" s="751"/>
      <c r="Z16" s="1706">
        <v>18</v>
      </c>
    </row>
    <row r="17" spans="1:26" s="144" customFormat="1">
      <c r="B17" s="246" t="s">
        <v>1841</v>
      </c>
      <c r="F17" s="3022" t="s">
        <v>7039</v>
      </c>
      <c r="G17" s="3023"/>
      <c r="H17" s="3023"/>
      <c r="I17" s="3020"/>
      <c r="J17" s="3023"/>
      <c r="K17" s="3020"/>
      <c r="L17" s="3021"/>
      <c r="M17" s="246" t="s">
        <v>1837</v>
      </c>
      <c r="N17" s="3024">
        <v>7703109311</v>
      </c>
      <c r="O17" s="3025"/>
      <c r="P17" s="3026"/>
      <c r="Q17" s="3050"/>
      <c r="R17" s="3051"/>
      <c r="S17" s="3052"/>
      <c r="U17" s="751"/>
      <c r="V17" s="751"/>
      <c r="W17" s="751"/>
      <c r="X17" s="751"/>
      <c r="Z17" s="1706">
        <v>19</v>
      </c>
    </row>
    <row r="18" spans="1:26" s="144" customFormat="1">
      <c r="A18" s="375"/>
      <c r="B18" s="243" t="s">
        <v>3670</v>
      </c>
      <c r="C18" s="145"/>
      <c r="H18" s="248"/>
      <c r="J18" s="145"/>
      <c r="P18" s="248"/>
      <c r="Q18" s="3050"/>
      <c r="R18" s="3051"/>
      <c r="S18" s="3052"/>
      <c r="Z18" s="1706">
        <v>20</v>
      </c>
    </row>
    <row r="19" spans="1:26" s="144" customFormat="1">
      <c r="B19" s="144" t="s">
        <v>3294</v>
      </c>
      <c r="F19" s="3016" t="s">
        <v>7036</v>
      </c>
      <c r="G19" s="3017"/>
      <c r="H19" s="3018"/>
      <c r="I19" s="2444" t="s">
        <v>1670</v>
      </c>
      <c r="J19" s="3019" t="s">
        <v>7040</v>
      </c>
      <c r="K19" s="3020"/>
      <c r="L19" s="3021"/>
      <c r="M19" s="1898" t="s">
        <v>1838</v>
      </c>
      <c r="N19" s="3016" t="s">
        <v>2277</v>
      </c>
      <c r="O19" s="3017"/>
      <c r="P19" s="3018"/>
      <c r="Q19" s="3050"/>
      <c r="R19" s="3051"/>
      <c r="S19" s="3052"/>
      <c r="Z19" s="1706">
        <v>21</v>
      </c>
    </row>
    <row r="20" spans="1:26" s="144" customFormat="1">
      <c r="B20" s="246" t="s">
        <v>1599</v>
      </c>
      <c r="F20" s="3013">
        <v>7704810855</v>
      </c>
      <c r="G20" s="3014"/>
      <c r="H20" s="3015"/>
      <c r="I20" s="2445" t="s">
        <v>1598</v>
      </c>
      <c r="J20" s="823">
        <v>101</v>
      </c>
      <c r="M20" s="246" t="s">
        <v>1600</v>
      </c>
      <c r="N20" s="3013">
        <v>7704810853</v>
      </c>
      <c r="O20" s="3014"/>
      <c r="P20" s="3015"/>
      <c r="Q20" s="3050"/>
      <c r="R20" s="3051"/>
      <c r="S20" s="3052"/>
      <c r="U20" s="230"/>
      <c r="V20" s="230"/>
      <c r="W20" s="230"/>
      <c r="X20" s="230"/>
      <c r="Z20" s="1706">
        <v>24</v>
      </c>
    </row>
    <row r="21" spans="1:26" s="144" customFormat="1">
      <c r="B21" s="246" t="s">
        <v>1841</v>
      </c>
      <c r="F21" s="3022" t="s">
        <v>7041</v>
      </c>
      <c r="G21" s="3023"/>
      <c r="H21" s="3023"/>
      <c r="I21" s="3020"/>
      <c r="J21" s="3023"/>
      <c r="K21" s="3020"/>
      <c r="L21" s="3021"/>
      <c r="M21" s="246" t="s">
        <v>1837</v>
      </c>
      <c r="N21" s="3024">
        <v>4045430855</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7069</v>
      </c>
      <c r="G25" s="3027"/>
      <c r="H25" s="3027"/>
      <c r="I25" s="3020"/>
      <c r="J25" s="3027"/>
      <c r="K25" s="3028"/>
      <c r="M25" s="246" t="s">
        <v>425</v>
      </c>
      <c r="P25" s="1899" t="s">
        <v>2651</v>
      </c>
      <c r="Q25" s="3050"/>
      <c r="R25" s="3051"/>
      <c r="S25" s="3052"/>
      <c r="Z25" s="1706">
        <v>29</v>
      </c>
    </row>
    <row r="26" spans="1:26" s="144" customFormat="1">
      <c r="A26" s="375"/>
      <c r="B26" s="144" t="s">
        <v>575</v>
      </c>
      <c r="F26" s="3058" t="s">
        <v>1784</v>
      </c>
      <c r="G26" s="3071"/>
      <c r="H26" s="3072"/>
      <c r="I26" s="257" t="s">
        <v>576</v>
      </c>
      <c r="J26" s="3029" t="str">
        <f>IF(F26="","",VLOOKUP(F26,'DCA Underwriting Assumptions'!$T$141:$U$770,2,FALSE))</f>
        <v>Douglas</v>
      </c>
      <c r="K26" s="3030"/>
      <c r="M26" s="246" t="s">
        <v>426</v>
      </c>
      <c r="P26" s="1956" t="s">
        <v>2651</v>
      </c>
      <c r="Q26" s="3050"/>
      <c r="R26" s="3051"/>
      <c r="S26" s="3052"/>
      <c r="U26" s="375"/>
      <c r="Z26" s="1706">
        <v>30</v>
      </c>
    </row>
    <row r="27" spans="1:26" s="144" customFormat="1" ht="13.5">
      <c r="A27" s="375"/>
      <c r="B27" s="144" t="s">
        <v>3905</v>
      </c>
      <c r="C27" s="251"/>
      <c r="D27" s="252"/>
      <c r="E27" s="252"/>
      <c r="F27" s="3058" t="s">
        <v>7070</v>
      </c>
      <c r="G27" s="3059"/>
      <c r="H27" s="3060"/>
      <c r="I27" s="248"/>
      <c r="J27" s="392" t="s">
        <v>6722</v>
      </c>
      <c r="K27" s="248"/>
      <c r="M27" s="246" t="s">
        <v>6665</v>
      </c>
      <c r="O27" s="3011">
        <v>10.79</v>
      </c>
      <c r="P27" s="3012"/>
      <c r="Q27" s="3050"/>
      <c r="R27" s="3051"/>
      <c r="S27" s="3052"/>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6652</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6651</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3085</v>
      </c>
      <c r="P34" s="1892"/>
      <c r="Q34" s="3050"/>
      <c r="R34" s="3051"/>
      <c r="S34" s="3052"/>
      <c r="Z34" s="1706">
        <v>38</v>
      </c>
    </row>
    <row r="35" spans="1:26" s="144" customFormat="1" ht="12.75" hidden="1" customHeight="1">
      <c r="A35" s="375"/>
      <c r="B35" s="243"/>
      <c r="C35" s="144" t="s">
        <v>3931</v>
      </c>
      <c r="I35" s="1886"/>
      <c r="J35" s="257" t="s">
        <v>2482</v>
      </c>
      <c r="O35" s="3056"/>
      <c r="P35" s="3057"/>
      <c r="Q35" s="3050"/>
      <c r="R35" s="3051"/>
      <c r="S35" s="3052"/>
      <c r="Z35" s="1706">
        <v>39</v>
      </c>
    </row>
    <row r="36" spans="1:26" s="144" customFormat="1" ht="12.75" customHeight="1">
      <c r="A36" s="375"/>
      <c r="B36" s="243"/>
      <c r="C36" s="144" t="s">
        <v>1676</v>
      </c>
      <c r="I36" s="1248" t="s">
        <v>2651</v>
      </c>
      <c r="J36" s="257" t="s">
        <v>2482</v>
      </c>
      <c r="O36" s="3067"/>
      <c r="P36" s="3068"/>
      <c r="Q36" s="3050"/>
      <c r="R36" s="3051"/>
      <c r="S36" s="3052"/>
      <c r="Z36" s="1706">
        <v>40</v>
      </c>
    </row>
    <row r="37" spans="1:26" s="144" customFormat="1" ht="12.6" customHeight="1">
      <c r="A37" s="375"/>
      <c r="B37" s="375"/>
      <c r="C37" s="144" t="s">
        <v>2573</v>
      </c>
      <c r="I37" s="862" t="s">
        <v>2651</v>
      </c>
      <c r="J37" s="257" t="s">
        <v>2482</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7071</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3289</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Peaks of Douglas, Douglasville, Douglas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1721</v>
      </c>
      <c r="C4" s="222"/>
      <c r="E4" s="222"/>
      <c r="F4" s="222"/>
      <c r="G4" s="222"/>
      <c r="H4" s="945" t="s">
        <v>3459</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1840</v>
      </c>
      <c r="C6" s="222" t="s">
        <v>1717</v>
      </c>
      <c r="H6" s="3016" t="s">
        <v>87</v>
      </c>
      <c r="I6" s="3090"/>
      <c r="J6" s="3090"/>
      <c r="K6" s="3090"/>
      <c r="L6" s="3090"/>
      <c r="M6" s="3090"/>
      <c r="N6" s="3091"/>
      <c r="O6" s="259" t="s">
        <v>1846</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2060</v>
      </c>
      <c r="J9" s="3082"/>
      <c r="K9" s="3083"/>
      <c r="L9" s="261" t="s">
        <v>3193</v>
      </c>
      <c r="M9" s="3084"/>
      <c r="N9" s="3085"/>
      <c r="O9" s="259" t="s">
        <v>1837</v>
      </c>
      <c r="P9" s="261"/>
      <c r="Q9" s="3013"/>
      <c r="R9" s="3014"/>
      <c r="S9" s="3015"/>
      <c r="Z9" s="1706">
        <v>9</v>
      </c>
    </row>
    <row r="10" spans="1:26" s="144" customFormat="1" ht="11.25" customHeight="1">
      <c r="D10" s="260"/>
      <c r="E10" s="246" t="s">
        <v>3460</v>
      </c>
      <c r="H10" s="3086"/>
      <c r="I10" s="3087"/>
      <c r="J10" s="711"/>
      <c r="K10" s="262" t="s">
        <v>1841</v>
      </c>
      <c r="L10" s="3088"/>
      <c r="M10" s="3023"/>
      <c r="N10" s="3023"/>
      <c r="O10" s="3020"/>
      <c r="P10" s="3020"/>
      <c r="Q10" s="3023"/>
      <c r="R10" s="3023"/>
      <c r="S10" s="3089"/>
      <c r="Z10" s="1706">
        <v>10</v>
      </c>
    </row>
    <row r="11" spans="1:26" s="144" customFormat="1" ht="11.25" customHeight="1">
      <c r="D11" s="260"/>
      <c r="E11" s="945" t="s">
        <v>3459</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1962</v>
      </c>
      <c r="E15" s="144" t="s">
        <v>1719</v>
      </c>
      <c r="H15" s="3016"/>
      <c r="I15" s="3090"/>
      <c r="J15" s="3090"/>
      <c r="K15" s="3090"/>
      <c r="L15" s="3090"/>
      <c r="M15" s="3090"/>
      <c r="N15" s="3091"/>
      <c r="O15" s="259" t="s">
        <v>1846</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2457</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2060</v>
      </c>
      <c r="L18" s="3100"/>
      <c r="M18" s="3101"/>
      <c r="N18" s="261"/>
      <c r="O18" s="259" t="s">
        <v>1837</v>
      </c>
      <c r="P18" s="261"/>
      <c r="Q18" s="3013"/>
      <c r="R18" s="3014"/>
      <c r="S18" s="3015"/>
      <c r="Z18" s="1706">
        <v>18</v>
      </c>
    </row>
    <row r="19" spans="4:26" s="144" customFormat="1" ht="11.25" customHeight="1">
      <c r="D19" s="260"/>
      <c r="E19" s="246" t="s">
        <v>3460</v>
      </c>
      <c r="H19" s="3086"/>
      <c r="I19" s="3092"/>
      <c r="J19" s="255"/>
      <c r="K19" s="262" t="s">
        <v>1841</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1963</v>
      </c>
      <c r="E21" s="144" t="s">
        <v>1720</v>
      </c>
      <c r="H21" s="3016"/>
      <c r="I21" s="3090"/>
      <c r="J21" s="3090"/>
      <c r="K21" s="3090"/>
      <c r="L21" s="3090"/>
      <c r="M21" s="3090"/>
      <c r="N21" s="3091"/>
      <c r="O21" s="259" t="s">
        <v>1846</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2457</v>
      </c>
      <c r="L23" s="3058"/>
      <c r="M23" s="3093"/>
      <c r="N23" s="3099"/>
      <c r="O23" s="259" t="s">
        <v>1600</v>
      </c>
      <c r="P23" s="261"/>
      <c r="Q23" s="3013"/>
      <c r="R23" s="3014"/>
      <c r="S23" s="3015"/>
      <c r="Z23" s="1706">
        <v>23</v>
      </c>
    </row>
    <row r="24" spans="4:26" s="144" customFormat="1" ht="11.25" customHeight="1">
      <c r="E24" s="246" t="s">
        <v>1671</v>
      </c>
      <c r="H24" s="997"/>
      <c r="I24" s="261"/>
      <c r="J24" s="261"/>
      <c r="K24" s="676" t="s">
        <v>2060</v>
      </c>
      <c r="L24" s="3100"/>
      <c r="M24" s="3101"/>
      <c r="N24" s="261"/>
      <c r="O24" s="259" t="s">
        <v>1837</v>
      </c>
      <c r="P24" s="261"/>
      <c r="Q24" s="3013"/>
      <c r="R24" s="3014"/>
      <c r="S24" s="3015"/>
      <c r="Z24" s="1706">
        <v>24</v>
      </c>
    </row>
    <row r="25" spans="4:26" s="144" customFormat="1" ht="11.25" customHeight="1">
      <c r="D25" s="260"/>
      <c r="E25" s="246" t="s">
        <v>3460</v>
      </c>
      <c r="H25" s="3086"/>
      <c r="I25" s="3092"/>
      <c r="J25" s="255"/>
      <c r="K25" s="262" t="s">
        <v>1841</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1720</v>
      </c>
      <c r="H27" s="3016"/>
      <c r="I27" s="3090"/>
      <c r="J27" s="3090"/>
      <c r="K27" s="3090"/>
      <c r="L27" s="3090"/>
      <c r="M27" s="3090"/>
      <c r="N27" s="3091"/>
      <c r="O27" s="259" t="s">
        <v>1846</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2457</v>
      </c>
      <c r="L29" s="3058"/>
      <c r="M29" s="3093"/>
      <c r="N29" s="3099"/>
      <c r="O29" s="259" t="s">
        <v>1600</v>
      </c>
      <c r="P29" s="261"/>
      <c r="Q29" s="3013"/>
      <c r="R29" s="3014"/>
      <c r="S29" s="3015"/>
      <c r="Z29" s="1706">
        <v>29</v>
      </c>
    </row>
    <row r="30" spans="4:26" s="144" customFormat="1" ht="11.25" customHeight="1">
      <c r="E30" s="246" t="s">
        <v>1671</v>
      </c>
      <c r="H30" s="997"/>
      <c r="I30" s="261"/>
      <c r="J30" s="261"/>
      <c r="K30" s="676" t="s">
        <v>2060</v>
      </c>
      <c r="L30" s="3100"/>
      <c r="M30" s="3101"/>
      <c r="N30" s="261"/>
      <c r="O30" s="259" t="s">
        <v>1837</v>
      </c>
      <c r="P30" s="261"/>
      <c r="Q30" s="3013"/>
      <c r="R30" s="3014"/>
      <c r="S30" s="3015"/>
      <c r="Z30" s="1706">
        <v>30</v>
      </c>
    </row>
    <row r="31" spans="4:26" s="144" customFormat="1" ht="11.25" customHeight="1">
      <c r="D31" s="260"/>
      <c r="E31" s="246" t="s">
        <v>3460</v>
      </c>
      <c r="H31" s="3086"/>
      <c r="I31" s="3092"/>
      <c r="J31" s="255"/>
      <c r="K31" s="262" t="s">
        <v>1841</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1845</v>
      </c>
      <c r="D33" s="253" t="s">
        <v>1722</v>
      </c>
      <c r="H33" s="261"/>
      <c r="I33" s="261"/>
      <c r="J33" s="261"/>
      <c r="K33" s="1289" t="s">
        <v>3459</v>
      </c>
      <c r="L33" s="261"/>
      <c r="M33" s="261"/>
      <c r="N33" s="261"/>
      <c r="O33" s="261"/>
      <c r="P33" s="261"/>
      <c r="Q33" s="261"/>
      <c r="R33" s="261"/>
      <c r="S33" s="261"/>
      <c r="Z33" s="1706">
        <v>33</v>
      </c>
    </row>
    <row r="34" spans="3:26" s="144" customFormat="1" ht="11.25" customHeight="1">
      <c r="D34" s="243" t="s">
        <v>1962</v>
      </c>
      <c r="E34" s="144" t="s">
        <v>699</v>
      </c>
      <c r="H34" s="3016"/>
      <c r="I34" s="3090"/>
      <c r="J34" s="3090"/>
      <c r="K34" s="3090"/>
      <c r="L34" s="3090"/>
      <c r="M34" s="3090"/>
      <c r="N34" s="3091"/>
      <c r="O34" s="259" t="s">
        <v>1846</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2457</v>
      </c>
      <c r="L36" s="3058"/>
      <c r="M36" s="3093"/>
      <c r="N36" s="3099"/>
      <c r="O36" s="259" t="s">
        <v>1600</v>
      </c>
      <c r="P36" s="261"/>
      <c r="Q36" s="3013"/>
      <c r="R36" s="3014"/>
      <c r="S36" s="3015"/>
      <c r="Z36" s="1706">
        <v>36</v>
      </c>
    </row>
    <row r="37" spans="3:26" s="144" customFormat="1" ht="11.25" customHeight="1">
      <c r="E37" s="246" t="s">
        <v>1671</v>
      </c>
      <c r="H37" s="997"/>
      <c r="I37" s="261"/>
      <c r="J37" s="261"/>
      <c r="K37" s="676" t="s">
        <v>2060</v>
      </c>
      <c r="L37" s="3100"/>
      <c r="M37" s="3101"/>
      <c r="N37" s="261"/>
      <c r="O37" s="259" t="s">
        <v>1837</v>
      </c>
      <c r="P37" s="261"/>
      <c r="Q37" s="3013"/>
      <c r="R37" s="3014"/>
      <c r="S37" s="3015"/>
      <c r="Z37" s="1706">
        <v>37</v>
      </c>
    </row>
    <row r="38" spans="3:26" s="144" customFormat="1" ht="11.25" customHeight="1">
      <c r="D38" s="260"/>
      <c r="E38" s="246" t="s">
        <v>3460</v>
      </c>
      <c r="H38" s="3086"/>
      <c r="I38" s="3092"/>
      <c r="J38" s="255"/>
      <c r="K38" s="262" t="s">
        <v>1841</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1963</v>
      </c>
      <c r="E40" s="144" t="s">
        <v>700</v>
      </c>
      <c r="F40" s="243"/>
      <c r="H40" s="3016"/>
      <c r="I40" s="3090"/>
      <c r="J40" s="3090"/>
      <c r="K40" s="3090"/>
      <c r="L40" s="3090"/>
      <c r="M40" s="3090"/>
      <c r="N40" s="3091"/>
      <c r="O40" s="259" t="s">
        <v>1846</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2457</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2060</v>
      </c>
      <c r="L43" s="3100"/>
      <c r="M43" s="3101"/>
      <c r="N43" s="261"/>
      <c r="O43" s="259" t="s">
        <v>1837</v>
      </c>
      <c r="P43" s="261"/>
      <c r="Q43" s="3013"/>
      <c r="R43" s="3014"/>
      <c r="S43" s="3015"/>
      <c r="Z43" s="1706">
        <v>43</v>
      </c>
    </row>
    <row r="44" spans="3:26" s="144" customFormat="1" ht="11.25" customHeight="1">
      <c r="D44" s="260"/>
      <c r="E44" s="246" t="s">
        <v>3460</v>
      </c>
      <c r="H44" s="3086"/>
      <c r="I44" s="3092"/>
      <c r="J44" s="255"/>
      <c r="K44" s="262" t="s">
        <v>1841</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3459</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1846</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2457</v>
      </c>
      <c r="L49" s="3058"/>
      <c r="M49" s="3093"/>
      <c r="N49" s="3099"/>
      <c r="O49" s="259" t="s">
        <v>1600</v>
      </c>
      <c r="P49" s="261"/>
      <c r="Q49" s="3013"/>
      <c r="R49" s="3014"/>
      <c r="S49" s="3015"/>
      <c r="Z49" s="1706">
        <v>49</v>
      </c>
    </row>
    <row r="50" spans="1:26" s="144" customFormat="1" ht="11.25" customHeight="1">
      <c r="E50" s="246" t="s">
        <v>1671</v>
      </c>
      <c r="H50" s="997"/>
      <c r="I50" s="261"/>
      <c r="J50" s="261"/>
      <c r="K50" s="676" t="s">
        <v>2060</v>
      </c>
      <c r="L50" s="3100"/>
      <c r="M50" s="3101"/>
      <c r="N50" s="261"/>
      <c r="O50" s="259" t="s">
        <v>1837</v>
      </c>
      <c r="P50" s="261"/>
      <c r="Q50" s="3013"/>
      <c r="R50" s="3014"/>
      <c r="S50" s="3015"/>
      <c r="Z50" s="1706">
        <v>50</v>
      </c>
    </row>
    <row r="51" spans="1:26" s="144" customFormat="1" ht="11.25" customHeight="1">
      <c r="D51" s="260"/>
      <c r="E51" s="246" t="s">
        <v>3460</v>
      </c>
      <c r="H51" s="3086"/>
      <c r="I51" s="3092"/>
      <c r="J51" s="255"/>
      <c r="K51" s="262" t="s">
        <v>1841</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3459</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1840</v>
      </c>
      <c r="C55" s="243" t="s">
        <v>270</v>
      </c>
      <c r="H55" s="3016"/>
      <c r="I55" s="3090"/>
      <c r="J55" s="3090"/>
      <c r="K55" s="3090"/>
      <c r="L55" s="3090"/>
      <c r="M55" s="3090"/>
      <c r="N55" s="3091"/>
      <c r="O55" s="259" t="s">
        <v>1846</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2457</v>
      </c>
      <c r="L57" s="3058"/>
      <c r="M57" s="3093"/>
      <c r="N57" s="3099"/>
      <c r="O57" s="259" t="s">
        <v>1600</v>
      </c>
      <c r="P57" s="261"/>
      <c r="Q57" s="3013"/>
      <c r="R57" s="3014"/>
      <c r="S57" s="3015"/>
      <c r="Z57" s="1706">
        <v>57</v>
      </c>
    </row>
    <row r="58" spans="1:26" s="144" customFormat="1" ht="11.25" customHeight="1">
      <c r="E58" s="246" t="s">
        <v>1671</v>
      </c>
      <c r="H58" s="997"/>
      <c r="I58" s="261"/>
      <c r="J58" s="261"/>
      <c r="K58" s="676" t="s">
        <v>2060</v>
      </c>
      <c r="L58" s="3100"/>
      <c r="M58" s="3101"/>
      <c r="N58" s="261"/>
      <c r="O58" s="259" t="s">
        <v>1837</v>
      </c>
      <c r="P58" s="261"/>
      <c r="Q58" s="3013"/>
      <c r="R58" s="3014"/>
      <c r="S58" s="3015"/>
      <c r="Z58" s="1706">
        <v>58</v>
      </c>
    </row>
    <row r="59" spans="1:26" s="144" customFormat="1" ht="11.25" customHeight="1">
      <c r="D59" s="260"/>
      <c r="E59" s="246" t="s">
        <v>3460</v>
      </c>
      <c r="H59" s="3086"/>
      <c r="I59" s="3092"/>
      <c r="J59" s="255"/>
      <c r="K59" s="262" t="s">
        <v>1841</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1842</v>
      </c>
      <c r="C61" s="243" t="s">
        <v>271</v>
      </c>
      <c r="H61" s="3016"/>
      <c r="I61" s="3090"/>
      <c r="J61" s="3090"/>
      <c r="K61" s="3090"/>
      <c r="L61" s="3090"/>
      <c r="M61" s="3090"/>
      <c r="N61" s="3091"/>
      <c r="O61" s="259" t="s">
        <v>1846</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2457</v>
      </c>
      <c r="L63" s="3058"/>
      <c r="M63" s="3093"/>
      <c r="N63" s="3099"/>
      <c r="O63" s="259" t="s">
        <v>1600</v>
      </c>
      <c r="P63" s="261"/>
      <c r="Q63" s="3013"/>
      <c r="R63" s="3014"/>
      <c r="S63" s="3015"/>
      <c r="Z63" s="1706">
        <v>63</v>
      </c>
    </row>
    <row r="64" spans="1:26" s="144" customFormat="1" ht="11.25" customHeight="1">
      <c r="E64" s="246" t="s">
        <v>1671</v>
      </c>
      <c r="H64" s="997"/>
      <c r="I64" s="261"/>
      <c r="J64" s="261"/>
      <c r="K64" s="676" t="s">
        <v>2060</v>
      </c>
      <c r="L64" s="3100"/>
      <c r="M64" s="3101"/>
      <c r="N64" s="261"/>
      <c r="O64" s="259" t="s">
        <v>1837</v>
      </c>
      <c r="P64" s="261"/>
      <c r="Q64" s="3013"/>
      <c r="R64" s="3014"/>
      <c r="S64" s="3015"/>
      <c r="Z64" s="1706">
        <v>64</v>
      </c>
    </row>
    <row r="65" spans="1:26" s="144" customFormat="1" ht="11.25" customHeight="1">
      <c r="D65" s="260"/>
      <c r="E65" s="246" t="s">
        <v>3460</v>
      </c>
      <c r="H65" s="3086"/>
      <c r="I65" s="3092"/>
      <c r="J65" s="255"/>
      <c r="K65" s="262" t="s">
        <v>1841</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1846</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2457</v>
      </c>
      <c r="L69" s="3058"/>
      <c r="M69" s="3093"/>
      <c r="N69" s="3099"/>
      <c r="O69" s="259" t="s">
        <v>1600</v>
      </c>
      <c r="P69" s="261"/>
      <c r="Q69" s="3013"/>
      <c r="R69" s="3014"/>
      <c r="S69" s="3015"/>
      <c r="Z69" s="1706">
        <v>69</v>
      </c>
    </row>
    <row r="70" spans="1:26" s="144" customFormat="1" ht="11.25" customHeight="1">
      <c r="E70" s="246" t="s">
        <v>1671</v>
      </c>
      <c r="H70" s="997"/>
      <c r="I70" s="261"/>
      <c r="J70" s="261"/>
      <c r="K70" s="676" t="s">
        <v>2060</v>
      </c>
      <c r="L70" s="3100"/>
      <c r="M70" s="3101"/>
      <c r="N70" s="261"/>
      <c r="O70" s="259" t="s">
        <v>1837</v>
      </c>
      <c r="P70" s="261"/>
      <c r="Q70" s="3013"/>
      <c r="R70" s="3014"/>
      <c r="S70" s="3015"/>
      <c r="Z70" s="1706">
        <v>70</v>
      </c>
    </row>
    <row r="71" spans="1:26" s="144" customFormat="1" ht="11.25" customHeight="1">
      <c r="D71" s="260"/>
      <c r="E71" s="246" t="s">
        <v>3460</v>
      </c>
      <c r="H71" s="3086"/>
      <c r="I71" s="3092"/>
      <c r="J71" s="255"/>
      <c r="K71" s="262" t="s">
        <v>1841</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1961</v>
      </c>
      <c r="C73" s="243" t="s">
        <v>272</v>
      </c>
      <c r="H73" s="3016"/>
      <c r="I73" s="3090"/>
      <c r="J73" s="3090"/>
      <c r="K73" s="3090"/>
      <c r="L73" s="3090"/>
      <c r="M73" s="3090"/>
      <c r="N73" s="3091"/>
      <c r="O73" s="259" t="s">
        <v>1846</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2457</v>
      </c>
      <c r="L75" s="3058"/>
      <c r="M75" s="3093"/>
      <c r="N75" s="3099"/>
      <c r="O75" s="259" t="s">
        <v>1600</v>
      </c>
      <c r="P75" s="261"/>
      <c r="Q75" s="3013"/>
      <c r="R75" s="3014"/>
      <c r="S75" s="3015"/>
      <c r="Z75" s="1706">
        <v>75</v>
      </c>
    </row>
    <row r="76" spans="1:26" s="144" customFormat="1" ht="11.25" customHeight="1">
      <c r="E76" s="246" t="s">
        <v>1671</v>
      </c>
      <c r="H76" s="997"/>
      <c r="I76" s="261"/>
      <c r="J76" s="261"/>
      <c r="K76" s="676" t="s">
        <v>2060</v>
      </c>
      <c r="L76" s="3100"/>
      <c r="M76" s="3101"/>
      <c r="N76" s="261"/>
      <c r="O76" s="259" t="s">
        <v>1837</v>
      </c>
      <c r="P76" s="261"/>
      <c r="Q76" s="3013"/>
      <c r="R76" s="3014"/>
      <c r="S76" s="3015"/>
      <c r="Z76" s="1706">
        <v>76</v>
      </c>
    </row>
    <row r="77" spans="1:26" s="144" customFormat="1" ht="11.25" customHeight="1">
      <c r="D77" s="260"/>
      <c r="E77" s="246" t="s">
        <v>3460</v>
      </c>
      <c r="H77" s="3086"/>
      <c r="I77" s="3092"/>
      <c r="J77" s="255"/>
      <c r="K77" s="262" t="s">
        <v>1841</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3459</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1840</v>
      </c>
      <c r="C81" s="243" t="s">
        <v>274</v>
      </c>
      <c r="H81" s="3016"/>
      <c r="I81" s="3090"/>
      <c r="J81" s="3090"/>
      <c r="K81" s="3090"/>
      <c r="L81" s="3090"/>
      <c r="M81" s="3090"/>
      <c r="N81" s="3091"/>
      <c r="O81" s="259" t="s">
        <v>1846</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2457</v>
      </c>
      <c r="L83" s="3058"/>
      <c r="M83" s="3093"/>
      <c r="N83" s="3099"/>
      <c r="O83" s="259" t="s">
        <v>1600</v>
      </c>
      <c r="P83" s="261"/>
      <c r="Q83" s="3013"/>
      <c r="R83" s="3014"/>
      <c r="S83" s="3015"/>
      <c r="Z83" s="1706">
        <v>83</v>
      </c>
    </row>
    <row r="84" spans="2:26" s="144" customFormat="1" ht="11.25" customHeight="1">
      <c r="E84" s="246" t="s">
        <v>1671</v>
      </c>
      <c r="H84" s="997"/>
      <c r="I84" s="261"/>
      <c r="J84" s="261"/>
      <c r="K84" s="676" t="s">
        <v>2060</v>
      </c>
      <c r="L84" s="3100"/>
      <c r="M84" s="3101"/>
      <c r="N84" s="261"/>
      <c r="O84" s="259" t="s">
        <v>1837</v>
      </c>
      <c r="P84" s="261"/>
      <c r="Q84" s="3013"/>
      <c r="R84" s="3014"/>
      <c r="S84" s="3015"/>
      <c r="Z84" s="1706">
        <v>84</v>
      </c>
    </row>
    <row r="85" spans="2:26" s="144" customFormat="1" ht="11.25" customHeight="1">
      <c r="D85" s="260"/>
      <c r="E85" s="246" t="s">
        <v>3460</v>
      </c>
      <c r="H85" s="3086"/>
      <c r="I85" s="3092"/>
      <c r="J85" s="255"/>
      <c r="K85" s="262" t="s">
        <v>1841</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1842</v>
      </c>
      <c r="C87" s="243" t="s">
        <v>275</v>
      </c>
      <c r="H87" s="3016"/>
      <c r="I87" s="3090"/>
      <c r="J87" s="3090"/>
      <c r="K87" s="3090"/>
      <c r="L87" s="3090"/>
      <c r="M87" s="3090"/>
      <c r="N87" s="3091"/>
      <c r="O87" s="259" t="s">
        <v>1846</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2457</v>
      </c>
      <c r="L89" s="3058"/>
      <c r="M89" s="3093"/>
      <c r="N89" s="3099"/>
      <c r="O89" s="259" t="s">
        <v>1600</v>
      </c>
      <c r="P89" s="261"/>
      <c r="Q89" s="3013"/>
      <c r="R89" s="3014"/>
      <c r="S89" s="3015"/>
      <c r="Z89" s="1706">
        <v>89</v>
      </c>
    </row>
    <row r="90" spans="2:26" s="144" customFormat="1" ht="11.25" customHeight="1">
      <c r="E90" s="246" t="s">
        <v>1671</v>
      </c>
      <c r="H90" s="997"/>
      <c r="I90" s="261"/>
      <c r="J90" s="261"/>
      <c r="K90" s="676" t="s">
        <v>2060</v>
      </c>
      <c r="L90" s="3100"/>
      <c r="M90" s="3101"/>
      <c r="N90" s="261"/>
      <c r="O90" s="259" t="s">
        <v>1837</v>
      </c>
      <c r="P90" s="261"/>
      <c r="Q90" s="3013"/>
      <c r="R90" s="3014"/>
      <c r="S90" s="3015"/>
      <c r="Z90" s="1706">
        <v>90</v>
      </c>
    </row>
    <row r="91" spans="2:26" s="144" customFormat="1" ht="11.25" customHeight="1">
      <c r="D91" s="260"/>
      <c r="E91" s="246" t="s">
        <v>3460</v>
      </c>
      <c r="H91" s="3086"/>
      <c r="I91" s="3092"/>
      <c r="J91" s="255"/>
      <c r="K91" s="262" t="s">
        <v>1841</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1846</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2457</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2060</v>
      </c>
      <c r="L96" s="3100"/>
      <c r="M96" s="3101"/>
      <c r="N96" s="261"/>
      <c r="O96" s="259" t="s">
        <v>1837</v>
      </c>
      <c r="P96" s="261"/>
      <c r="Q96" s="3013"/>
      <c r="R96" s="3014"/>
      <c r="S96" s="3015"/>
      <c r="Z96" s="1706">
        <v>96</v>
      </c>
    </row>
    <row r="97" spans="2:26" s="144" customFormat="1" ht="11.25" customHeight="1">
      <c r="D97" s="260"/>
      <c r="E97" s="246" t="s">
        <v>3460</v>
      </c>
      <c r="H97" s="3086"/>
      <c r="I97" s="3092"/>
      <c r="J97" s="255"/>
      <c r="K97" s="262" t="s">
        <v>1841</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1961</v>
      </c>
      <c r="C99" s="243" t="s">
        <v>277</v>
      </c>
      <c r="H99" s="3016"/>
      <c r="I99" s="3090"/>
      <c r="J99" s="3090"/>
      <c r="K99" s="3090"/>
      <c r="L99" s="3090"/>
      <c r="M99" s="3090"/>
      <c r="N99" s="3091"/>
      <c r="O99" s="259" t="s">
        <v>1846</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2457</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2060</v>
      </c>
      <c r="L102" s="3100"/>
      <c r="M102" s="3101"/>
      <c r="N102" s="261"/>
      <c r="O102" s="259" t="s">
        <v>1837</v>
      </c>
      <c r="P102" s="261"/>
      <c r="Q102" s="3013"/>
      <c r="R102" s="3014"/>
      <c r="S102" s="3015"/>
      <c r="Z102" s="1706">
        <v>102</v>
      </c>
    </row>
    <row r="103" spans="2:26" ht="11.25" customHeight="1">
      <c r="E103" s="246" t="s">
        <v>3460</v>
      </c>
      <c r="F103" s="144"/>
      <c r="G103" s="144"/>
      <c r="H103" s="3086"/>
      <c r="I103" s="3092"/>
      <c r="J103" s="255"/>
      <c r="K103" s="262" t="s">
        <v>1841</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1846</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2457</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2060</v>
      </c>
      <c r="L108" s="3100"/>
      <c r="M108" s="3101"/>
      <c r="N108" s="261"/>
      <c r="O108" s="259" t="s">
        <v>1837</v>
      </c>
      <c r="P108" s="261"/>
      <c r="Q108" s="3013"/>
      <c r="R108" s="3014"/>
      <c r="S108" s="3015"/>
      <c r="Z108" s="1706">
        <v>108</v>
      </c>
    </row>
    <row r="109" spans="2:26" ht="11.25" customHeight="1">
      <c r="E109" s="246" t="s">
        <v>3460</v>
      </c>
      <c r="F109" s="144"/>
      <c r="G109" s="144"/>
      <c r="H109" s="3086"/>
      <c r="I109" s="3092"/>
      <c r="J109" s="255"/>
      <c r="K109" s="262" t="s">
        <v>1841</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1846</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2457</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2060</v>
      </c>
      <c r="L114" s="3100"/>
      <c r="M114" s="3101"/>
      <c r="N114" s="261"/>
      <c r="O114" s="259" t="s">
        <v>1837</v>
      </c>
      <c r="P114" s="261"/>
      <c r="Q114" s="3013"/>
      <c r="R114" s="3014"/>
      <c r="S114" s="3015"/>
      <c r="Z114" s="1706">
        <v>114</v>
      </c>
    </row>
    <row r="115" spans="1:26" s="144" customFormat="1" ht="11.25" customHeight="1">
      <c r="D115" s="260"/>
      <c r="E115" s="246" t="s">
        <v>3460</v>
      </c>
      <c r="H115" s="3086"/>
      <c r="I115" s="3092"/>
      <c r="J115" s="255"/>
      <c r="K115" s="262" t="s">
        <v>1841</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1840</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1843</v>
      </c>
      <c r="D120" s="243" t="s">
        <v>6467</v>
      </c>
      <c r="H120" s="3016"/>
      <c r="I120" s="3017"/>
      <c r="J120" s="3018"/>
      <c r="K120" s="262" t="s">
        <v>1670</v>
      </c>
      <c r="L120" s="3016"/>
      <c r="M120" s="3090"/>
      <c r="N120" s="3091"/>
      <c r="O120" s="259" t="s">
        <v>3139</v>
      </c>
      <c r="P120" s="261"/>
      <c r="Q120" s="3109"/>
      <c r="R120" s="3110"/>
      <c r="S120" s="3111"/>
      <c r="Z120" s="1706">
        <v>120</v>
      </c>
    </row>
    <row r="121" spans="1:26" s="144" customFormat="1" ht="11.25" customHeight="1">
      <c r="C121" s="243"/>
      <c r="D121" s="260"/>
      <c r="E121" s="246" t="s">
        <v>6221</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2060</v>
      </c>
      <c r="J122" s="3120"/>
      <c r="K122" s="3099"/>
      <c r="L122" s="262" t="s">
        <v>1841</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16"/>
      <c r="I124" s="3017"/>
      <c r="J124" s="3018"/>
      <c r="K124" s="262" t="s">
        <v>1670</v>
      </c>
      <c r="L124" s="3016"/>
      <c r="M124" s="3090"/>
      <c r="N124" s="3091"/>
      <c r="O124" s="259" t="s">
        <v>3139</v>
      </c>
      <c r="P124" s="261"/>
      <c r="Q124" s="3109"/>
      <c r="R124" s="3110"/>
      <c r="S124" s="3111"/>
      <c r="Z124" s="1706">
        <v>124</v>
      </c>
    </row>
    <row r="125" spans="1:26" s="144" customFormat="1" ht="11.25" hidden="1" customHeight="1">
      <c r="C125" s="243"/>
      <c r="D125" s="260"/>
      <c r="E125" s="246" t="s">
        <v>6221</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2060</v>
      </c>
      <c r="J126" s="3120"/>
      <c r="K126" s="3099"/>
      <c r="L126" s="262" t="s">
        <v>1841</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16"/>
      <c r="I128" s="3017"/>
      <c r="J128" s="3018"/>
      <c r="K128" s="262" t="s">
        <v>1670</v>
      </c>
      <c r="L128" s="3016"/>
      <c r="M128" s="3090"/>
      <c r="N128" s="3091"/>
      <c r="O128" s="259" t="s">
        <v>3139</v>
      </c>
      <c r="P128" s="261"/>
      <c r="Q128" s="3109"/>
      <c r="R128" s="3110"/>
      <c r="S128" s="3111"/>
      <c r="Z128" s="1706">
        <v>128</v>
      </c>
    </row>
    <row r="129" spans="3:26" s="144" customFormat="1" ht="11.25" hidden="1" customHeight="1">
      <c r="C129" s="243"/>
      <c r="D129" s="260"/>
      <c r="E129" s="246" t="s">
        <v>6221</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2060</v>
      </c>
      <c r="J130" s="3120"/>
      <c r="K130" s="3099"/>
      <c r="L130" s="262" t="s">
        <v>1841</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16"/>
      <c r="I132" s="3017"/>
      <c r="J132" s="3018"/>
      <c r="K132" s="262" t="s">
        <v>1670</v>
      </c>
      <c r="L132" s="3016"/>
      <c r="M132" s="3090"/>
      <c r="N132" s="3091"/>
      <c r="O132" s="259" t="s">
        <v>3139</v>
      </c>
      <c r="P132" s="261"/>
      <c r="Q132" s="3109"/>
      <c r="R132" s="3110"/>
      <c r="S132" s="3111"/>
      <c r="Z132" s="1706">
        <v>132</v>
      </c>
    </row>
    <row r="133" spans="3:26" s="144" customFormat="1" ht="11.25" hidden="1" customHeight="1">
      <c r="C133" s="243"/>
      <c r="D133" s="260"/>
      <c r="E133" s="246" t="s">
        <v>6221</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2060</v>
      </c>
      <c r="J134" s="3120"/>
      <c r="K134" s="3099"/>
      <c r="L134" s="262" t="s">
        <v>1841</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16"/>
      <c r="I136" s="3017"/>
      <c r="J136" s="3018"/>
      <c r="K136" s="262" t="s">
        <v>1670</v>
      </c>
      <c r="L136" s="3016"/>
      <c r="M136" s="3090"/>
      <c r="N136" s="3091"/>
      <c r="O136" s="259" t="s">
        <v>3139</v>
      </c>
      <c r="P136" s="261"/>
      <c r="Q136" s="3109"/>
      <c r="R136" s="3110"/>
      <c r="S136" s="3111"/>
      <c r="Z136" s="1706">
        <v>136</v>
      </c>
    </row>
    <row r="137" spans="3:26" s="144" customFormat="1" ht="11.25" hidden="1" customHeight="1">
      <c r="C137" s="243"/>
      <c r="D137" s="260"/>
      <c r="E137" s="246" t="s">
        <v>6221</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2060</v>
      </c>
      <c r="J138" s="3120"/>
      <c r="K138" s="3099"/>
      <c r="L138" s="262" t="s">
        <v>1841</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16"/>
      <c r="I140" s="3017"/>
      <c r="J140" s="3018"/>
      <c r="K140" s="262" t="s">
        <v>1670</v>
      </c>
      <c r="L140" s="3016"/>
      <c r="M140" s="3090"/>
      <c r="N140" s="3091"/>
      <c r="O140" s="259" t="s">
        <v>3139</v>
      </c>
      <c r="P140" s="261"/>
      <c r="Q140" s="3109"/>
      <c r="R140" s="3110"/>
      <c r="S140" s="3111"/>
      <c r="Z140" s="1706">
        <v>140</v>
      </c>
    </row>
    <row r="141" spans="3:26" s="144" customFormat="1" ht="11.25" hidden="1" customHeight="1">
      <c r="C141" s="243"/>
      <c r="D141" s="260"/>
      <c r="E141" s="246" t="s">
        <v>6221</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2060</v>
      </c>
      <c r="J142" s="3120"/>
      <c r="K142" s="3099"/>
      <c r="L142" s="262" t="s">
        <v>1841</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1845</v>
      </c>
      <c r="D144" s="144" t="s">
        <v>6465</v>
      </c>
      <c r="H144" s="3016"/>
      <c r="I144" s="3017"/>
      <c r="J144" s="3018"/>
      <c r="K144" s="262" t="s">
        <v>1670</v>
      </c>
      <c r="L144" s="3016"/>
      <c r="M144" s="3090"/>
      <c r="N144" s="3091"/>
      <c r="O144" s="259" t="s">
        <v>3139</v>
      </c>
      <c r="P144" s="261"/>
      <c r="Q144" s="3109"/>
      <c r="R144" s="3110"/>
      <c r="S144" s="3111"/>
      <c r="Z144" s="1706">
        <v>144</v>
      </c>
    </row>
    <row r="145" spans="1:26" s="144" customFormat="1" ht="11.25" customHeight="1">
      <c r="C145" s="243"/>
      <c r="D145" s="260"/>
      <c r="E145" s="246" t="s">
        <v>6221</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2060</v>
      </c>
      <c r="J146" s="3120"/>
      <c r="K146" s="3099"/>
      <c r="L146" s="262" t="s">
        <v>1841</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6466</v>
      </c>
      <c r="H148" s="3016"/>
      <c r="I148" s="3017"/>
      <c r="J148" s="3018"/>
      <c r="K148" s="262" t="s">
        <v>1670</v>
      </c>
      <c r="L148" s="3016"/>
      <c r="M148" s="3090"/>
      <c r="N148" s="3091"/>
      <c r="O148" s="259" t="s">
        <v>3139</v>
      </c>
      <c r="P148" s="261"/>
      <c r="Q148" s="3109"/>
      <c r="R148" s="3110"/>
      <c r="S148" s="3111"/>
      <c r="Z148" s="1706">
        <v>148</v>
      </c>
    </row>
    <row r="149" spans="1:26" s="144" customFormat="1" ht="11.25" customHeight="1">
      <c r="D149" s="260"/>
      <c r="E149" s="246" t="s">
        <v>6221</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2060</v>
      </c>
      <c r="J150" s="3120"/>
      <c r="K150" s="3099"/>
      <c r="L150" s="262" t="s">
        <v>1841</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1842</v>
      </c>
      <c r="C152" s="243" t="s">
        <v>3879</v>
      </c>
      <c r="H152" s="480"/>
      <c r="I152" s="480"/>
      <c r="J152" s="480"/>
      <c r="K152" s="480"/>
      <c r="L152" s="480"/>
      <c r="M152" s="480"/>
      <c r="N152" s="480"/>
      <c r="O152" s="480"/>
      <c r="P152" s="480"/>
      <c r="Q152" s="480"/>
      <c r="R152" s="480"/>
      <c r="S152" s="480"/>
      <c r="Z152" s="1706">
        <v>152</v>
      </c>
    </row>
    <row r="153" spans="1:26" ht="13.5" thickBot="1">
      <c r="A153" s="3180" t="s">
        <v>3295</v>
      </c>
      <c r="B153" s="3180"/>
      <c r="C153" s="3180"/>
      <c r="D153" s="3180"/>
      <c r="E153" s="3180"/>
      <c r="H153" s="1263" t="s">
        <v>2307</v>
      </c>
      <c r="I153" s="3174" t="s">
        <v>6515</v>
      </c>
      <c r="J153" s="3175"/>
      <c r="K153" s="3175"/>
      <c r="L153" s="3175"/>
      <c r="M153" s="3175"/>
      <c r="N153" s="3175"/>
      <c r="O153" s="3175"/>
      <c r="P153" s="3175"/>
      <c r="Q153" s="3175"/>
      <c r="R153" s="3175"/>
      <c r="S153" s="3176"/>
      <c r="Z153" s="1706">
        <v>153</v>
      </c>
    </row>
    <row r="154" spans="1:26" s="144" customFormat="1" ht="15" customHeight="1" thickBot="1">
      <c r="B154" s="476" t="s">
        <v>1843</v>
      </c>
      <c r="C154" s="256" t="s">
        <v>2519</v>
      </c>
      <c r="E154" s="256"/>
      <c r="H154" s="1216" t="s">
        <v>3837</v>
      </c>
      <c r="I154" s="3079"/>
      <c r="J154" s="3080"/>
      <c r="K154" s="3080"/>
      <c r="L154" s="3080"/>
      <c r="M154" s="3080"/>
      <c r="N154" s="3080"/>
      <c r="O154" s="3080"/>
      <c r="P154" s="3080"/>
      <c r="Q154" s="3080"/>
      <c r="R154" s="3080"/>
      <c r="S154" s="3081"/>
      <c r="U154" s="3010" t="s">
        <v>1882</v>
      </c>
      <c r="V154" s="3010"/>
      <c r="Z154" s="1706">
        <v>154</v>
      </c>
    </row>
    <row r="155" spans="1:26" s="144" customFormat="1" ht="15" customHeight="1" thickBot="1">
      <c r="B155" s="476" t="s">
        <v>1845</v>
      </c>
      <c r="C155" s="256" t="s">
        <v>6219</v>
      </c>
      <c r="E155" s="256"/>
      <c r="H155" s="1216" t="s">
        <v>3837</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2331</v>
      </c>
      <c r="C156" s="256" t="s">
        <v>2555</v>
      </c>
      <c r="E156" s="256"/>
      <c r="H156" s="1216" t="s">
        <v>3837</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2520</v>
      </c>
      <c r="E157" s="256"/>
      <c r="H157" s="1216" t="s">
        <v>3837</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3073</v>
      </c>
      <c r="E158" s="256"/>
      <c r="H158" s="1216" t="s">
        <v>3837</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1741</v>
      </c>
      <c r="C159" s="256" t="s">
        <v>3074</v>
      </c>
      <c r="E159" s="256"/>
      <c r="H159" s="1216" t="s">
        <v>3837</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2521</v>
      </c>
      <c r="E160" s="256"/>
      <c r="H160" s="1216" t="s">
        <v>3837</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3888</v>
      </c>
      <c r="E161" s="256"/>
      <c r="H161" s="1216" t="s">
        <v>3837</v>
      </c>
      <c r="I161" s="3076"/>
      <c r="J161" s="3077"/>
      <c r="K161" s="3077"/>
      <c r="L161" s="3077"/>
      <c r="M161" s="3077"/>
      <c r="N161" s="3077"/>
      <c r="O161" s="3077"/>
      <c r="P161" s="3077"/>
      <c r="Q161" s="3077"/>
      <c r="R161" s="3077"/>
      <c r="S161" s="3078"/>
      <c r="Z161" s="1706">
        <v>161</v>
      </c>
    </row>
    <row r="162" spans="1:26" s="144" customFormat="1" ht="15" customHeight="1" thickBot="1">
      <c r="B162" s="476" t="s">
        <v>3887</v>
      </c>
      <c r="C162" s="3177" t="s">
        <v>6472</v>
      </c>
      <c r="D162" s="3178"/>
      <c r="E162" s="3178"/>
      <c r="F162" s="3178"/>
      <c r="G162" s="3179"/>
      <c r="H162" s="1216" t="s">
        <v>3837</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3880</v>
      </c>
      <c r="Z165" s="1706">
        <v>165</v>
      </c>
    </row>
    <row r="166" spans="1:26" s="144" customFormat="1" ht="12.75" customHeight="1">
      <c r="A166" s="3142" t="s">
        <v>594</v>
      </c>
      <c r="B166" s="3143"/>
      <c r="C166" s="3143"/>
      <c r="D166" s="3143"/>
      <c r="E166" s="3148" t="s">
        <v>3062</v>
      </c>
      <c r="F166" s="3149"/>
      <c r="G166" s="3149"/>
      <c r="H166" s="3149"/>
      <c r="I166" s="3150"/>
      <c r="J166" s="3154" t="s">
        <v>3063</v>
      </c>
      <c r="K166" s="3157" t="s">
        <v>2577</v>
      </c>
      <c r="L166" s="3157" t="s">
        <v>2578</v>
      </c>
      <c r="M166" s="3160" t="s">
        <v>6473</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3216</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2307</v>
      </c>
      <c r="J170" s="3156"/>
      <c r="K170" s="3159"/>
      <c r="L170" s="3158"/>
      <c r="M170" s="1218" t="s">
        <v>2307</v>
      </c>
      <c r="N170" s="3172" t="s">
        <v>2576</v>
      </c>
      <c r="O170" s="3172"/>
      <c r="P170" s="3172"/>
      <c r="Q170" s="3172"/>
      <c r="R170" s="3172"/>
      <c r="S170" s="3173"/>
      <c r="Z170" s="1706">
        <v>170</v>
      </c>
    </row>
    <row r="171" spans="1:26" s="144" customFormat="1" ht="23.25" customHeight="1">
      <c r="A171" s="3137" t="s">
        <v>3057</v>
      </c>
      <c r="B171" s="3138"/>
      <c r="C171" s="3138"/>
      <c r="D171" s="3139"/>
      <c r="E171" s="3140"/>
      <c r="F171" s="3080"/>
      <c r="G171" s="3080"/>
      <c r="H171" s="3080"/>
      <c r="I171" s="646" t="s">
        <v>3837</v>
      </c>
      <c r="J171" s="477" t="s">
        <v>3837</v>
      </c>
      <c r="K171" s="477"/>
      <c r="L171" s="649"/>
      <c r="M171" s="482" t="s">
        <v>3837</v>
      </c>
      <c r="N171" s="3141"/>
      <c r="O171" s="3080"/>
      <c r="P171" s="3080"/>
      <c r="Q171" s="3080"/>
      <c r="R171" s="3080"/>
      <c r="S171" s="3081"/>
      <c r="Z171" s="1706">
        <v>171</v>
      </c>
    </row>
    <row r="172" spans="1:26" s="144" customFormat="1" ht="23.25" customHeight="1">
      <c r="A172" s="3132" t="s">
        <v>3058</v>
      </c>
      <c r="B172" s="3133"/>
      <c r="C172" s="3133"/>
      <c r="D172" s="3134"/>
      <c r="E172" s="3135"/>
      <c r="F172" s="3077"/>
      <c r="G172" s="3077"/>
      <c r="H172" s="3077"/>
      <c r="I172" s="647" t="s">
        <v>3837</v>
      </c>
      <c r="J172" s="478" t="s">
        <v>3837</v>
      </c>
      <c r="K172" s="478"/>
      <c r="L172" s="650"/>
      <c r="M172" s="483" t="s">
        <v>3837</v>
      </c>
      <c r="N172" s="3136"/>
      <c r="O172" s="3077"/>
      <c r="P172" s="3077"/>
      <c r="Q172" s="3077"/>
      <c r="R172" s="3077"/>
      <c r="S172" s="3078"/>
      <c r="U172" s="3010" t="s">
        <v>1882</v>
      </c>
      <c r="V172" s="3010"/>
      <c r="Z172" s="1706">
        <v>172</v>
      </c>
    </row>
    <row r="173" spans="1:26" s="144" customFormat="1" ht="23.25" customHeight="1">
      <c r="A173" s="3132" t="s">
        <v>3059</v>
      </c>
      <c r="B173" s="3133"/>
      <c r="C173" s="3133"/>
      <c r="D173" s="3134"/>
      <c r="E173" s="3135"/>
      <c r="F173" s="3077"/>
      <c r="G173" s="3077"/>
      <c r="H173" s="3077"/>
      <c r="I173" s="647" t="s">
        <v>3837</v>
      </c>
      <c r="J173" s="478" t="s">
        <v>3837</v>
      </c>
      <c r="K173" s="478"/>
      <c r="L173" s="650"/>
      <c r="M173" s="483" t="s">
        <v>3837</v>
      </c>
      <c r="N173" s="3136"/>
      <c r="O173" s="3077"/>
      <c r="P173" s="3077"/>
      <c r="Q173" s="3077"/>
      <c r="R173" s="3077"/>
      <c r="S173" s="3078"/>
      <c r="U173" s="3010"/>
      <c r="V173" s="3010"/>
      <c r="Z173" s="1706">
        <v>173</v>
      </c>
    </row>
    <row r="174" spans="1:26" s="144" customFormat="1" ht="23.25" customHeight="1">
      <c r="A174" s="3132" t="s">
        <v>3060</v>
      </c>
      <c r="B174" s="3133"/>
      <c r="C174" s="3133"/>
      <c r="D174" s="3134"/>
      <c r="E174" s="3135"/>
      <c r="F174" s="3077"/>
      <c r="G174" s="3077"/>
      <c r="H174" s="3077"/>
      <c r="I174" s="647" t="s">
        <v>3837</v>
      </c>
      <c r="J174" s="478" t="s">
        <v>3837</v>
      </c>
      <c r="K174" s="478"/>
      <c r="L174" s="650"/>
      <c r="M174" s="483" t="s">
        <v>3837</v>
      </c>
      <c r="N174" s="3136"/>
      <c r="O174" s="3077"/>
      <c r="P174" s="3077"/>
      <c r="Q174" s="3077"/>
      <c r="R174" s="3077"/>
      <c r="S174" s="3078"/>
      <c r="U174" s="3010"/>
      <c r="V174" s="3010"/>
      <c r="Z174" s="1706">
        <v>174</v>
      </c>
    </row>
    <row r="175" spans="1:26" s="144" customFormat="1" ht="23.25" customHeight="1">
      <c r="A175" s="3132" t="s">
        <v>3061</v>
      </c>
      <c r="B175" s="3133"/>
      <c r="C175" s="3133"/>
      <c r="D175" s="3134"/>
      <c r="E175" s="3135"/>
      <c r="F175" s="3077"/>
      <c r="G175" s="3077"/>
      <c r="H175" s="3077"/>
      <c r="I175" s="647" t="s">
        <v>3837</v>
      </c>
      <c r="J175" s="478" t="s">
        <v>3837</v>
      </c>
      <c r="K175" s="478"/>
      <c r="L175" s="650"/>
      <c r="M175" s="483" t="s">
        <v>3837</v>
      </c>
      <c r="N175" s="3136"/>
      <c r="O175" s="3077"/>
      <c r="P175" s="3077"/>
      <c r="Q175" s="3077"/>
      <c r="R175" s="3077"/>
      <c r="S175" s="3078"/>
      <c r="U175" s="3010"/>
      <c r="V175" s="3010"/>
      <c r="Z175" s="1706">
        <v>175</v>
      </c>
    </row>
    <row r="176" spans="1:26" s="144" customFormat="1" ht="23.25" customHeight="1">
      <c r="A176" s="3132" t="s">
        <v>2567</v>
      </c>
      <c r="B176" s="3133"/>
      <c r="C176" s="3133"/>
      <c r="D176" s="3134"/>
      <c r="E176" s="3135"/>
      <c r="F176" s="3077"/>
      <c r="G176" s="3077"/>
      <c r="H176" s="3077"/>
      <c r="I176" s="647" t="s">
        <v>3837</v>
      </c>
      <c r="J176" s="478" t="s">
        <v>3837</v>
      </c>
      <c r="K176" s="478"/>
      <c r="L176" s="650"/>
      <c r="M176" s="483" t="s">
        <v>3837</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3837</v>
      </c>
      <c r="J177" s="478" t="s">
        <v>3837</v>
      </c>
      <c r="K177" s="478"/>
      <c r="L177" s="650"/>
      <c r="M177" s="483" t="s">
        <v>3837</v>
      </c>
      <c r="N177" s="3136"/>
      <c r="O177" s="3077"/>
      <c r="P177" s="3077"/>
      <c r="Q177" s="3077"/>
      <c r="R177" s="3077"/>
      <c r="S177" s="3078"/>
      <c r="U177" s="3010"/>
      <c r="V177" s="3010"/>
      <c r="Z177" s="1706">
        <v>177</v>
      </c>
    </row>
    <row r="178" spans="1:26" s="144" customFormat="1" ht="23.25" customHeight="1">
      <c r="A178" s="3132" t="s">
        <v>2568</v>
      </c>
      <c r="B178" s="3133"/>
      <c r="C178" s="3133"/>
      <c r="D178" s="3134"/>
      <c r="E178" s="3135"/>
      <c r="F178" s="3077"/>
      <c r="G178" s="3077"/>
      <c r="H178" s="3077"/>
      <c r="I178" s="647" t="s">
        <v>3837</v>
      </c>
      <c r="J178" s="478" t="s">
        <v>3837</v>
      </c>
      <c r="K178" s="478"/>
      <c r="L178" s="650"/>
      <c r="M178" s="483" t="s">
        <v>3837</v>
      </c>
      <c r="N178" s="3136"/>
      <c r="O178" s="3077"/>
      <c r="P178" s="3077"/>
      <c r="Q178" s="3077"/>
      <c r="R178" s="3077"/>
      <c r="S178" s="3078"/>
      <c r="Z178" s="1706">
        <v>178</v>
      </c>
    </row>
    <row r="179" spans="1:26" s="144" customFormat="1" ht="23.25" customHeight="1">
      <c r="A179" s="3132" t="s">
        <v>2569</v>
      </c>
      <c r="B179" s="3133"/>
      <c r="C179" s="3133"/>
      <c r="D179" s="3134"/>
      <c r="E179" s="3135"/>
      <c r="F179" s="3077"/>
      <c r="G179" s="3077"/>
      <c r="H179" s="3077"/>
      <c r="I179" s="647" t="s">
        <v>3837</v>
      </c>
      <c r="J179" s="478" t="s">
        <v>3837</v>
      </c>
      <c r="K179" s="478"/>
      <c r="L179" s="650"/>
      <c r="M179" s="483" t="s">
        <v>3837</v>
      </c>
      <c r="N179" s="3136"/>
      <c r="O179" s="3077"/>
      <c r="P179" s="3077"/>
      <c r="Q179" s="3077"/>
      <c r="R179" s="3077"/>
      <c r="S179" s="3078"/>
      <c r="Z179" s="1706">
        <v>179</v>
      </c>
    </row>
    <row r="180" spans="1:26" s="144" customFormat="1" ht="23.25" customHeight="1">
      <c r="A180" s="3132" t="s">
        <v>2571</v>
      </c>
      <c r="B180" s="3133"/>
      <c r="C180" s="3133"/>
      <c r="D180" s="3134"/>
      <c r="E180" s="3135"/>
      <c r="F180" s="3077"/>
      <c r="G180" s="3077"/>
      <c r="H180" s="3077"/>
      <c r="I180" s="647" t="s">
        <v>3837</v>
      </c>
      <c r="J180" s="478" t="s">
        <v>3837</v>
      </c>
      <c r="K180" s="478"/>
      <c r="L180" s="650"/>
      <c r="M180" s="483" t="s">
        <v>3837</v>
      </c>
      <c r="N180" s="3136"/>
      <c r="O180" s="3077"/>
      <c r="P180" s="3077"/>
      <c r="Q180" s="3077"/>
      <c r="R180" s="3077"/>
      <c r="S180" s="3078"/>
      <c r="Z180" s="1706">
        <v>180</v>
      </c>
    </row>
    <row r="181" spans="1:26" s="144" customFormat="1" ht="23.25" customHeight="1">
      <c r="A181" s="3132" t="s">
        <v>2570</v>
      </c>
      <c r="B181" s="3133"/>
      <c r="C181" s="3133"/>
      <c r="D181" s="3134"/>
      <c r="E181" s="3135"/>
      <c r="F181" s="3077"/>
      <c r="G181" s="3077"/>
      <c r="H181" s="3077"/>
      <c r="I181" s="647" t="s">
        <v>3837</v>
      </c>
      <c r="J181" s="478" t="s">
        <v>3837</v>
      </c>
      <c r="K181" s="478"/>
      <c r="L181" s="650"/>
      <c r="M181" s="483" t="s">
        <v>3837</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3837</v>
      </c>
      <c r="J182" s="478" t="s">
        <v>3837</v>
      </c>
      <c r="K182" s="478"/>
      <c r="L182" s="650"/>
      <c r="M182" s="483" t="s">
        <v>3837</v>
      </c>
      <c r="N182" s="3136"/>
      <c r="O182" s="3077"/>
      <c r="P182" s="3077"/>
      <c r="Q182" s="3077"/>
      <c r="R182" s="3077"/>
      <c r="S182" s="3078"/>
      <c r="Z182" s="1706">
        <v>182</v>
      </c>
    </row>
    <row r="183" spans="1:26" s="144" customFormat="1" ht="23.25" customHeight="1">
      <c r="A183" s="3121" t="s">
        <v>2572</v>
      </c>
      <c r="B183" s="3122"/>
      <c r="C183" s="3122"/>
      <c r="D183" s="3123"/>
      <c r="E183" s="3124"/>
      <c r="F183" s="3074"/>
      <c r="G183" s="3074"/>
      <c r="H183" s="3074"/>
      <c r="I183" s="648" t="s">
        <v>3837</v>
      </c>
      <c r="J183" s="479" t="s">
        <v>3837</v>
      </c>
      <c r="K183" s="479"/>
      <c r="L183" s="651"/>
      <c r="M183" s="484" t="s">
        <v>3837</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2:Q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Peaks of Douglas, Douglasville, Douglas County</v>
      </c>
      <c r="B2" s="3103"/>
      <c r="C2" s="3103"/>
      <c r="D2" s="3103"/>
      <c r="E2" s="3103"/>
      <c r="F2" s="3103"/>
      <c r="G2" s="3103"/>
      <c r="H2" s="3103"/>
      <c r="I2" s="3103"/>
      <c r="J2" s="3103"/>
      <c r="K2" s="3103"/>
      <c r="L2" s="3103"/>
      <c r="M2" s="3103"/>
      <c r="N2" s="3103"/>
      <c r="O2" s="3103"/>
      <c r="P2" s="3103"/>
      <c r="Q2" s="3104"/>
      <c r="S2" s="3195" t="str">
        <f>$A$2</f>
        <v>PART TWO - SOURCES OF FUNDS (Proposed)  -  2023-0 Peaks of Douglas, Douglasville, Douglas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2447</v>
      </c>
      <c r="T5" s="3196"/>
      <c r="Y5" s="1742"/>
      <c r="Z5" s="1706">
        <v>5</v>
      </c>
      <c r="AZ5" s="1676"/>
    </row>
    <row r="6" spans="1:52" s="223" customFormat="1" ht="16.5" customHeight="1">
      <c r="A6" s="375"/>
      <c r="B6" s="1232" t="s">
        <v>2648</v>
      </c>
      <c r="C6" s="224" t="s">
        <v>2218</v>
      </c>
      <c r="D6" s="144"/>
      <c r="E6" s="1232" t="s">
        <v>2651</v>
      </c>
      <c r="F6" s="224" t="s">
        <v>6078</v>
      </c>
      <c r="G6" s="144"/>
      <c r="I6" s="3206"/>
      <c r="J6" s="3207"/>
      <c r="L6" s="1232" t="s">
        <v>2651</v>
      </c>
      <c r="M6" s="224" t="s">
        <v>1437</v>
      </c>
      <c r="Q6" s="1620"/>
      <c r="S6" s="3197"/>
      <c r="T6" s="3198"/>
      <c r="Y6" s="1742"/>
      <c r="Z6" s="1706">
        <v>6</v>
      </c>
      <c r="AZ6" s="1676"/>
    </row>
    <row r="7" spans="1:52" s="223" customFormat="1" ht="16.5" customHeight="1">
      <c r="A7" s="375"/>
      <c r="B7" s="823" t="s">
        <v>2651</v>
      </c>
      <c r="C7" s="224" t="s">
        <v>3875</v>
      </c>
      <c r="D7" s="144"/>
      <c r="E7" s="818" t="s">
        <v>2651</v>
      </c>
      <c r="F7" s="224" t="s">
        <v>6079</v>
      </c>
      <c r="I7" s="3208"/>
      <c r="J7" s="3209"/>
      <c r="L7" s="823" t="s">
        <v>2651</v>
      </c>
      <c r="M7" s="224" t="s">
        <v>514</v>
      </c>
      <c r="P7" s="1620"/>
      <c r="Q7" s="1620"/>
      <c r="S7" s="3199"/>
      <c r="T7" s="3200"/>
      <c r="Y7" s="1742"/>
      <c r="Z7" s="1706">
        <v>7</v>
      </c>
      <c r="AZ7" s="1676"/>
    </row>
    <row r="8" spans="1:52" s="223" customFormat="1" ht="16.5" customHeight="1">
      <c r="A8" s="144"/>
      <c r="B8" s="823" t="s">
        <v>2651</v>
      </c>
      <c r="C8" s="224" t="s">
        <v>6659</v>
      </c>
      <c r="F8" s="223" t="s">
        <v>6662</v>
      </c>
      <c r="H8" s="3220" t="s">
        <v>3064</v>
      </c>
      <c r="I8" s="3221"/>
      <c r="J8" s="3222"/>
      <c r="L8" s="823" t="s">
        <v>2651</v>
      </c>
      <c r="M8" s="224" t="s">
        <v>6664</v>
      </c>
      <c r="P8" s="1620"/>
      <c r="Q8" s="1620"/>
      <c r="S8" s="3199"/>
      <c r="T8" s="3200"/>
      <c r="Y8" s="1742"/>
      <c r="Z8" s="1706">
        <v>8</v>
      </c>
      <c r="AZ8" s="1676"/>
    </row>
    <row r="9" spans="1:52" s="223" customFormat="1" ht="16.5" customHeight="1">
      <c r="A9" s="375"/>
      <c r="B9" s="823" t="s">
        <v>2651</v>
      </c>
      <c r="C9" s="223" t="s">
        <v>3299</v>
      </c>
      <c r="E9" s="1235" t="s">
        <v>2651</v>
      </c>
      <c r="F9" s="3212" t="s">
        <v>6658</v>
      </c>
      <c r="G9" s="3213"/>
      <c r="H9" s="3210"/>
      <c r="I9" s="3210"/>
      <c r="J9" s="3211"/>
      <c r="L9" s="823" t="s">
        <v>2651</v>
      </c>
      <c r="M9" s="224" t="s">
        <v>3876</v>
      </c>
      <c r="Q9" s="1620"/>
      <c r="S9" s="3201"/>
      <c r="T9" s="3202"/>
      <c r="Y9" s="1742"/>
      <c r="Z9" s="1706">
        <v>9</v>
      </c>
      <c r="AZ9" s="1676"/>
    </row>
    <row r="10" spans="1:52" s="223" customFormat="1" ht="16.5" customHeight="1">
      <c r="A10" s="375"/>
      <c r="B10" s="823" t="s">
        <v>2651</v>
      </c>
      <c r="C10" s="224" t="s">
        <v>2393</v>
      </c>
      <c r="F10" s="3214" t="s">
        <v>3768</v>
      </c>
      <c r="G10" s="3215"/>
      <c r="H10" s="3215"/>
      <c r="I10" s="3215"/>
      <c r="J10" s="3216"/>
      <c r="L10" s="823" t="s">
        <v>2651</v>
      </c>
      <c r="M10" s="224" t="s">
        <v>3191</v>
      </c>
      <c r="P10" s="1620"/>
      <c r="Q10" s="1620"/>
      <c r="S10" s="3197"/>
      <c r="T10" s="3198"/>
      <c r="Y10" s="1742"/>
      <c r="Z10" s="1706">
        <v>10</v>
      </c>
      <c r="AZ10" s="1676"/>
    </row>
    <row r="11" spans="1:52" s="223" customFormat="1" ht="16.5" customHeight="1">
      <c r="A11" s="375"/>
      <c r="B11" s="823" t="s">
        <v>2651</v>
      </c>
      <c r="C11" s="224" t="s">
        <v>2394</v>
      </c>
      <c r="E11" s="1235" t="s">
        <v>2651</v>
      </c>
      <c r="F11" s="3210" t="s">
        <v>6660</v>
      </c>
      <c r="G11" s="3210"/>
      <c r="H11" s="3210"/>
      <c r="I11" s="3210"/>
      <c r="J11" s="3211"/>
      <c r="L11" s="823" t="s">
        <v>2651</v>
      </c>
      <c r="M11" s="223" t="s">
        <v>2397</v>
      </c>
      <c r="S11" s="3199"/>
      <c r="T11" s="3200"/>
      <c r="Y11" s="1742"/>
      <c r="Z11" s="1706">
        <v>11</v>
      </c>
      <c r="AZ11" s="1676"/>
    </row>
    <row r="12" spans="1:52" s="223" customFormat="1" ht="16.5" customHeight="1">
      <c r="A12" s="375"/>
      <c r="B12" s="823" t="s">
        <v>2651</v>
      </c>
      <c r="C12" s="224" t="s">
        <v>3192</v>
      </c>
      <c r="F12" s="3203" t="s">
        <v>3769</v>
      </c>
      <c r="G12" s="3204"/>
      <c r="H12" s="3223"/>
      <c r="I12" s="3223"/>
      <c r="J12" s="3224"/>
      <c r="L12" s="823" t="s">
        <v>2651</v>
      </c>
      <c r="M12" s="223" t="s">
        <v>3218</v>
      </c>
      <c r="S12" s="3199"/>
      <c r="T12" s="3200"/>
      <c r="Y12" s="1742"/>
      <c r="Z12" s="1706">
        <v>12</v>
      </c>
      <c r="AZ12" s="1676"/>
    </row>
    <row r="13" spans="1:52" s="223" customFormat="1" ht="16.5" customHeight="1">
      <c r="A13" s="375"/>
      <c r="B13" s="823" t="s">
        <v>2651</v>
      </c>
      <c r="C13" s="224" t="s">
        <v>6661</v>
      </c>
      <c r="E13" s="1232" t="s">
        <v>2651</v>
      </c>
      <c r="F13" s="224" t="s">
        <v>6663</v>
      </c>
      <c r="H13" s="3203" t="s">
        <v>3290</v>
      </c>
      <c r="I13" s="3204"/>
      <c r="J13" s="3205"/>
      <c r="L13" s="823" t="s">
        <v>2651</v>
      </c>
      <c r="M13" s="223" t="s">
        <v>6077</v>
      </c>
      <c r="S13" s="3199"/>
      <c r="T13" s="3200"/>
      <c r="Y13" s="1742"/>
      <c r="Z13" s="1706">
        <v>13</v>
      </c>
      <c r="AZ13" s="1676"/>
    </row>
    <row r="14" spans="1:52" s="223" customFormat="1" ht="16.5" customHeight="1">
      <c r="A14" s="375"/>
      <c r="B14" s="823" t="s">
        <v>2651</v>
      </c>
      <c r="C14" s="223" t="s">
        <v>2396</v>
      </c>
      <c r="E14" s="823" t="s">
        <v>2651</v>
      </c>
      <c r="F14" s="224" t="s">
        <v>3298</v>
      </c>
      <c r="L14" s="823" t="s">
        <v>2651</v>
      </c>
      <c r="M14" s="223" t="s">
        <v>6709</v>
      </c>
      <c r="S14" s="3201"/>
      <c r="T14" s="3202"/>
      <c r="Y14" s="1742"/>
      <c r="Z14" s="1706">
        <v>14</v>
      </c>
      <c r="AZ14" s="1676"/>
    </row>
    <row r="15" spans="1:52" s="223" customFormat="1" ht="16.5" customHeight="1">
      <c r="A15" s="375"/>
      <c r="B15" s="823" t="s">
        <v>2651</v>
      </c>
      <c r="C15" s="223" t="s">
        <v>3217</v>
      </c>
      <c r="E15" s="823" t="s">
        <v>2651</v>
      </c>
      <c r="F15" s="224" t="s">
        <v>6080</v>
      </c>
      <c r="L15" s="823" t="s">
        <v>2651</v>
      </c>
      <c r="M15" s="1621" t="s">
        <v>6081</v>
      </c>
      <c r="Y15" s="1742"/>
      <c r="Z15" s="1706">
        <v>15</v>
      </c>
      <c r="AZ15" s="1676"/>
    </row>
    <row r="16" spans="1:52" s="223" customFormat="1" ht="16.5" customHeight="1">
      <c r="A16" s="375"/>
      <c r="B16" s="818" t="s">
        <v>2651</v>
      </c>
      <c r="C16" s="224" t="s">
        <v>1673</v>
      </c>
      <c r="E16" s="818" t="s">
        <v>2651</v>
      </c>
      <c r="F16" s="224" t="s">
        <v>6498</v>
      </c>
      <c r="I16" s="3181"/>
      <c r="J16" s="3182"/>
      <c r="L16" s="818" t="s">
        <v>2651</v>
      </c>
      <c r="M16" s="1621" t="s">
        <v>6076</v>
      </c>
      <c r="Y16" s="1742"/>
      <c r="Z16" s="1706">
        <v>16</v>
      </c>
      <c r="AZ16" s="1676"/>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2164</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1733</v>
      </c>
      <c r="C21" s="144"/>
      <c r="D21" s="144"/>
      <c r="E21" s="144"/>
      <c r="F21" s="144"/>
      <c r="G21" s="144"/>
      <c r="H21" s="3184" t="s">
        <v>1220</v>
      </c>
      <c r="I21" s="3184"/>
      <c r="J21" s="3184"/>
      <c r="K21" s="3184"/>
      <c r="L21" s="3185" t="s">
        <v>3843</v>
      </c>
      <c r="M21" s="3185"/>
      <c r="N21" s="3185" t="s">
        <v>1410</v>
      </c>
      <c r="O21" s="3185"/>
      <c r="P21" s="3185" t="s">
        <v>1523</v>
      </c>
      <c r="Q21" s="3185"/>
      <c r="S21" s="3196" t="s">
        <v>2447</v>
      </c>
      <c r="T21" s="3196"/>
      <c r="Y21" s="1742"/>
      <c r="Z21" s="1706">
        <v>21</v>
      </c>
      <c r="AZ21" s="1676" t="s">
        <v>6339</v>
      </c>
    </row>
    <row r="22" spans="1:52" s="223" customFormat="1" ht="15.75" customHeight="1">
      <c r="A22" s="144"/>
      <c r="B22" s="3225" t="s">
        <v>1486</v>
      </c>
      <c r="C22" s="3226"/>
      <c r="D22" s="3226"/>
      <c r="E22" s="821"/>
      <c r="F22" s="821"/>
      <c r="G22" s="821"/>
      <c r="H22" s="3227" t="s">
        <v>7105</v>
      </c>
      <c r="I22" s="3228"/>
      <c r="J22" s="3228"/>
      <c r="K22" s="3229"/>
      <c r="L22" s="3230">
        <v>12300000</v>
      </c>
      <c r="M22" s="3231"/>
      <c r="N22" s="3232">
        <v>7.7499999999999999E-2</v>
      </c>
      <c r="O22" s="3233"/>
      <c r="P22" s="3234">
        <v>24</v>
      </c>
      <c r="Q22" s="3235"/>
      <c r="S22" s="3197"/>
      <c r="T22" s="3198"/>
      <c r="Y22" s="1742" t="s">
        <v>6339</v>
      </c>
      <c r="Z22" s="1706">
        <v>22</v>
      </c>
      <c r="AZ22" s="1676" t="s">
        <v>6340</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6340</v>
      </c>
      <c r="Z23" s="1706">
        <v>23</v>
      </c>
      <c r="AZ23" s="1676" t="s">
        <v>6341</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6341</v>
      </c>
      <c r="Z24" s="1706">
        <v>24</v>
      </c>
      <c r="AZ24" s="1676" t="s">
        <v>6342</v>
      </c>
    </row>
    <row r="25" spans="1:52" s="223" customFormat="1" ht="15.75" customHeight="1">
      <c r="A25" s="144"/>
      <c r="B25" s="3225" t="s">
        <v>2046</v>
      </c>
      <c r="C25" s="3226"/>
      <c r="D25" s="3226"/>
      <c r="E25" s="144"/>
      <c r="F25" s="144"/>
      <c r="G25" s="144"/>
      <c r="H25" s="3243"/>
      <c r="I25" s="3244"/>
      <c r="J25" s="3244"/>
      <c r="K25" s="3245"/>
      <c r="L25" s="3246"/>
      <c r="M25" s="3247"/>
      <c r="N25" s="3248"/>
      <c r="O25" s="3249"/>
      <c r="P25" s="3183"/>
      <c r="Q25" s="3183"/>
      <c r="S25" s="3199"/>
      <c r="T25" s="3200"/>
      <c r="Y25" s="1742" t="s">
        <v>6342</v>
      </c>
      <c r="Z25" s="1706">
        <v>25</v>
      </c>
      <c r="AZ25" s="1676" t="s">
        <v>6343</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6343</v>
      </c>
      <c r="Z26" s="1706">
        <v>26</v>
      </c>
      <c r="AZ26" s="1676" t="s">
        <v>6344</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6344</v>
      </c>
      <c r="Z27" s="1706">
        <v>27</v>
      </c>
      <c r="AZ27" s="1676" t="s">
        <v>6345</v>
      </c>
    </row>
    <row r="28" spans="1:52" s="223" customFormat="1" ht="15.75" customHeight="1">
      <c r="A28" s="144"/>
      <c r="B28" s="3236" t="s">
        <v>746</v>
      </c>
      <c r="C28" s="3237"/>
      <c r="D28" s="3237"/>
      <c r="E28" s="144"/>
      <c r="H28" s="3238" t="s">
        <v>7042</v>
      </c>
      <c r="I28" s="3239"/>
      <c r="J28" s="3239"/>
      <c r="K28" s="3240"/>
      <c r="L28" s="3241">
        <v>2593517</v>
      </c>
      <c r="M28" s="3242"/>
      <c r="N28" s="144"/>
      <c r="Q28" s="144"/>
      <c r="S28" s="3201"/>
      <c r="T28" s="3202"/>
      <c r="Y28" s="1742" t="s">
        <v>6345</v>
      </c>
      <c r="Z28" s="1706">
        <v>28</v>
      </c>
      <c r="AZ28" s="1676" t="s">
        <v>6346</v>
      </c>
    </row>
    <row r="29" spans="1:52" s="223" customFormat="1" ht="15.75" customHeight="1">
      <c r="A29" s="144"/>
      <c r="B29" s="3236" t="s">
        <v>747</v>
      </c>
      <c r="C29" s="3237"/>
      <c r="D29" s="3237"/>
      <c r="E29" s="144"/>
      <c r="H29" s="3238" t="s">
        <v>7042</v>
      </c>
      <c r="I29" s="3239"/>
      <c r="J29" s="3239"/>
      <c r="K29" s="3240"/>
      <c r="L29" s="3241">
        <v>1326552</v>
      </c>
      <c r="M29" s="3242"/>
      <c r="N29" s="144"/>
      <c r="Q29" s="144"/>
      <c r="S29" s="3197"/>
      <c r="T29" s="3198"/>
      <c r="Y29" s="1742" t="s">
        <v>6346</v>
      </c>
      <c r="Z29" s="1706">
        <v>29</v>
      </c>
      <c r="AZ29" s="1676" t="s">
        <v>6347</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6347</v>
      </c>
      <c r="Z30" s="1706">
        <v>30</v>
      </c>
      <c r="AZ30" s="1676" t="s">
        <v>6348</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6348</v>
      </c>
      <c r="Z31" s="1706">
        <v>31</v>
      </c>
      <c r="AZ31" s="1676" t="s">
        <v>6349</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6349</v>
      </c>
      <c r="Z32" s="1706">
        <v>32</v>
      </c>
      <c r="AZ32" s="1676"/>
    </row>
    <row r="33" spans="1:52" s="223" customFormat="1" ht="16.5" customHeight="1">
      <c r="A33" s="144"/>
      <c r="B33" s="222" t="s">
        <v>1221</v>
      </c>
      <c r="C33" s="144"/>
      <c r="D33" s="144"/>
      <c r="E33" s="144"/>
      <c r="F33" s="144"/>
      <c r="G33" s="144"/>
      <c r="H33" s="144"/>
      <c r="I33" s="144"/>
      <c r="L33" s="3259">
        <f>SUM(L22:L32)</f>
        <v>16220069</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16220068.920000002</v>
      </c>
      <c r="M34" s="3262"/>
      <c r="N34" s="657"/>
      <c r="S34" s="3199"/>
      <c r="T34" s="3200"/>
      <c r="Y34" s="1742"/>
      <c r="Z34" s="1706">
        <v>34</v>
      </c>
      <c r="AZ34" s="1676"/>
    </row>
    <row r="35" spans="1:52" s="223" customFormat="1" ht="16.5" customHeight="1">
      <c r="A35" s="144"/>
      <c r="B35" s="246" t="s">
        <v>2001</v>
      </c>
      <c r="C35" s="144"/>
      <c r="D35" s="144"/>
      <c r="E35" s="144"/>
      <c r="F35" s="144"/>
      <c r="G35" s="144"/>
      <c r="H35" s="144"/>
      <c r="I35" s="144"/>
      <c r="L35" s="3263">
        <f>L33-L34</f>
        <v>7.9999998211860657E-2</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1947</v>
      </c>
      <c r="L38" s="248" t="s">
        <v>1218</v>
      </c>
      <c r="M38" s="248" t="s">
        <v>1223</v>
      </c>
      <c r="P38" s="3265" t="s">
        <v>31</v>
      </c>
      <c r="Q38" s="3265"/>
      <c r="S38" s="258"/>
      <c r="Y38" s="1742"/>
      <c r="Z38" s="1706">
        <v>38</v>
      </c>
      <c r="AZ38" s="1676"/>
    </row>
    <row r="39" spans="1:52" s="223" customFormat="1" ht="13.35" customHeight="1">
      <c r="A39" s="144"/>
      <c r="B39" s="827" t="s">
        <v>1733</v>
      </c>
      <c r="C39" s="826"/>
      <c r="D39" s="826"/>
      <c r="E39" s="3267" t="s">
        <v>1220</v>
      </c>
      <c r="F39" s="3267"/>
      <c r="G39" s="3267"/>
      <c r="H39" s="3267"/>
      <c r="I39" s="3185" t="s">
        <v>3842</v>
      </c>
      <c r="J39" s="3185"/>
      <c r="K39" s="446" t="s">
        <v>1675</v>
      </c>
      <c r="L39" s="446" t="s">
        <v>2045</v>
      </c>
      <c r="M39" s="446" t="s">
        <v>2045</v>
      </c>
      <c r="N39" s="3185" t="s">
        <v>69</v>
      </c>
      <c r="O39" s="3185"/>
      <c r="P39" s="3266"/>
      <c r="Q39" s="3266"/>
      <c r="S39" s="3196" t="s">
        <v>2447</v>
      </c>
      <c r="T39" s="3196"/>
      <c r="Y39" s="1742"/>
      <c r="Z39" s="1706">
        <v>39</v>
      </c>
      <c r="AZ39" s="1676" t="s">
        <v>6350</v>
      </c>
    </row>
    <row r="40" spans="1:52" s="223" customFormat="1" ht="15" customHeight="1">
      <c r="A40" s="144"/>
      <c r="B40" s="3225" t="s">
        <v>2401</v>
      </c>
      <c r="C40" s="3226"/>
      <c r="D40" s="3226"/>
      <c r="E40" s="3227" t="s">
        <v>7106</v>
      </c>
      <c r="F40" s="3228"/>
      <c r="G40" s="3228"/>
      <c r="H40" s="3229"/>
      <c r="I40" s="3287">
        <v>2600000</v>
      </c>
      <c r="J40" s="3288"/>
      <c r="K40" s="654">
        <v>6.3E-2</v>
      </c>
      <c r="L40" s="822">
        <v>15</v>
      </c>
      <c r="M40" s="822">
        <v>35</v>
      </c>
      <c r="N40" s="3272" t="s">
        <v>7043</v>
      </c>
      <c r="O40" s="3272"/>
      <c r="P40" s="3286">
        <f>IF(OR(I40&lt;=0,I40=""),"",IF(N40="Cash Flow",0,IF(N40="Amortizing",-PMT(K40/12,M40*12,I40,0,0)*12,"")))</f>
        <v>184228.81698972473</v>
      </c>
      <c r="Q40" s="3286"/>
      <c r="S40" s="3197"/>
      <c r="T40" s="3198"/>
      <c r="Y40" s="1742" t="s">
        <v>6350</v>
      </c>
      <c r="Z40" s="1706">
        <v>40</v>
      </c>
      <c r="AZ40" s="1676" t="s">
        <v>6351</v>
      </c>
    </row>
    <row r="41" spans="1:52" s="223" customFormat="1" ht="15" customHeight="1">
      <c r="A41" s="144"/>
      <c r="B41" s="3236" t="s">
        <v>2402</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6351</v>
      </c>
      <c r="Z41" s="1706">
        <v>41</v>
      </c>
      <c r="AZ41" s="1676" t="s">
        <v>6352</v>
      </c>
    </row>
    <row r="42" spans="1:52" s="223" customFormat="1" ht="15" customHeight="1">
      <c r="A42" s="144"/>
      <c r="B42" s="3236" t="s">
        <v>2403</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6352</v>
      </c>
      <c r="Z42" s="1706">
        <v>42</v>
      </c>
      <c r="AZ42" s="1676" t="s">
        <v>6353</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6353</v>
      </c>
      <c r="Z43" s="1706">
        <v>43</v>
      </c>
      <c r="AZ43" s="1676" t="s">
        <v>6354</v>
      </c>
    </row>
    <row r="44" spans="1:52" s="223" customFormat="1" ht="15" customHeight="1">
      <c r="A44" s="144"/>
      <c r="B44" s="820" t="s">
        <v>3942</v>
      </c>
      <c r="C44" s="144"/>
      <c r="D44" s="824"/>
      <c r="E44" s="3238"/>
      <c r="F44" s="3239"/>
      <c r="G44" s="3239"/>
      <c r="H44" s="3240"/>
      <c r="I44" s="3269"/>
      <c r="J44" s="3270"/>
      <c r="K44" s="364"/>
      <c r="L44" s="819"/>
      <c r="M44" s="819"/>
      <c r="N44" s="3301"/>
      <c r="O44" s="3301"/>
      <c r="P44" s="3300"/>
      <c r="Q44" s="3300"/>
      <c r="S44" s="3199"/>
      <c r="T44" s="3200"/>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0.31816323822163239</v>
      </c>
      <c r="E45" s="3186" t="s">
        <v>7044</v>
      </c>
      <c r="F45" s="3187"/>
      <c r="G45" s="3187"/>
      <c r="H45" s="3188"/>
      <c r="I45" s="3273">
        <v>479472</v>
      </c>
      <c r="J45" s="3274"/>
      <c r="K45" s="653"/>
      <c r="L45" s="652"/>
      <c r="M45" s="652"/>
      <c r="N45" s="3043" t="s">
        <v>1096</v>
      </c>
      <c r="O45" s="3044"/>
      <c r="P45" s="3275">
        <f>IF(OR(I45&lt;=0,I45=""),"",IF(N45="Cash Flow",0,IF(N45="Amortizing",-PMT(K45/12,M45*12,I45,0,0)*12,"")))</f>
        <v>0</v>
      </c>
      <c r="Q45" s="3276"/>
      <c r="S45" s="3199"/>
      <c r="T45" s="3200"/>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3404</v>
      </c>
      <c r="C47" s="144"/>
      <c r="E47" s="223" t="s">
        <v>3362</v>
      </c>
      <c r="F47" s="3284" t="e">
        <f>IF(OR($I$45="",$I$45=0,'Part VI-Pro Forma'!$S$35=0,'Part VI-Pro Forma'!$S$35=""),"",VLOOKUP($L$45,'Part VI-Pro Forma'!$Q$21:$S$40,3))</f>
        <v>#N/A</v>
      </c>
      <c r="G47" s="3285"/>
      <c r="H47" s="485" t="s">
        <v>3403</v>
      </c>
      <c r="I47" s="3284" t="e">
        <f>IF(OR($I$45="",$I$45=0,'Part VI-Pro Forma'!$R$35=0,'Part VI-Pro Forma'!$R$35=""),"",VLOOKUP($L$45,'Part VI-Pro Forma'!$Q$21:$S$35,2))</f>
        <v>#N/A</v>
      </c>
      <c r="J47" s="3285"/>
      <c r="K47" s="485" t="s">
        <v>3405</v>
      </c>
      <c r="L47" s="3282" t="e">
        <f>IF(OR($F$47 = 0,$F$47 =""),"",$I$47/$F$47)</f>
        <v>#N/A</v>
      </c>
      <c r="M47" s="3283"/>
      <c r="N47" s="3307" t="s">
        <v>3846</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6356</v>
      </c>
    </row>
    <row r="49" spans="1:52" s="223" customFormat="1" ht="15" customHeight="1">
      <c r="A49" s="144"/>
      <c r="B49" s="3289" t="s">
        <v>2046</v>
      </c>
      <c r="C49" s="3290"/>
      <c r="D49" s="3291"/>
      <c r="E49" s="3227"/>
      <c r="F49" s="3228"/>
      <c r="G49" s="3228"/>
      <c r="H49" s="3229"/>
      <c r="I49" s="3292"/>
      <c r="J49" s="3293"/>
      <c r="K49" s="144"/>
      <c r="L49" s="144"/>
      <c r="M49" s="144"/>
      <c r="N49" s="144"/>
      <c r="O49" s="144"/>
      <c r="P49" s="248" t="s">
        <v>483</v>
      </c>
      <c r="Q49" s="144"/>
      <c r="S49" s="3197"/>
      <c r="T49" s="3198"/>
      <c r="Y49" s="1742" t="s">
        <v>6356</v>
      </c>
      <c r="Z49" s="1706">
        <v>49</v>
      </c>
      <c r="AZ49" s="1676" t="s">
        <v>6357</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2356</v>
      </c>
      <c r="Q50" s="144"/>
      <c r="S50" s="3199"/>
      <c r="T50" s="3200"/>
      <c r="Y50" s="1742" t="s">
        <v>6357</v>
      </c>
      <c r="Z50" s="1706">
        <v>50</v>
      </c>
      <c r="AZ50" s="1676" t="s">
        <v>6358</v>
      </c>
    </row>
    <row r="51" spans="1:52" s="223" customFormat="1" ht="15" customHeight="1">
      <c r="A51" s="144"/>
      <c r="B51" s="3236" t="s">
        <v>746</v>
      </c>
      <c r="C51" s="3237"/>
      <c r="D51" s="3277"/>
      <c r="E51" s="3238" t="s">
        <v>7042</v>
      </c>
      <c r="F51" s="3239"/>
      <c r="G51" s="3239"/>
      <c r="H51" s="3240"/>
      <c r="I51" s="3269">
        <v>9987001</v>
      </c>
      <c r="J51" s="3269"/>
      <c r="L51" s="3280">
        <f>'Part III-A-Uses of Funds'!$J$191*10*'Part III-A-Uses of Funds'!$N$182</f>
        <v>9988000</v>
      </c>
      <c r="M51" s="3280"/>
      <c r="N51" s="3281">
        <f>I51-L51</f>
        <v>-999</v>
      </c>
      <c r="O51" s="3281"/>
      <c r="P51" s="324">
        <f>I51/I61</f>
        <v>0.54951884196641487</v>
      </c>
      <c r="Q51" s="144"/>
      <c r="S51" s="3199"/>
      <c r="T51" s="3200"/>
      <c r="Y51" s="1742" t="s">
        <v>6358</v>
      </c>
      <c r="Z51" s="1706">
        <v>51</v>
      </c>
      <c r="AZ51" s="1676" t="s">
        <v>6359</v>
      </c>
    </row>
    <row r="52" spans="1:52" s="223" customFormat="1" ht="15" customHeight="1">
      <c r="A52" s="144"/>
      <c r="B52" s="3236" t="s">
        <v>747</v>
      </c>
      <c r="C52" s="3237"/>
      <c r="D52" s="3277"/>
      <c r="E52" s="3238" t="s">
        <v>7042</v>
      </c>
      <c r="F52" s="3239"/>
      <c r="G52" s="3239"/>
      <c r="H52" s="3240"/>
      <c r="I52" s="3269">
        <v>5107500</v>
      </c>
      <c r="J52" s="3269"/>
      <c r="L52" s="3280">
        <f>'Part III-A-Uses of Funds'!$J$191*10*'Part III-A-Uses of Funds'!$Q$182</f>
        <v>5107500</v>
      </c>
      <c r="M52" s="3280"/>
      <c r="N52" s="3281">
        <f>I52-L52</f>
        <v>0</v>
      </c>
      <c r="O52" s="3281"/>
      <c r="P52" s="324">
        <f>I52/I61</f>
        <v>0.28103206211188564</v>
      </c>
      <c r="Q52" s="144"/>
      <c r="S52" s="3199"/>
      <c r="T52" s="3200"/>
      <c r="Y52" s="1742" t="s">
        <v>6359</v>
      </c>
      <c r="Z52" s="1706">
        <v>52</v>
      </c>
      <c r="AZ52" s="1676" t="s">
        <v>6360</v>
      </c>
    </row>
    <row r="53" spans="1:52" s="223" customFormat="1" ht="15" customHeight="1">
      <c r="A53" s="144"/>
      <c r="B53" s="3236" t="s">
        <v>1331</v>
      </c>
      <c r="C53" s="3237"/>
      <c r="D53" s="3277"/>
      <c r="E53" s="3238"/>
      <c r="F53" s="3239"/>
      <c r="G53" s="3239"/>
      <c r="H53" s="3240"/>
      <c r="I53" s="3269"/>
      <c r="J53" s="3269"/>
      <c r="P53" s="325">
        <f>SUM(P51:P52)</f>
        <v>0.83055090407830057</v>
      </c>
      <c r="Q53" s="144"/>
      <c r="S53" s="3201"/>
      <c r="T53" s="3202"/>
      <c r="Y53" s="1742" t="s">
        <v>6360</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1731</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1732</v>
      </c>
      <c r="C56" s="144"/>
      <c r="D56" s="824"/>
      <c r="E56" s="3238"/>
      <c r="F56" s="3239"/>
      <c r="G56" s="3239"/>
      <c r="H56" s="3240"/>
      <c r="I56" s="3269"/>
      <c r="J56" s="3269"/>
      <c r="M56" s="301"/>
      <c r="N56" s="301"/>
      <c r="O56" s="301"/>
      <c r="P56" s="301"/>
      <c r="Q56" s="144"/>
      <c r="S56" s="3199"/>
      <c r="T56" s="3200"/>
      <c r="Y56" s="1742"/>
      <c r="Z56" s="1706">
        <v>56</v>
      </c>
      <c r="AZ56" s="1676" t="s">
        <v>6361</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6361</v>
      </c>
      <c r="Z57" s="1706">
        <v>57</v>
      </c>
      <c r="AZ57" s="1676" t="s">
        <v>6362</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6362</v>
      </c>
      <c r="Z58" s="1706">
        <v>58</v>
      </c>
      <c r="AZ58" s="1676" t="s">
        <v>6363</v>
      </c>
    </row>
    <row r="59" spans="1:52" s="223" customFormat="1" ht="15" customHeight="1">
      <c r="A59" s="144"/>
      <c r="B59" s="825" t="s">
        <v>690</v>
      </c>
      <c r="C59" s="3258" t="s">
        <v>7045</v>
      </c>
      <c r="D59" s="3258"/>
      <c r="E59" s="3186"/>
      <c r="F59" s="3187"/>
      <c r="G59" s="3187"/>
      <c r="H59" s="3188"/>
      <c r="I59" s="3309">
        <v>110</v>
      </c>
      <c r="J59" s="3309"/>
      <c r="K59" s="144"/>
      <c r="L59" s="248"/>
      <c r="M59" s="301"/>
      <c r="N59" s="301"/>
      <c r="O59" s="301"/>
      <c r="P59" s="301"/>
      <c r="Q59" s="144"/>
      <c r="S59" s="3199"/>
      <c r="T59" s="3200"/>
      <c r="Y59" s="1742" t="s">
        <v>6363</v>
      </c>
      <c r="Z59" s="1706">
        <v>59</v>
      </c>
      <c r="AZ59" s="1676"/>
    </row>
    <row r="60" spans="1:52" s="223" customFormat="1" ht="14.25" customHeight="1">
      <c r="A60" s="144"/>
      <c r="B60" s="246" t="s">
        <v>2047</v>
      </c>
      <c r="C60" s="144"/>
      <c r="D60" s="144"/>
      <c r="E60" s="144"/>
      <c r="F60" s="144"/>
      <c r="G60" s="144"/>
      <c r="I60" s="3310">
        <f>SUM(I40:J45)+SUM(I49:J59)</f>
        <v>18174083</v>
      </c>
      <c r="J60" s="3311"/>
      <c r="K60" s="144"/>
      <c r="L60" s="248"/>
      <c r="M60" s="301"/>
      <c r="N60" s="301"/>
      <c r="O60" s="301"/>
      <c r="P60" s="301"/>
      <c r="Q60" s="144"/>
      <c r="S60" s="3199"/>
      <c r="T60" s="3200"/>
      <c r="Y60" s="1742"/>
      <c r="Z60" s="1706">
        <v>60</v>
      </c>
      <c r="AZ60" s="1676"/>
    </row>
    <row r="61" spans="1:52" s="223" customFormat="1" ht="14.25" customHeight="1" thickBot="1">
      <c r="A61" s="144"/>
      <c r="B61" s="246" t="s">
        <v>2048</v>
      </c>
      <c r="C61" s="144"/>
      <c r="D61" s="144"/>
      <c r="E61" s="144"/>
      <c r="F61" s="144"/>
      <c r="G61" s="144"/>
      <c r="I61" s="3312">
        <f>'Part III-A-Uses of Funds'!$G$146</f>
        <v>18174082.920000002</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7.9999998211860657E-2</v>
      </c>
      <c r="J62" s="3315"/>
      <c r="K62" s="144"/>
      <c r="L62" s="248"/>
      <c r="M62" s="301"/>
      <c r="N62" s="301"/>
      <c r="O62" s="301"/>
      <c r="P62" s="301"/>
      <c r="Q62" s="144"/>
      <c r="S62" s="3201"/>
      <c r="T62" s="3202"/>
      <c r="Y62" s="1742"/>
      <c r="Z62" s="1706">
        <v>62</v>
      </c>
      <c r="AZ62" s="1676"/>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7122</v>
      </c>
      <c r="B66" s="3304"/>
      <c r="C66" s="3304"/>
      <c r="D66" s="3304"/>
      <c r="E66" s="3304"/>
      <c r="F66" s="3304"/>
      <c r="G66" s="3304"/>
      <c r="H66" s="3304"/>
      <c r="I66" s="3304"/>
      <c r="J66" s="3304"/>
      <c r="K66" s="3304"/>
      <c r="L66" s="3304"/>
      <c r="M66" s="3303"/>
      <c r="N66" s="3303"/>
      <c r="O66" s="3303"/>
      <c r="P66" s="3303"/>
      <c r="Q66" s="3303"/>
      <c r="S66" s="3302" t="s">
        <v>2451</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2283</v>
      </c>
      <c r="B16" s="171" t="s">
        <v>2280</v>
      </c>
      <c r="C16" s="171" t="s">
        <v>2281</v>
      </c>
      <c r="D16" s="3326" t="s">
        <v>2081</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2274</v>
      </c>
      <c r="B59" s="3316"/>
      <c r="C59" s="3316"/>
      <c r="D59" s="3316"/>
      <c r="E59" s="3316"/>
      <c r="F59" s="3316"/>
      <c r="G59" s="3316" t="s">
        <v>2274</v>
      </c>
      <c r="H59" s="3316"/>
      <c r="I59" s="3316"/>
      <c r="J59" s="3316"/>
      <c r="K59" s="3316"/>
      <c r="L59" s="3316"/>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2082</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1980</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2081</v>
      </c>
      <c r="D26" s="188"/>
      <c r="E26" s="60"/>
      <c r="F26" s="3329" t="s">
        <v>2081</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2274</v>
      </c>
      <c r="B51" s="3316"/>
      <c r="C51" s="3316"/>
      <c r="D51" s="3316"/>
      <c r="E51" s="3316"/>
      <c r="F51" s="3316"/>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Peaks of Douglas, Douglasville, Douglas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Peaks of Douglas, Douglasville, Douglas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1854</v>
      </c>
      <c r="G9" s="3230">
        <v>7500</v>
      </c>
      <c r="H9" s="3231"/>
      <c r="J9" s="3230">
        <v>7500</v>
      </c>
      <c r="K9" s="3231"/>
      <c r="L9" s="828"/>
      <c r="M9" s="3230"/>
      <c r="N9" s="3231"/>
      <c r="P9" s="3230"/>
      <c r="Q9" s="3231"/>
      <c r="S9" s="3230"/>
      <c r="T9" s="3231"/>
      <c r="V9" s="849"/>
      <c r="W9" s="3342"/>
      <c r="X9" s="3343"/>
      <c r="AZ9" s="1968"/>
      <c r="BA9" s="1706">
        <v>9</v>
      </c>
    </row>
    <row r="10" spans="1:53" s="144" customFormat="1" ht="11.25" customHeight="1">
      <c r="B10" s="144" t="s">
        <v>431</v>
      </c>
      <c r="G10" s="3241">
        <v>8600</v>
      </c>
      <c r="H10" s="3242"/>
      <c r="J10" s="3241">
        <v>8600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14400</v>
      </c>
      <c r="H11" s="3242"/>
      <c r="J11" s="3241">
        <v>14400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10250</v>
      </c>
      <c r="H12" s="3242"/>
      <c r="J12" s="3241">
        <v>10250</v>
      </c>
      <c r="K12" s="3242"/>
      <c r="L12" s="828"/>
      <c r="M12" s="3241"/>
      <c r="N12" s="3242"/>
      <c r="P12" s="3241"/>
      <c r="Q12" s="3242"/>
      <c r="S12" s="3241"/>
      <c r="T12" s="3242"/>
      <c r="V12" s="849"/>
      <c r="W12" s="3342"/>
      <c r="X12" s="3343"/>
      <c r="AZ12" s="1968"/>
      <c r="BA12" s="1706">
        <v>12</v>
      </c>
    </row>
    <row r="13" spans="1:53" s="144" customFormat="1" ht="11.25" customHeight="1">
      <c r="B13" s="144" t="s">
        <v>2300</v>
      </c>
      <c r="G13" s="3241">
        <v>17300</v>
      </c>
      <c r="H13" s="3242"/>
      <c r="J13" s="3241">
        <v>17300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5870</v>
      </c>
      <c r="H14" s="3242"/>
      <c r="J14" s="3241">
        <v>5870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6270</v>
      </c>
      <c r="C15" s="3377" t="s">
        <v>7046</v>
      </c>
      <c r="D15" s="3377"/>
      <c r="E15" s="3377"/>
      <c r="F15" s="3378"/>
      <c r="G15" s="3241">
        <v>7500</v>
      </c>
      <c r="H15" s="3242"/>
      <c r="J15" s="3241">
        <v>7500</v>
      </c>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6364</v>
      </c>
      <c r="BA15" s="1706">
        <v>15</v>
      </c>
    </row>
    <row r="16" spans="1:53" s="144" customFormat="1" ht="11.25" customHeight="1">
      <c r="A16" s="303" t="str">
        <f>IF(AND(G16&gt;0,OR(C16="",C16="&lt;Enter detailed description here; use Comments section if needed&gt;")),"X","")</f>
        <v/>
      </c>
      <c r="B16" s="147" t="s">
        <v>6271</v>
      </c>
      <c r="C16" s="3377" t="s">
        <v>7072</v>
      </c>
      <c r="D16" s="3377"/>
      <c r="E16" s="3377"/>
      <c r="F16" s="3378"/>
      <c r="G16" s="3241">
        <v>5000</v>
      </c>
      <c r="H16" s="3242"/>
      <c r="J16" s="3241">
        <v>5000</v>
      </c>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6365</v>
      </c>
      <c r="BA16" s="1706">
        <v>16</v>
      </c>
    </row>
    <row r="17" spans="1:53" s="144" customFormat="1" ht="11.25" customHeight="1" thickBot="1">
      <c r="A17" s="303" t="str">
        <f>IF(AND(G17&gt;0,OR(C17="",C17="&lt;Enter detailed description here; use Comments section if needed&gt;")),"X","")</f>
        <v/>
      </c>
      <c r="B17" s="147" t="s">
        <v>6272</v>
      </c>
      <c r="C17" s="3377" t="s">
        <v>7073</v>
      </c>
      <c r="D17" s="3377"/>
      <c r="E17" s="3377"/>
      <c r="F17" s="3378"/>
      <c r="G17" s="3340">
        <v>8000</v>
      </c>
      <c r="H17" s="3341"/>
      <c r="J17" s="3340">
        <v>8000</v>
      </c>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6366</v>
      </c>
      <c r="BA17" s="1706">
        <v>17</v>
      </c>
    </row>
    <row r="18" spans="1:53" s="144" customFormat="1" ht="12.6" customHeight="1" thickTop="1">
      <c r="F18" s="281" t="s">
        <v>184</v>
      </c>
      <c r="G18" s="3338">
        <f>SUM(G9:G17)</f>
        <v>84420</v>
      </c>
      <c r="H18" s="3339"/>
      <c r="J18" s="3338">
        <f>SUM(J9:J17)</f>
        <v>84420</v>
      </c>
      <c r="K18" s="3339"/>
      <c r="L18" s="828"/>
      <c r="M18" s="3338">
        <f>SUM(M9:M17)</f>
        <v>0</v>
      </c>
      <c r="N18" s="3339"/>
      <c r="P18" s="3338">
        <f>SUM(P9:P17)</f>
        <v>0</v>
      </c>
      <c r="Q18" s="3339"/>
      <c r="S18" s="3338">
        <f>SUM(S9:S17)</f>
        <v>0</v>
      </c>
      <c r="T18" s="3339"/>
      <c r="V18" s="851">
        <f>SUM(V9:V17)</f>
        <v>0</v>
      </c>
      <c r="W18" s="3351"/>
      <c r="X18" s="3352"/>
      <c r="AZ18" s="1968" t="s">
        <v>6367</v>
      </c>
      <c r="BA18" s="1706">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2037</v>
      </c>
      <c r="E20" s="658" t="s">
        <v>3219</v>
      </c>
      <c r="F20" s="1900">
        <f>IF('Part I-Project Identification'!$O$27="","",G20/'Part I-Project Identification'!$O$27)</f>
        <v>166867.46987951809</v>
      </c>
      <c r="G20" s="3230">
        <v>1800500</v>
      </c>
      <c r="H20" s="3231"/>
      <c r="J20" s="283"/>
      <c r="K20" s="280"/>
      <c r="L20" s="283"/>
      <c r="M20" s="283"/>
      <c r="N20" s="280"/>
      <c r="P20" s="283"/>
      <c r="Q20" s="280"/>
      <c r="S20" s="3230">
        <v>1800500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1800500</v>
      </c>
      <c r="H24" s="3339"/>
      <c r="J24" s="283"/>
      <c r="K24" s="280"/>
      <c r="L24" s="283"/>
      <c r="M24" s="3338">
        <f>SUM(M22:M23)</f>
        <v>0</v>
      </c>
      <c r="N24" s="3339"/>
      <c r="P24" s="283"/>
      <c r="Q24" s="280"/>
      <c r="S24" s="3338">
        <f>SUM(S20:S23)</f>
        <v>1800500</v>
      </c>
      <c r="T24" s="3339"/>
      <c r="V24" s="851">
        <f>SUM(V20:V23)</f>
        <v>0</v>
      </c>
      <c r="W24" s="3351"/>
      <c r="X24" s="3352"/>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244256.62650602413</v>
      </c>
      <c r="G26" s="3230">
        <v>2635529</v>
      </c>
      <c r="H26" s="3231"/>
      <c r="J26" s="3230">
        <v>2503752</v>
      </c>
      <c r="K26" s="3231"/>
      <c r="L26" s="828"/>
      <c r="M26" s="3379"/>
      <c r="N26" s="3380"/>
      <c r="P26" s="3379"/>
      <c r="Q26" s="3380"/>
      <c r="S26" s="3230">
        <v>131777</v>
      </c>
      <c r="T26" s="3231"/>
      <c r="V26" s="849"/>
      <c r="W26" s="3342"/>
      <c r="X26" s="3343"/>
      <c r="AZ26" s="1968"/>
      <c r="BA26" s="1706">
        <v>26</v>
      </c>
    </row>
    <row r="27" spans="1:53" s="144" customFormat="1" ht="11.25" customHeight="1" thickBot="1">
      <c r="B27" s="144" t="s">
        <v>1057</v>
      </c>
      <c r="G27" s="3340">
        <v>83932</v>
      </c>
      <c r="H27" s="3341"/>
      <c r="J27" s="3340">
        <v>83932</v>
      </c>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2719461</v>
      </c>
      <c r="H28" s="3339"/>
      <c r="J28" s="3338">
        <f>SUM(J26:J27)</f>
        <v>2587684</v>
      </c>
      <c r="K28" s="3339"/>
      <c r="L28" s="283"/>
      <c r="M28" s="3338">
        <f>M26</f>
        <v>0</v>
      </c>
      <c r="N28" s="3339"/>
      <c r="P28" s="3338">
        <f>P26</f>
        <v>0</v>
      </c>
      <c r="Q28" s="3339"/>
      <c r="S28" s="3338">
        <f>SUM(S26:S27)</f>
        <v>131777</v>
      </c>
      <c r="T28" s="3339"/>
      <c r="V28" s="851">
        <f>SUM(V26:V27)</f>
        <v>0</v>
      </c>
      <c r="W28" s="3351"/>
      <c r="X28" s="3352"/>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7307466</v>
      </c>
      <c r="H30" s="3231"/>
      <c r="J30" s="3230">
        <v>7307466</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6087</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6085</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2493</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6086</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7307466</v>
      </c>
      <c r="H36" s="3339"/>
      <c r="J36" s="3338">
        <f>SUM(J30:J35)</f>
        <v>7307466</v>
      </c>
      <c r="K36" s="3339"/>
      <c r="L36" s="828"/>
      <c r="M36" s="3338">
        <f>SUM(M30:M35)</f>
        <v>0</v>
      </c>
      <c r="N36" s="3339"/>
      <c r="P36" s="3338">
        <f>SUM(P30:P35)</f>
        <v>0</v>
      </c>
      <c r="Q36" s="3339"/>
      <c r="S36" s="3338">
        <f>SUM(S30:S35)</f>
        <v>0</v>
      </c>
      <c r="T36" s="3339"/>
      <c r="V36" s="851">
        <f>SUM(V30:V35)</f>
        <v>0</v>
      </c>
      <c r="W36" s="3351"/>
      <c r="X36" s="3352"/>
      <c r="AZ36" s="1968" t="s">
        <v>6370</v>
      </c>
      <c r="BA36" s="1706">
        <v>36</v>
      </c>
    </row>
    <row r="37" spans="1:53" s="144" customFormat="1" ht="12" customHeight="1">
      <c r="B37" s="243" t="s">
        <v>2162</v>
      </c>
      <c r="D37" s="3384" t="s">
        <v>3223</v>
      </c>
      <c r="E37" s="3384"/>
      <c r="F37" s="760">
        <f>SUM(F38:F40)</f>
        <v>0.13999982247801346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2163</v>
      </c>
      <c r="D38" s="1947">
        <f>'DCA Underwriting Assumptions'!$R$38</f>
        <v>0.06</v>
      </c>
      <c r="E38" s="1948">
        <f>ROUNDDOWN(D38*(G28+G36),0)</f>
        <v>601615</v>
      </c>
      <c r="F38" s="1949">
        <f>IF(($G$28+$G$36)=0,0,G38/($G$28+$G$36))</f>
        <v>5.9999938166499067E-2</v>
      </c>
      <c r="G38" s="3230">
        <v>601615</v>
      </c>
      <c r="H38" s="3231"/>
      <c r="I38" s="145"/>
      <c r="J38" s="3230">
        <v>601615</v>
      </c>
      <c r="K38" s="3231"/>
      <c r="L38" s="828"/>
      <c r="M38" s="3230"/>
      <c r="N38" s="3231"/>
      <c r="P38" s="3230"/>
      <c r="Q38" s="3231"/>
      <c r="S38" s="3230"/>
      <c r="T38" s="3231"/>
      <c r="V38" s="849"/>
      <c r="W38" s="3342"/>
      <c r="X38" s="3343"/>
      <c r="AZ38" s="1968"/>
      <c r="BA38" s="1706">
        <v>38</v>
      </c>
    </row>
    <row r="39" spans="1:53" s="144" customFormat="1" ht="11.25" customHeight="1">
      <c r="B39" s="144" t="s">
        <v>2474</v>
      </c>
      <c r="D39" s="1947">
        <f>'DCA Underwriting Assumptions'!$R$39</f>
        <v>0.02</v>
      </c>
      <c r="E39" s="1948">
        <f>ROUNDDOWN(D39*(G28+G36),0)</f>
        <v>200538</v>
      </c>
      <c r="F39" s="1949">
        <f>IF(($G$28+$G$36)=0,0,G39/($G$28+$G$36))</f>
        <v>1.9999946145015317E-2</v>
      </c>
      <c r="G39" s="3241">
        <v>200538</v>
      </c>
      <c r="H39" s="3242"/>
      <c r="I39" s="145"/>
      <c r="J39" s="3241">
        <v>200538</v>
      </c>
      <c r="K39" s="3242"/>
      <c r="L39" s="828"/>
      <c r="M39" s="3241"/>
      <c r="N39" s="3242"/>
      <c r="P39" s="3241"/>
      <c r="Q39" s="3242"/>
      <c r="S39" s="3241"/>
      <c r="T39" s="3242"/>
      <c r="V39" s="849"/>
      <c r="W39" s="3342"/>
      <c r="X39" s="3343"/>
      <c r="AZ39" s="1968"/>
      <c r="BA39" s="1706">
        <v>39</v>
      </c>
    </row>
    <row r="40" spans="1:53" s="144" customFormat="1" ht="11.25" customHeight="1" thickBot="1">
      <c r="B40" s="144" t="s">
        <v>2475</v>
      </c>
      <c r="D40" s="1950">
        <f>'DCA Underwriting Assumptions'!$R$40</f>
        <v>0.06</v>
      </c>
      <c r="E40" s="1951">
        <f>ROUNDDOWN(D40*(G28+G36),0)</f>
        <v>601615</v>
      </c>
      <c r="F40" s="1952">
        <f>IF(($G$28+$G$36)=0,0,G40/($G$28+$G$36))</f>
        <v>5.9999938166499067E-2</v>
      </c>
      <c r="G40" s="3340">
        <v>601615</v>
      </c>
      <c r="H40" s="3341"/>
      <c r="I40" s="145"/>
      <c r="J40" s="3340">
        <v>601615</v>
      </c>
      <c r="K40" s="3341"/>
      <c r="L40" s="828"/>
      <c r="M40" s="3340"/>
      <c r="N40" s="3341"/>
      <c r="P40" s="3340"/>
      <c r="Q40" s="3341"/>
      <c r="S40" s="3340"/>
      <c r="T40" s="3341"/>
      <c r="V40" s="849"/>
      <c r="W40" s="3349"/>
      <c r="X40" s="3350"/>
      <c r="AZ40" s="1968"/>
      <c r="BA40" s="1706">
        <v>40</v>
      </c>
    </row>
    <row r="41" spans="1:53" s="144" customFormat="1" ht="12.6" customHeight="1" thickTop="1">
      <c r="B41" s="147" t="s">
        <v>3224</v>
      </c>
      <c r="D41" s="761">
        <f>SUM(D38:D40)</f>
        <v>0.14000000000000001</v>
      </c>
      <c r="E41" s="762">
        <f>SUM(E38:E40)</f>
        <v>1403768</v>
      </c>
      <c r="F41" s="1946" t="s">
        <v>184</v>
      </c>
      <c r="G41" s="3338">
        <f>SUM(G38:G40)</f>
        <v>1403768</v>
      </c>
      <c r="H41" s="3339"/>
      <c r="J41" s="3338">
        <f>SUM(J38:J40)</f>
        <v>1403768</v>
      </c>
      <c r="K41" s="3339"/>
      <c r="L41" s="283"/>
      <c r="M41" s="3338">
        <f>SUM(M38:M40)</f>
        <v>0</v>
      </c>
      <c r="N41" s="3339"/>
      <c r="P41" s="3338">
        <f>SUM(P38:P40)</f>
        <v>0</v>
      </c>
      <c r="Q41" s="3339"/>
      <c r="S41" s="3338">
        <f>SUM(S38:S40)</f>
        <v>0</v>
      </c>
      <c r="T41" s="3339"/>
      <c r="V41" s="851">
        <f>SUM(V38:V40)</f>
        <v>0</v>
      </c>
      <c r="W41" s="3351"/>
      <c r="X41" s="3352"/>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04">
        <f>G28+G36+G41</f>
        <v>11430695</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377" t="s">
        <v>6720</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6373</v>
      </c>
      <c r="BA47" s="1706">
        <v>47</v>
      </c>
    </row>
    <row r="48" spans="1:53" s="144" customFormat="1" ht="12.6" customHeight="1">
      <c r="B48" s="1665" t="s">
        <v>2478</v>
      </c>
      <c r="C48" s="1666"/>
      <c r="E48" s="3396" t="s">
        <v>2477</v>
      </c>
      <c r="F48" s="1667">
        <f>C49/'Part V-Revenues &amp; Expenses'!$P$65</f>
        <v>204119.55357142858</v>
      </c>
      <c r="G48" s="1668" t="s">
        <v>2491</v>
      </c>
      <c r="H48" s="1669"/>
      <c r="I48" s="1669"/>
      <c r="J48" s="3398">
        <f>C49/'Part V-Revenues &amp; Expenses'!$P$67</f>
        <v>204119.55357142858</v>
      </c>
      <c r="K48" s="3398"/>
      <c r="L48" s="1669"/>
      <c r="M48" s="3399" t="s">
        <v>6474</v>
      </c>
      <c r="N48" s="3399"/>
      <c r="O48" s="1669"/>
      <c r="P48" s="3398">
        <f>C49/'Part V-Revenues &amp; Expenses'!$K$175</f>
        <v>205.68422283801777</v>
      </c>
      <c r="Q48" s="3398"/>
      <c r="R48" s="1669"/>
      <c r="S48" s="3400" t="s">
        <v>6476</v>
      </c>
      <c r="T48" s="3401"/>
      <c r="V48" s="852"/>
      <c r="W48" s="3392"/>
      <c r="X48" s="3393"/>
      <c r="AZ48" s="1968"/>
      <c r="BA48" s="1706">
        <v>48</v>
      </c>
    </row>
    <row r="49" spans="1:53" s="144" customFormat="1" ht="12.6" customHeight="1">
      <c r="B49" s="1714" t="s">
        <v>6487</v>
      </c>
      <c r="C49" s="1713">
        <f>G28+G36+G41+G46</f>
        <v>11430695</v>
      </c>
      <c r="E49" s="3397"/>
      <c r="F49" s="1670">
        <f>C49/'Part V-Revenues &amp; Expenses'!$P$166</f>
        <v>258.77694014307707</v>
      </c>
      <c r="G49" s="1671" t="s">
        <v>2492</v>
      </c>
      <c r="H49" s="1672"/>
      <c r="I49" s="1672"/>
      <c r="J49" s="3386">
        <f>C49/'Part V-Revenues &amp; Expenses'!$P$168</f>
        <v>258.77694014307707</v>
      </c>
      <c r="K49" s="3386"/>
      <c r="L49" s="1672"/>
      <c r="M49" s="3387" t="s">
        <v>6475</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2447</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1820</v>
      </c>
      <c r="D55" s="658" t="s">
        <v>3408</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571534.75</v>
      </c>
      <c r="F55" s="1756">
        <f>G55/C49</f>
        <v>0.05</v>
      </c>
      <c r="G55" s="3388">
        <v>571534.75</v>
      </c>
      <c r="H55" s="3389"/>
      <c r="I55" s="144"/>
      <c r="J55" s="3388">
        <v>514381</v>
      </c>
      <c r="K55" s="3389"/>
      <c r="L55" s="828"/>
      <c r="M55" s="3388"/>
      <c r="N55" s="3389"/>
      <c r="O55" s="144"/>
      <c r="P55" s="3388"/>
      <c r="Q55" s="3389"/>
      <c r="R55" s="144"/>
      <c r="S55" s="3388">
        <f>G55-J55</f>
        <v>57153.75</v>
      </c>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6296</v>
      </c>
      <c r="C57" s="1666"/>
      <c r="E57" s="3481" t="s">
        <v>6297</v>
      </c>
      <c r="F57" s="1667">
        <f>B58/'Part V-Revenues &amp; Expenses'!$P$65</f>
        <v>214325.53125</v>
      </c>
      <c r="G57" s="1668" t="s">
        <v>2491</v>
      </c>
      <c r="H57" s="1669"/>
      <c r="I57" s="1669"/>
      <c r="J57" s="3398">
        <f>B58/'Part V-Revenues &amp; Expenses'!$P$67</f>
        <v>214325.53125</v>
      </c>
      <c r="K57" s="3398"/>
      <c r="L57" s="1669"/>
      <c r="M57" s="3399" t="s">
        <v>6474</v>
      </c>
      <c r="N57" s="3399"/>
      <c r="O57" s="1669"/>
      <c r="P57" s="3398">
        <f>B58/'Part V-Revenues &amp; Expenses'!$K$175</f>
        <v>215.96843397991867</v>
      </c>
      <c r="Q57" s="3398"/>
      <c r="R57" s="1669"/>
      <c r="S57" s="3400" t="s">
        <v>6476</v>
      </c>
      <c r="T57" s="3401"/>
      <c r="V57" s="852"/>
      <c r="W57" s="3392"/>
      <c r="X57" s="3393"/>
      <c r="AZ57" s="1968"/>
      <c r="BA57" s="1706">
        <v>54</v>
      </c>
    </row>
    <row r="58" spans="1:53" s="144" customFormat="1" ht="12.6" customHeight="1">
      <c r="B58" s="3479">
        <f>C49+G55</f>
        <v>12002229.75</v>
      </c>
      <c r="C58" s="3480"/>
      <c r="E58" s="3482"/>
      <c r="F58" s="1670">
        <f>B58/'Part V-Revenues &amp; Expenses'!$P$166</f>
        <v>271.71578715023094</v>
      </c>
      <c r="G58" s="1671" t="s">
        <v>2492</v>
      </c>
      <c r="H58" s="1672"/>
      <c r="I58" s="1672"/>
      <c r="J58" s="3386">
        <f>B58/'Part V-Revenues &amp; Expenses'!$P$168</f>
        <v>271.71578715023094</v>
      </c>
      <c r="K58" s="3386"/>
      <c r="L58" s="1672"/>
      <c r="M58" s="3387" t="s">
        <v>6475</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3226</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2165</v>
      </c>
      <c r="G63" s="3241">
        <v>123000</v>
      </c>
      <c r="H63" s="3242"/>
      <c r="J63" s="3241">
        <v>61500</v>
      </c>
      <c r="K63" s="3242"/>
      <c r="L63" s="828"/>
      <c r="M63" s="3241"/>
      <c r="N63" s="3242"/>
      <c r="P63" s="3241"/>
      <c r="Q63" s="3242"/>
      <c r="S63" s="3241">
        <v>61500</v>
      </c>
      <c r="T63" s="3242"/>
      <c r="V63" s="853"/>
      <c r="W63" s="3342"/>
      <c r="X63" s="3343"/>
      <c r="AZ63" s="1968"/>
      <c r="BA63" s="1706">
        <v>63</v>
      </c>
    </row>
    <row r="64" spans="1:53" s="144" customFormat="1" ht="12" customHeight="1">
      <c r="B64" s="144" t="s">
        <v>2166</v>
      </c>
      <c r="G64" s="3241">
        <v>998628</v>
      </c>
      <c r="H64" s="3242"/>
      <c r="J64" s="3241">
        <v>756537</v>
      </c>
      <c r="K64" s="3242"/>
      <c r="L64" s="828"/>
      <c r="M64" s="3241"/>
      <c r="N64" s="3242"/>
      <c r="P64" s="3241"/>
      <c r="Q64" s="3242"/>
      <c r="S64" s="3241">
        <v>242091</v>
      </c>
      <c r="T64" s="3242"/>
      <c r="V64" s="853"/>
      <c r="W64" s="3342"/>
      <c r="X64" s="3343"/>
      <c r="AZ64" s="1968"/>
      <c r="BA64" s="1706">
        <v>64</v>
      </c>
    </row>
    <row r="65" spans="1:53" s="144" customFormat="1" ht="12" customHeight="1">
      <c r="B65" s="144" t="s">
        <v>2167</v>
      </c>
      <c r="G65" s="3241">
        <v>25000</v>
      </c>
      <c r="H65" s="3242"/>
      <c r="J65" s="3241">
        <v>25000</v>
      </c>
      <c r="K65" s="3242"/>
      <c r="L65" s="828"/>
      <c r="M65" s="3241"/>
      <c r="N65" s="3242"/>
      <c r="P65" s="3241"/>
      <c r="Q65" s="3242"/>
      <c r="S65" s="3241">
        <v>0</v>
      </c>
      <c r="T65" s="3242"/>
      <c r="V65" s="853"/>
      <c r="W65" s="3342"/>
      <c r="X65" s="3343"/>
      <c r="AZ65" s="1968" t="s">
        <v>6374</v>
      </c>
      <c r="BA65" s="1706">
        <v>65</v>
      </c>
    </row>
    <row r="66" spans="1:53" s="144" customFormat="1" ht="12" customHeight="1">
      <c r="B66" s="144" t="s">
        <v>2449</v>
      </c>
      <c r="G66" s="3241">
        <v>14250</v>
      </c>
      <c r="H66" s="3242"/>
      <c r="J66" s="3241">
        <v>14250</v>
      </c>
      <c r="K66" s="3242"/>
      <c r="L66" s="828"/>
      <c r="M66" s="3241"/>
      <c r="N66" s="3242"/>
      <c r="P66" s="3241"/>
      <c r="Q66" s="3242"/>
      <c r="S66" s="3241">
        <v>0</v>
      </c>
      <c r="T66" s="3242"/>
      <c r="V66" s="853"/>
      <c r="W66" s="3342"/>
      <c r="X66" s="3343"/>
      <c r="AZ66" s="1968" t="s">
        <v>6375</v>
      </c>
      <c r="BA66" s="1706">
        <v>66</v>
      </c>
    </row>
    <row r="67" spans="1:53" s="144" customFormat="1" ht="12" customHeight="1">
      <c r="B67" s="144" t="s">
        <v>676</v>
      </c>
      <c r="G67" s="3241">
        <v>22400</v>
      </c>
      <c r="H67" s="3242"/>
      <c r="J67" s="3241">
        <v>22400</v>
      </c>
      <c r="K67" s="3242"/>
      <c r="L67" s="828"/>
      <c r="M67" s="3241"/>
      <c r="N67" s="3242"/>
      <c r="P67" s="3241"/>
      <c r="Q67" s="3242"/>
      <c r="S67" s="3241">
        <v>0</v>
      </c>
      <c r="T67" s="3242"/>
      <c r="V67" s="853"/>
      <c r="W67" s="3342"/>
      <c r="X67" s="3343"/>
      <c r="AZ67" s="1968" t="s">
        <v>6376</v>
      </c>
      <c r="BA67" s="1706">
        <v>67</v>
      </c>
    </row>
    <row r="68" spans="1:53" s="144" customFormat="1" ht="12" customHeight="1">
      <c r="B68" s="144" t="s">
        <v>2168</v>
      </c>
      <c r="G68" s="3241">
        <v>30000</v>
      </c>
      <c r="H68" s="3242"/>
      <c r="J68" s="3241">
        <v>5000</v>
      </c>
      <c r="K68" s="3242"/>
      <c r="L68" s="828"/>
      <c r="M68" s="3241"/>
      <c r="N68" s="3242"/>
      <c r="P68" s="3241"/>
      <c r="Q68" s="3242"/>
      <c r="S68" s="3241">
        <v>25000</v>
      </c>
      <c r="T68" s="3242"/>
      <c r="V68" s="853"/>
      <c r="W68" s="3342"/>
      <c r="X68" s="3343"/>
      <c r="AZ68" s="1968"/>
      <c r="BA68" s="1706">
        <v>68</v>
      </c>
    </row>
    <row r="69" spans="1:53" s="144" customFormat="1" ht="12" customHeight="1">
      <c r="B69" s="144" t="s">
        <v>1200</v>
      </c>
      <c r="G69" s="3241">
        <v>73611</v>
      </c>
      <c r="H69" s="3242"/>
      <c r="J69" s="3241">
        <v>73611</v>
      </c>
      <c r="K69" s="3242"/>
      <c r="L69" s="828"/>
      <c r="M69" s="3241"/>
      <c r="N69" s="3242"/>
      <c r="P69" s="3241"/>
      <c r="Q69" s="3242"/>
      <c r="S69" s="3241">
        <v>0</v>
      </c>
      <c r="T69" s="3242"/>
      <c r="V69" s="853"/>
      <c r="W69" s="3342"/>
      <c r="X69" s="3343"/>
      <c r="AZ69" s="1968"/>
      <c r="BA69" s="1706">
        <v>69</v>
      </c>
    </row>
    <row r="70" spans="1:53" s="144" customFormat="1" ht="12" customHeight="1">
      <c r="B70" s="287" t="s">
        <v>1085</v>
      </c>
      <c r="D70" s="285"/>
      <c r="E70" s="285"/>
      <c r="F70" s="286"/>
      <c r="G70" s="3241">
        <v>85730</v>
      </c>
      <c r="H70" s="3242"/>
      <c r="I70" s="145"/>
      <c r="J70" s="3241">
        <v>85730</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6275</v>
      </c>
      <c r="C71" s="3408" t="s">
        <v>6720</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6276</v>
      </c>
      <c r="C72" s="3406" t="s">
        <v>6720</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1372619</v>
      </c>
      <c r="H73" s="3339"/>
      <c r="J73" s="3338">
        <f>SUM(J61:J72)</f>
        <v>1044028</v>
      </c>
      <c r="K73" s="3339"/>
      <c r="L73" s="283"/>
      <c r="M73" s="3338">
        <f>SUM(M61:M72)</f>
        <v>0</v>
      </c>
      <c r="N73" s="3339"/>
      <c r="P73" s="3338">
        <f>SUM(P61:P72)</f>
        <v>0</v>
      </c>
      <c r="Q73" s="3339"/>
      <c r="S73" s="3338">
        <f>SUM(S61:S72)</f>
        <v>328591</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153440</v>
      </c>
      <c r="H75" s="3231"/>
      <c r="J75" s="3230">
        <v>153440</v>
      </c>
      <c r="K75" s="3231"/>
      <c r="L75" s="828"/>
      <c r="M75" s="3230"/>
      <c r="N75" s="3231"/>
      <c r="P75" s="3230"/>
      <c r="Q75" s="3231"/>
      <c r="S75" s="3230"/>
      <c r="T75" s="3231"/>
      <c r="V75" s="849"/>
      <c r="W75" s="3342"/>
      <c r="X75" s="3343"/>
      <c r="AZ75" s="1968"/>
      <c r="BA75" s="1706">
        <v>75</v>
      </c>
    </row>
    <row r="76" spans="1:53" s="144" customFormat="1" ht="12" customHeight="1">
      <c r="B76" s="144" t="s">
        <v>451</v>
      </c>
      <c r="G76" s="3241">
        <v>38360</v>
      </c>
      <c r="H76" s="3242"/>
      <c r="J76" s="3241">
        <v>38360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24600</v>
      </c>
      <c r="H77" s="3242"/>
      <c r="J77" s="3241">
        <v>24600</v>
      </c>
      <c r="K77" s="3242"/>
      <c r="L77" s="828"/>
      <c r="M77" s="3241"/>
      <c r="N77" s="3242"/>
      <c r="P77" s="3241"/>
      <c r="Q77" s="3242"/>
      <c r="S77" s="3241"/>
      <c r="T77" s="3242"/>
      <c r="V77" s="849"/>
      <c r="W77" s="3342"/>
      <c r="X77" s="3343"/>
      <c r="AZ77" s="1968"/>
      <c r="BA77" s="1706">
        <v>77</v>
      </c>
    </row>
    <row r="78" spans="1:53" s="144" customFormat="1" ht="12" customHeight="1">
      <c r="B78" s="144" t="s">
        <v>1062</v>
      </c>
      <c r="G78" s="3241">
        <v>4200</v>
      </c>
      <c r="H78" s="3242"/>
      <c r="J78" s="3241">
        <v>4200</v>
      </c>
      <c r="K78" s="3242"/>
      <c r="L78" s="828"/>
      <c r="M78" s="3241"/>
      <c r="N78" s="3242"/>
      <c r="P78" s="3241"/>
      <c r="Q78" s="3242"/>
      <c r="S78" s="3241"/>
      <c r="T78" s="3242"/>
      <c r="V78" s="849"/>
      <c r="W78" s="3342"/>
      <c r="X78" s="3343"/>
      <c r="AZ78" s="1968"/>
      <c r="BA78" s="1706">
        <v>78</v>
      </c>
    </row>
    <row r="79" spans="1:53" s="144" customFormat="1" ht="12" customHeight="1">
      <c r="B79" s="144" t="s">
        <v>1063</v>
      </c>
      <c r="G79" s="3241">
        <v>8200</v>
      </c>
      <c r="H79" s="3242"/>
      <c r="J79" s="3241">
        <v>8200</v>
      </c>
      <c r="K79" s="3242"/>
      <c r="L79" s="828"/>
      <c r="M79" s="3241"/>
      <c r="N79" s="3242"/>
      <c r="P79" s="3241"/>
      <c r="Q79" s="3242"/>
      <c r="S79" s="3241"/>
      <c r="T79" s="3242"/>
      <c r="V79" s="849"/>
      <c r="W79" s="3342"/>
      <c r="X79" s="3343"/>
      <c r="AZ79" s="1968" t="s">
        <v>6377</v>
      </c>
      <c r="BA79" s="1706">
        <v>79</v>
      </c>
    </row>
    <row r="80" spans="1:53" s="144" customFormat="1" ht="12" customHeight="1">
      <c r="B80" s="144" t="s">
        <v>1064</v>
      </c>
      <c r="G80" s="3241">
        <v>45000</v>
      </c>
      <c r="H80" s="3242"/>
      <c r="J80" s="3241">
        <v>45000</v>
      </c>
      <c r="K80" s="3242"/>
      <c r="L80" s="828"/>
      <c r="M80" s="3241"/>
      <c r="N80" s="3242"/>
      <c r="P80" s="3241"/>
      <c r="Q80" s="3242"/>
      <c r="S80" s="3241"/>
      <c r="T80" s="3242"/>
      <c r="V80" s="849"/>
      <c r="W80" s="3342"/>
      <c r="X80" s="3343"/>
      <c r="AZ80" s="1968" t="s">
        <v>6378</v>
      </c>
      <c r="BA80" s="1706">
        <v>80</v>
      </c>
    </row>
    <row r="81" spans="1:53" s="144" customFormat="1" ht="12" customHeight="1">
      <c r="B81" s="144" t="s">
        <v>452</v>
      </c>
      <c r="G81" s="3241">
        <v>96900</v>
      </c>
      <c r="H81" s="3242"/>
      <c r="J81" s="3241">
        <v>96900</v>
      </c>
      <c r="K81" s="3242"/>
      <c r="L81" s="828"/>
      <c r="M81" s="3241"/>
      <c r="N81" s="3242"/>
      <c r="P81" s="3241"/>
      <c r="Q81" s="3242"/>
      <c r="S81" s="3241"/>
      <c r="T81" s="3242"/>
      <c r="V81" s="849"/>
      <c r="W81" s="3342"/>
      <c r="X81" s="3343"/>
      <c r="AZ81" s="744"/>
      <c r="BA81" s="1706">
        <v>81</v>
      </c>
    </row>
    <row r="82" spans="1:53" s="144" customFormat="1" ht="12" customHeight="1">
      <c r="B82" s="144" t="s">
        <v>453</v>
      </c>
      <c r="G82" s="3241">
        <v>60000</v>
      </c>
      <c r="H82" s="3242"/>
      <c r="J82" s="3241">
        <v>60000</v>
      </c>
      <c r="K82" s="3242"/>
      <c r="L82" s="828"/>
      <c r="M82" s="3241"/>
      <c r="N82" s="3242"/>
      <c r="P82" s="3241"/>
      <c r="Q82" s="3242"/>
      <c r="S82" s="3241"/>
      <c r="T82" s="3242"/>
      <c r="V82" s="849"/>
      <c r="W82" s="3342"/>
      <c r="X82" s="3343"/>
      <c r="AZ82" s="1968"/>
      <c r="BA82" s="1706">
        <v>82</v>
      </c>
    </row>
    <row r="83" spans="1:53" s="144" customFormat="1" ht="12" customHeight="1">
      <c r="B83" s="144" t="s">
        <v>1898</v>
      </c>
      <c r="G83" s="3241">
        <v>29500</v>
      </c>
      <c r="H83" s="3242"/>
      <c r="J83" s="3241">
        <v>29500</v>
      </c>
      <c r="K83" s="3242"/>
      <c r="L83" s="828"/>
      <c r="M83" s="3241"/>
      <c r="N83" s="3242"/>
      <c r="P83" s="3241"/>
      <c r="Q83" s="3242"/>
      <c r="S83" s="3241"/>
      <c r="T83" s="3242"/>
      <c r="V83" s="849"/>
      <c r="W83" s="3342"/>
      <c r="X83" s="3343"/>
      <c r="AZ83" s="1968"/>
      <c r="BA83" s="1706">
        <v>83</v>
      </c>
    </row>
    <row r="84" spans="1:53" s="144" customFormat="1" ht="12" customHeight="1">
      <c r="B84" s="144" t="s">
        <v>1201</v>
      </c>
      <c r="G84" s="3241">
        <v>9500</v>
      </c>
      <c r="H84" s="3242"/>
      <c r="J84" s="3241">
        <v>9500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6277</v>
      </c>
      <c r="C85" s="3377" t="s">
        <v>6720</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469700</v>
      </c>
      <c r="H86" s="3339"/>
      <c r="J86" s="3338">
        <f>SUM(J75:J85)</f>
        <v>469700</v>
      </c>
      <c r="K86" s="3339"/>
      <c r="L86" s="283"/>
      <c r="M86" s="3338">
        <f>SUM(M75:M85)</f>
        <v>0</v>
      </c>
      <c r="N86" s="3339"/>
      <c r="P86" s="3338">
        <f>SUM(P75:P85)</f>
        <v>0</v>
      </c>
      <c r="Q86" s="3339"/>
      <c r="S86" s="3338">
        <f>SUM(S75:S85)</f>
        <v>0</v>
      </c>
      <c r="T86" s="3339"/>
      <c r="V86" s="851">
        <f>SUM(V75:V85)</f>
        <v>0</v>
      </c>
      <c r="W86" s="3351"/>
      <c r="X86" s="3352"/>
      <c r="AZ86" s="1968" t="s">
        <v>6379</v>
      </c>
      <c r="BA86" s="1706">
        <v>86</v>
      </c>
    </row>
    <row r="87" spans="1:53" ht="12" customHeight="1">
      <c r="A87" s="144"/>
      <c r="B87" s="243" t="s">
        <v>1193</v>
      </c>
      <c r="C87" s="144"/>
      <c r="D87" s="690" t="s">
        <v>3227</v>
      </c>
      <c r="E87" s="763">
        <f>G92/'Part V-Revenues &amp; Expenses'!$P$67</f>
        <v>3764.2887499999997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20761.39</v>
      </c>
      <c r="H88" s="3231"/>
      <c r="J88" s="3230">
        <v>20761.39</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2651</v>
      </c>
      <c r="G90" s="3241">
        <v>32538.78</v>
      </c>
      <c r="H90" s="3242"/>
      <c r="I90" s="145"/>
      <c r="J90" s="3241">
        <v>32538.78</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2651</v>
      </c>
      <c r="G91" s="3189">
        <v>157500</v>
      </c>
      <c r="H91" s="3190"/>
      <c r="I91" s="145"/>
      <c r="J91" s="3189">
        <v>157500</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210800.16999999998</v>
      </c>
      <c r="H92" s="3339"/>
      <c r="J92" s="3338">
        <f>SUM(J88:J91)</f>
        <v>210800.16999999998</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30">
        <v>34000</v>
      </c>
      <c r="H97" s="3231"/>
      <c r="J97" s="3410"/>
      <c r="K97" s="3410"/>
      <c r="L97" s="828"/>
      <c r="M97" s="3410"/>
      <c r="N97" s="3410"/>
      <c r="P97" s="3410"/>
      <c r="Q97" s="3410"/>
      <c r="S97" s="3230">
        <v>34000</v>
      </c>
      <c r="T97" s="3231"/>
      <c r="V97" s="849"/>
      <c r="W97" s="3342"/>
      <c r="X97" s="3343"/>
      <c r="AZ97" s="1968" t="s">
        <v>6381</v>
      </c>
      <c r="BA97" s="1706">
        <v>97</v>
      </c>
    </row>
    <row r="98" spans="1:53" s="144" customFormat="1" ht="12" customHeight="1">
      <c r="B98" s="144" t="s">
        <v>1199</v>
      </c>
      <c r="G98" s="3241">
        <v>15000</v>
      </c>
      <c r="H98" s="3242"/>
      <c r="J98" s="3410"/>
      <c r="K98" s="3410"/>
      <c r="L98" s="828"/>
      <c r="M98" s="3410"/>
      <c r="N98" s="3410"/>
      <c r="P98" s="3410"/>
      <c r="Q98" s="3410"/>
      <c r="S98" s="3241">
        <v>15000</v>
      </c>
      <c r="T98" s="3242"/>
      <c r="V98" s="849"/>
      <c r="W98" s="3342"/>
      <c r="X98" s="3343"/>
      <c r="AZ98" s="1968"/>
      <c r="BA98" s="1706">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2120</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6278</v>
      </c>
      <c r="C102" s="3377" t="s">
        <v>6720</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49000</v>
      </c>
      <c r="H103" s="3339"/>
      <c r="J103" s="3410"/>
      <c r="K103" s="3410"/>
      <c r="L103" s="283"/>
      <c r="M103" s="3410"/>
      <c r="N103" s="3410"/>
      <c r="P103" s="3410"/>
      <c r="Q103" s="3410"/>
      <c r="S103" s="3338">
        <f>SUM(S97:S102)</f>
        <v>49000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6702</v>
      </c>
      <c r="AA105" s="236" t="s">
        <v>6644</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13000</v>
      </c>
      <c r="H106" s="3242"/>
      <c r="J106" s="283"/>
      <c r="K106" s="283"/>
      <c r="L106" s="290"/>
      <c r="M106" s="283"/>
      <c r="N106" s="283"/>
      <c r="P106" s="283"/>
      <c r="Q106" s="283"/>
      <c r="S106" s="3241">
        <v>13000</v>
      </c>
      <c r="T106" s="3242"/>
      <c r="V106" s="849"/>
      <c r="W106" s="3342"/>
      <c r="X106" s="3343"/>
      <c r="Y106" s="3331"/>
      <c r="AA106" s="1931" t="s">
        <v>3150</v>
      </c>
      <c r="AB106" s="1931"/>
      <c r="AC106" s="1931"/>
      <c r="AD106" s="1932">
        <f>'Part V-Revenues &amp; Expenses'!$P$67</f>
        <v>56</v>
      </c>
      <c r="AZ106" s="1968" t="s">
        <v>6382</v>
      </c>
      <c r="BA106" s="1706">
        <v>106</v>
      </c>
    </row>
    <row r="107" spans="1:53" s="144" customFormat="1" ht="12.6" customHeight="1">
      <c r="B107" s="144" t="s">
        <v>3317</v>
      </c>
      <c r="G107" s="3241"/>
      <c r="H107" s="3242"/>
      <c r="J107" s="283"/>
      <c r="K107" s="283"/>
      <c r="L107" s="290"/>
      <c r="M107" s="283"/>
      <c r="N107" s="283"/>
      <c r="P107" s="283"/>
      <c r="Q107" s="283"/>
      <c r="S107" s="3241"/>
      <c r="T107" s="3242"/>
      <c r="V107" s="849"/>
      <c r="W107" s="3342"/>
      <c r="X107" s="3343"/>
      <c r="Y107" s="3331"/>
      <c r="Z107" s="301"/>
      <c r="AA107" s="225" t="s">
        <v>6707</v>
      </c>
      <c r="AB107" s="147"/>
      <c r="AC107" s="147"/>
      <c r="AD107" s="147"/>
      <c r="AF107" s="1936" t="s">
        <v>6708</v>
      </c>
      <c r="AZ107" s="1968" t="s">
        <v>6383</v>
      </c>
      <c r="BA107" s="1706">
        <v>107</v>
      </c>
    </row>
    <row r="108" spans="1:53" s="144" customFormat="1" ht="12.6" customHeight="1">
      <c r="B108" s="144" t="s">
        <v>486</v>
      </c>
      <c r="E108" s="3411">
        <f>ROUNDUP('DCA Underwriting Assumptions'!$Q$56*J191,0)</f>
        <v>90800</v>
      </c>
      <c r="F108" s="3412"/>
      <c r="G108" s="3241">
        <v>90800</v>
      </c>
      <c r="H108" s="3242"/>
      <c r="J108" s="764" t="str">
        <f>IF(E108&gt;G108,"WARNING!  LIHTC Allocation Fee proposed is below minimum required.","")</f>
        <v/>
      </c>
      <c r="K108" s="283"/>
      <c r="L108" s="828"/>
      <c r="M108" s="283"/>
      <c r="N108" s="283"/>
      <c r="P108" s="283"/>
      <c r="Q108" s="283"/>
      <c r="S108" s="3241">
        <v>90800</v>
      </c>
      <c r="T108" s="3242"/>
      <c r="V108" s="849"/>
      <c r="W108" s="3342"/>
      <c r="X108" s="3343"/>
      <c r="Y108" s="3331"/>
      <c r="Z108" s="301"/>
      <c r="AA108" s="147" t="s">
        <v>6703</v>
      </c>
      <c r="AB108" s="147"/>
      <c r="AC108" s="147"/>
      <c r="AD108" s="234">
        <f>'Part V-Revenues &amp; Expenses'!P136+'Part V-Revenues &amp; Expenses'!P137</f>
        <v>0</v>
      </c>
      <c r="AF108" s="1934">
        <f>AD108*'DCA Underwriting Assumptions'!$Q$63</f>
        <v>0</v>
      </c>
      <c r="AZ108" s="1968" t="s">
        <v>6384</v>
      </c>
      <c r="BA108" s="1706">
        <v>108</v>
      </c>
    </row>
    <row r="109" spans="1:53" s="144" customFormat="1" ht="12.6" customHeight="1">
      <c r="B109" s="144" t="s">
        <v>702</v>
      </c>
      <c r="E109" s="3411">
        <f>AF111+AF115</f>
        <v>44800</v>
      </c>
      <c r="F109" s="3412"/>
      <c r="G109" s="3241">
        <v>56000</v>
      </c>
      <c r="H109" s="3242"/>
      <c r="I109" s="3346" t="str">
        <f>IF(E109&gt;G109,"WARNING!  LIHTC Compliance Fee proposed is below minimum required.","")</f>
        <v/>
      </c>
      <c r="J109" s="3347"/>
      <c r="K109" s="3347"/>
      <c r="L109" s="3347"/>
      <c r="M109" s="3347"/>
      <c r="N109" s="3347"/>
      <c r="O109" s="3347"/>
      <c r="P109" s="3347"/>
      <c r="Q109" s="3347"/>
      <c r="R109" s="3348"/>
      <c r="S109" s="3241">
        <v>56000</v>
      </c>
      <c r="T109" s="3242"/>
      <c r="V109" s="849"/>
      <c r="W109" s="3342"/>
      <c r="X109" s="3343"/>
      <c r="Y109" s="3331"/>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3448</v>
      </c>
      <c r="F110" s="969"/>
      <c r="G110" s="3241"/>
      <c r="H110" s="3242"/>
      <c r="I110" s="3346"/>
      <c r="J110" s="3347"/>
      <c r="K110" s="3347"/>
      <c r="L110" s="3347"/>
      <c r="M110" s="3347"/>
      <c r="N110" s="3347"/>
      <c r="O110" s="3347"/>
      <c r="P110" s="3347"/>
      <c r="Q110" s="3347"/>
      <c r="R110" s="3348"/>
      <c r="S110" s="3241"/>
      <c r="T110" s="3242"/>
      <c r="V110" s="849"/>
      <c r="W110" s="3342"/>
      <c r="X110" s="3343"/>
      <c r="Y110" s="3331"/>
      <c r="AA110" s="147" t="s">
        <v>6704</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6705</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6274</v>
      </c>
      <c r="C112" s="3408" t="s">
        <v>6720</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6706</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6274</v>
      </c>
      <c r="C113" s="3406" t="s">
        <v>6720</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48</v>
      </c>
      <c r="AF113" s="1934">
        <f>IF($AD$105="Income Averaging",AD113*'DCA Underwriting Assumptions'!$Q$61,AD113*'DCA Underwriting Assumptions'!$Q$60)</f>
        <v>38400</v>
      </c>
      <c r="AZ113" s="1968" t="s">
        <v>6385</v>
      </c>
      <c r="BA113" s="1706">
        <v>113</v>
      </c>
    </row>
    <row r="114" spans="1:53" s="144" customFormat="1" ht="12.6" customHeight="1" thickTop="1">
      <c r="F114" s="281" t="s">
        <v>184</v>
      </c>
      <c r="G114" s="3338">
        <f>SUM(G105:G113)</f>
        <v>167800</v>
      </c>
      <c r="H114" s="3339"/>
      <c r="J114" s="283"/>
      <c r="K114" s="283"/>
      <c r="L114" s="828"/>
      <c r="M114" s="283"/>
      <c r="N114" s="283"/>
      <c r="P114" s="283"/>
      <c r="Q114" s="283"/>
      <c r="S114" s="3338">
        <f>SUM(S105:S113)</f>
        <v>167800</v>
      </c>
      <c r="T114" s="3339"/>
      <c r="V114" s="851">
        <f>SUM(V105:V113)</f>
        <v>0</v>
      </c>
      <c r="W114" s="3465"/>
      <c r="X114" s="3466"/>
      <c r="AA114" s="147" t="s">
        <v>6480</v>
      </c>
      <c r="AB114" s="147"/>
      <c r="AC114" s="241"/>
      <c r="AD114" s="234">
        <f>'Part V-Revenues &amp; Expenses'!$P$138+'Part V-Revenues &amp; Expenses'!$P$139</f>
        <v>8</v>
      </c>
      <c r="AF114" s="1934">
        <f>IF($AD$105="Income Averaging",AD114*'DCA Underwriting Assumptions'!$Q$61,AD114*'DCA Underwriting Assumptions'!$Q$60)</f>
        <v>6400</v>
      </c>
      <c r="AZ114" s="1968" t="s">
        <v>6386</v>
      </c>
      <c r="BA114" s="1706">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5" t="s">
        <v>6705</v>
      </c>
      <c r="AC115" s="147"/>
      <c r="AD115" s="1933">
        <f>SUM(AD113:AD114)</f>
        <v>56</v>
      </c>
      <c r="AF115" s="1935">
        <f>SUM(AF113:AF114)</f>
        <v>44800</v>
      </c>
      <c r="AZ115" s="1959"/>
      <c r="BA115" s="1706">
        <v>115</v>
      </c>
    </row>
    <row r="116" spans="1:53" s="144" customFormat="1" ht="12.6" customHeight="1">
      <c r="B116" s="144" t="s">
        <v>267</v>
      </c>
      <c r="G116" s="3230">
        <v>3000</v>
      </c>
      <c r="H116" s="3231"/>
      <c r="J116" s="3410"/>
      <c r="K116" s="3410"/>
      <c r="L116" s="828"/>
      <c r="M116" s="3410"/>
      <c r="N116" s="3410"/>
      <c r="P116" s="3410"/>
      <c r="Q116" s="3410"/>
      <c r="S116" s="3230">
        <v>3000</v>
      </c>
      <c r="T116" s="3231"/>
      <c r="V116" s="849"/>
      <c r="W116" s="3342"/>
      <c r="X116" s="3343"/>
      <c r="AZ116" s="1959"/>
      <c r="BA116" s="1706">
        <v>116</v>
      </c>
    </row>
    <row r="117" spans="1:53" s="144" customFormat="1" ht="12.6" customHeight="1">
      <c r="B117" s="144" t="s">
        <v>268</v>
      </c>
      <c r="G117" s="3241">
        <v>10000</v>
      </c>
      <c r="H117" s="3242"/>
      <c r="J117" s="3410"/>
      <c r="K117" s="3410"/>
      <c r="L117" s="828"/>
      <c r="M117" s="3410"/>
      <c r="N117" s="3410"/>
      <c r="P117" s="3410"/>
      <c r="Q117" s="3410"/>
      <c r="S117" s="3241">
        <v>10000</v>
      </c>
      <c r="T117" s="3242"/>
      <c r="V117" s="849"/>
      <c r="W117" s="3342"/>
      <c r="X117" s="3343"/>
      <c r="AZ117" s="1959"/>
      <c r="BA117" s="1706">
        <v>117</v>
      </c>
    </row>
    <row r="118" spans="1:53" s="144" customFormat="1" ht="12.6" customHeight="1">
      <c r="B118" s="144" t="s">
        <v>2199</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6274</v>
      </c>
      <c r="C119" s="3377" t="s">
        <v>6720</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13000</v>
      </c>
      <c r="H120" s="3339"/>
      <c r="J120" s="3410"/>
      <c r="K120" s="3410"/>
      <c r="L120" s="828"/>
      <c r="M120" s="3410"/>
      <c r="N120" s="3410"/>
      <c r="P120" s="3410"/>
      <c r="Q120" s="3410"/>
      <c r="S120" s="3338">
        <f>SUM(S116:S119)</f>
        <v>13000</v>
      </c>
      <c r="T120" s="3339"/>
      <c r="V120" s="851">
        <f>SUM(V116:V119)</f>
        <v>0</v>
      </c>
      <c r="W120" s="3351"/>
      <c r="X120" s="3352"/>
      <c r="AC120" s="3362" t="s">
        <v>3921</v>
      </c>
      <c r="AD120" s="3362" t="s">
        <v>3922</v>
      </c>
      <c r="AE120" s="3376" t="s">
        <v>3925</v>
      </c>
      <c r="AF120" s="3368" t="s">
        <v>3923</v>
      </c>
      <c r="AG120" s="3376" t="s">
        <v>3914</v>
      </c>
      <c r="AH120" s="3488" t="s">
        <v>6741</v>
      </c>
      <c r="AI120" s="3488"/>
      <c r="AZ120" s="1959"/>
      <c r="BA120" s="1706">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363"/>
      <c r="AD121" s="3363"/>
      <c r="AE121" s="3170"/>
      <c r="AF121" s="3369"/>
      <c r="AG121" s="3376"/>
      <c r="AH121" s="3488"/>
      <c r="AI121" s="3488"/>
      <c r="AK121" s="44"/>
      <c r="AZ121" s="1959" t="s">
        <v>6387</v>
      </c>
      <c r="BA121" s="1706">
        <v>121</v>
      </c>
    </row>
    <row r="122" spans="1:53" s="144" customFormat="1" ht="12.6" customHeight="1">
      <c r="B122" s="144" t="s">
        <v>1723</v>
      </c>
      <c r="F122" s="323">
        <f>IF($G$127=0,0,G122/$G$127)</f>
        <v>0.2</v>
      </c>
      <c r="G122" s="3413">
        <v>301400</v>
      </c>
      <c r="H122" s="3413"/>
      <c r="J122" s="3414">
        <v>301400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1507000</v>
      </c>
      <c r="AG122" s="3497">
        <f>'DCA Underwriting Assumptions'!$Q$74</f>
        <v>2000000</v>
      </c>
      <c r="AH122" s="3489">
        <f>MIN(AF122,AG122)</f>
        <v>1507000</v>
      </c>
      <c r="AI122" s="3490"/>
      <c r="AZ122" s="1959"/>
      <c r="BA122" s="1706">
        <v>122</v>
      </c>
    </row>
    <row r="123" spans="1:53" s="144" customFormat="1" ht="12.6" customHeight="1">
      <c r="B123" s="144" t="s">
        <v>3410</v>
      </c>
      <c r="F123" s="949"/>
      <c r="G123" s="241" t="s">
        <v>6721</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371"/>
      <c r="AG123" s="3498"/>
      <c r="AH123" s="3491"/>
      <c r="AI123" s="3492"/>
      <c r="AZ123" s="1959"/>
      <c r="BA123" s="1706">
        <v>123</v>
      </c>
    </row>
    <row r="124" spans="1:53" s="144" customFormat="1" ht="12.6" customHeight="1">
      <c r="B124" s="144" t="s">
        <v>1724</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3162</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1507000</v>
      </c>
      <c r="AG125" s="3370">
        <f>'DCA Underwriting Assumptions'!$Q$75</f>
        <v>3500000</v>
      </c>
      <c r="AH125" s="3489">
        <f>MIN(AF125,AG125)</f>
        <v>1507000</v>
      </c>
      <c r="AI125" s="3490"/>
      <c r="AZ125" s="1959"/>
      <c r="BA125" s="1706">
        <v>125</v>
      </c>
    </row>
    <row r="126" spans="1:53" s="144" customFormat="1" ht="12.6" customHeight="1" thickBot="1">
      <c r="B126" s="144" t="s">
        <v>1716</v>
      </c>
      <c r="F126" s="323">
        <f>IF($G$127=0,0,G126/$G$127)</f>
        <v>0.8</v>
      </c>
      <c r="G126" s="3189">
        <v>1205600</v>
      </c>
      <c r="H126" s="3190"/>
      <c r="J126" s="3189">
        <v>1205600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3920</v>
      </c>
      <c r="E127" s="1954">
        <f>IF(AF122+AF125=0,"Fill in Rent Chart!",IF(F121="9%",AH122,IF(F121="4%",AH125,"Select App Type!")))</f>
        <v>1507000</v>
      </c>
      <c r="F127" s="281" t="s">
        <v>184</v>
      </c>
      <c r="G127" s="3338">
        <f>SUM(G122:G126)</f>
        <v>1507000</v>
      </c>
      <c r="H127" s="3416"/>
      <c r="J127" s="3338">
        <f>SUM(J122:J126)</f>
        <v>1507000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 customHeight="1">
      <c r="B129" s="144" t="s">
        <v>241</v>
      </c>
      <c r="G129" s="3230">
        <v>20000</v>
      </c>
      <c r="H129" s="3231"/>
      <c r="J129" s="291"/>
      <c r="K129" s="291"/>
      <c r="L129" s="291"/>
      <c r="M129" s="291"/>
      <c r="N129" s="291"/>
      <c r="P129" s="291"/>
      <c r="Q129" s="291"/>
      <c r="S129" s="3230">
        <v>20000</v>
      </c>
      <c r="T129" s="3231"/>
      <c r="V129" s="849"/>
      <c r="W129" s="3342"/>
      <c r="X129" s="3343"/>
      <c r="Z129" s="1306"/>
      <c r="AB129" s="44"/>
      <c r="AC129"/>
      <c r="AD129"/>
      <c r="AF129"/>
      <c r="AG129"/>
      <c r="AH129"/>
      <c r="AI129"/>
      <c r="AJ129"/>
      <c r="AK129"/>
      <c r="AZ129" s="1968" t="s">
        <v>6389</v>
      </c>
      <c r="BA129" s="1706">
        <v>129</v>
      </c>
    </row>
    <row r="130" spans="1:53" s="144" customFormat="1" ht="12.6" customHeight="1">
      <c r="B130" s="144" t="s">
        <v>1436</v>
      </c>
      <c r="F130" s="365">
        <f>+'Part V-Revenues &amp; Expenses'!$Q$228*('DCA Underwriting Assumptions'!$Q$89/12)</f>
        <v>83300</v>
      </c>
      <c r="G130" s="3241">
        <v>83300</v>
      </c>
      <c r="H130" s="3242"/>
      <c r="J130" s="765" t="str">
        <f>IF(E130&gt;G130,"WARNING! Rent-Up Reserves proposed is below minimum - add comment.","")</f>
        <v/>
      </c>
      <c r="K130" s="765"/>
      <c r="L130" s="828"/>
      <c r="M130" s="750"/>
      <c r="N130" s="750"/>
      <c r="P130" s="750"/>
      <c r="Q130" s="750"/>
      <c r="S130" s="3241">
        <v>83300</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258714.40849486238</v>
      </c>
      <c r="G131" s="3241">
        <v>258714</v>
      </c>
      <c r="H131" s="3242"/>
      <c r="J131" s="765" t="str">
        <f>IF(E131&gt;G131,"WARNING! ODR proposed is below minimum - add comment.","")</f>
        <v/>
      </c>
      <c r="K131" s="290"/>
      <c r="L131" s="290"/>
      <c r="M131" s="290"/>
      <c r="N131" s="290"/>
      <c r="P131" s="290"/>
      <c r="Q131" s="290"/>
      <c r="S131" s="3241">
        <v>258714</v>
      </c>
      <c r="T131" s="3242"/>
      <c r="V131" s="849"/>
      <c r="W131" s="3342"/>
      <c r="X131" s="3343"/>
      <c r="Y131"/>
      <c r="Z131" s="1307"/>
      <c r="AB131" s="236"/>
      <c r="AD131"/>
      <c r="AG131"/>
      <c r="AH131"/>
      <c r="AI131"/>
      <c r="AZ131" s="1968"/>
      <c r="BA131" s="1706">
        <v>131</v>
      </c>
    </row>
    <row r="132" spans="1:53" s="144" customFormat="1" ht="12.6" customHeight="1">
      <c r="B132" s="144" t="s">
        <v>1170</v>
      </c>
      <c r="G132" s="3241">
        <v>0</v>
      </c>
      <c r="H132" s="3242"/>
      <c r="J132" s="291"/>
      <c r="K132" s="291"/>
      <c r="L132" s="291"/>
      <c r="M132" s="291"/>
      <c r="N132" s="291"/>
      <c r="P132" s="291"/>
      <c r="Q132" s="291"/>
      <c r="S132" s="3241">
        <v>0</v>
      </c>
      <c r="T132" s="3242"/>
      <c r="V132" s="849"/>
      <c r="W132" s="3342"/>
      <c r="X132" s="3343"/>
      <c r="AZ132" s="1968" t="s">
        <v>6390</v>
      </c>
      <c r="BA132" s="1706">
        <v>132</v>
      </c>
    </row>
    <row r="133" spans="1:53" s="144" customFormat="1" ht="12.6" customHeight="1">
      <c r="B133" s="144" t="s">
        <v>1171</v>
      </c>
      <c r="E133" s="658" t="s">
        <v>3136</v>
      </c>
      <c r="F133" s="365">
        <f>IF('Part V-Revenues &amp; Expenses'!$P$67=0,0,G133/'Part V-Revenues &amp; Expenses'!$P$67)</f>
        <v>2410.7142857142858</v>
      </c>
      <c r="G133" s="3241">
        <v>135000</v>
      </c>
      <c r="H133" s="3242"/>
      <c r="J133" s="3230">
        <v>135000</v>
      </c>
      <c r="K133" s="3231"/>
      <c r="L133" s="828"/>
      <c r="M133" s="3230"/>
      <c r="N133" s="3231"/>
      <c r="P133" s="3230"/>
      <c r="Q133" s="3231"/>
      <c r="S133" s="3241"/>
      <c r="T133" s="3242"/>
      <c r="V133" s="849"/>
      <c r="W133" s="3342"/>
      <c r="X133" s="3343"/>
      <c r="AZ133" s="1968" t="s">
        <v>6391</v>
      </c>
      <c r="BA133" s="1706">
        <v>133</v>
      </c>
    </row>
    <row r="134" spans="1:53" s="144" customFormat="1" ht="12.6" customHeight="1" thickBot="1">
      <c r="A134" s="303" t="str">
        <f>IF(AND(G134&gt;0,OR(C134="",C134="&lt;Enter detailed description here; use Comments section if needed&gt;")),"X","")</f>
        <v/>
      </c>
      <c r="B134" s="147" t="s">
        <v>6274</v>
      </c>
      <c r="C134" s="3377" t="s">
        <v>6720</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497014</v>
      </c>
      <c r="H135" s="3339"/>
      <c r="J135" s="3338">
        <f>SUM(J133:J134)</f>
        <v>135000</v>
      </c>
      <c r="K135" s="3339"/>
      <c r="L135" s="828"/>
      <c r="M135" s="3338">
        <f>SUM(M133:M134)</f>
        <v>0</v>
      </c>
      <c r="N135" s="3339"/>
      <c r="P135" s="3338">
        <f>SUM(P133:P134)</f>
        <v>0</v>
      </c>
      <c r="Q135" s="3339"/>
      <c r="S135" s="3338">
        <f>SUM(S129:S134)</f>
        <v>362014</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6274</v>
      </c>
      <c r="C143" s="3377" t="s">
        <v>6720</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486">
        <f>G18+G24+G28+G36+G41+G46+G55+G73+G86+G92+G103+G114+G120+G127+G135+G144</f>
        <v>18174082.920000002</v>
      </c>
      <c r="H146" s="3487"/>
      <c r="J146" s="3486">
        <f>J18+J24+J28+J36+J41+J46+J55+J73+J86+J92+J103+J114+J120+J127+J135+J144</f>
        <v>15264247.17</v>
      </c>
      <c r="K146" s="3487"/>
      <c r="M146" s="3486">
        <f>M18+M24+M28+M36+M41+M46+M55+M73+M86+M92+M103+M114+M120+M127+M135+M144</f>
        <v>0</v>
      </c>
      <c r="N146" s="3487"/>
      <c r="P146" s="3486">
        <f>P18+P24+P28+P36+P41+P46+P55+P73+P86+P92+P103+P114+P120+P127+P135+P144</f>
        <v>0</v>
      </c>
      <c r="Q146" s="3487"/>
      <c r="S146" s="3486">
        <f>S18+S24+S28+S36+S41+S46+S55+S73+S86+S92+S103+S114+S120+S127+S135+S144</f>
        <v>2909835.75</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483">
        <f>IF('Part V-Revenues &amp; Expenses'!$P$67=0,0,G146/'Part V-Revenues &amp; Expenses'!$P$67)</f>
        <v>324537.19500000001</v>
      </c>
      <c r="E148" s="3483"/>
      <c r="F148" s="390" t="s">
        <v>2486</v>
      </c>
      <c r="G148" s="3484">
        <f>IF('Part V-Revenues &amp; Expenses'!$K$175=0,0,G146/'Part V-Revenues &amp; Expenses'!$K$175)</f>
        <v>327.02492028646492</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1893</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1997</v>
      </c>
      <c r="I154" s="295"/>
      <c r="J154" s="3502"/>
      <c r="K154" s="3503"/>
      <c r="P154" s="3502"/>
      <c r="Q154" s="3503"/>
      <c r="V154" s="849"/>
      <c r="W154" s="3342"/>
      <c r="X154" s="3343"/>
      <c r="AZ154" s="1968"/>
      <c r="BA154" s="1706">
        <v>154</v>
      </c>
    </row>
    <row r="155" spans="1:53" s="144" customFormat="1" ht="14.1" customHeight="1">
      <c r="B155" s="144" t="s">
        <v>1726</v>
      </c>
      <c r="I155" s="295"/>
      <c r="J155" s="3502"/>
      <c r="K155" s="3503"/>
      <c r="P155" s="3502"/>
      <c r="Q155" s="3503"/>
      <c r="V155" s="849"/>
      <c r="W155" s="3342"/>
      <c r="X155" s="3343"/>
      <c r="AZ155" s="1968"/>
      <c r="BA155" s="1706">
        <v>155</v>
      </c>
    </row>
    <row r="156" spans="1:53" s="144" customFormat="1" ht="14.1" customHeight="1">
      <c r="B156" s="144" t="s">
        <v>1727</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2223</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1728</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2159</v>
      </c>
      <c r="V161" s="852"/>
      <c r="W161" s="144" t="str">
        <f>B161</f>
        <v>Eligible Basis Calculation</v>
      </c>
      <c r="AZ161" s="1968"/>
      <c r="BA161" s="1706">
        <v>161</v>
      </c>
    </row>
    <row r="162" spans="1:53" s="144" customFormat="1" ht="14.1" customHeight="1">
      <c r="B162" s="144" t="s">
        <v>1665</v>
      </c>
      <c r="J162" s="3334">
        <f>J146</f>
        <v>15264247.17</v>
      </c>
      <c r="K162" s="3335"/>
      <c r="M162" s="3336">
        <f>M146</f>
        <v>0</v>
      </c>
      <c r="N162" s="3337"/>
      <c r="P162" s="3334">
        <f>P146</f>
        <v>0</v>
      </c>
      <c r="Q162" s="3335"/>
      <c r="R162" s="3469" t="s">
        <v>3772</v>
      </c>
      <c r="S162" s="3435"/>
      <c r="T162" s="3435"/>
      <c r="V162" s="849"/>
      <c r="W162" s="3342"/>
      <c r="X162" s="3343"/>
      <c r="AZ162" s="1968"/>
      <c r="BA162" s="1706">
        <v>162</v>
      </c>
    </row>
    <row r="163" spans="1:53" s="144" customFormat="1" ht="14.1" customHeight="1">
      <c r="B163" s="144" t="s">
        <v>2051</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2052</v>
      </c>
      <c r="J164" s="3355">
        <f>J162-J163</f>
        <v>15264247.17</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v>1</v>
      </c>
      <c r="K165" s="3422"/>
      <c r="M165" s="3423"/>
      <c r="N165" s="3423"/>
      <c r="P165" s="3421">
        <v>1</v>
      </c>
      <c r="Q165" s="3422"/>
      <c r="R165" s="3470" t="s">
        <v>3203</v>
      </c>
      <c r="S165" s="3471"/>
      <c r="T165" s="3472"/>
      <c r="U165" s="1170"/>
      <c r="V165" s="849"/>
      <c r="W165" s="3342"/>
      <c r="X165" s="3343"/>
      <c r="AZ165" s="1968"/>
      <c r="BA165" s="1706">
        <v>165</v>
      </c>
    </row>
    <row r="166" spans="1:53" s="144" customFormat="1" ht="14.1" customHeight="1">
      <c r="B166" s="144" t="s">
        <v>1902</v>
      </c>
      <c r="J166" s="3355">
        <f>J164*J165</f>
        <v>15264247.17</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2338</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1894</v>
      </c>
      <c r="J168" s="3355">
        <f>J166*J167</f>
        <v>15264247.17</v>
      </c>
      <c r="K168" s="3356"/>
      <c r="M168" s="3355">
        <f>M166*M167</f>
        <v>0</v>
      </c>
      <c r="N168" s="3356"/>
      <c r="P168" s="3355">
        <f>P166*P167</f>
        <v>0</v>
      </c>
      <c r="Q168" s="3356"/>
      <c r="V168" s="849"/>
      <c r="W168" s="3342"/>
      <c r="X168" s="3343"/>
      <c r="AZ168" s="1968"/>
      <c r="BA168" s="1706">
        <v>168</v>
      </c>
    </row>
    <row r="169" spans="1:53" s="144" customFormat="1" ht="14.1" customHeight="1">
      <c r="B169" s="144" t="s">
        <v>1895</v>
      </c>
      <c r="J169" s="3421">
        <v>0.09</v>
      </c>
      <c r="K169" s="3422"/>
      <c r="M169" s="3421">
        <v>3.3599999999999998E-2</v>
      </c>
      <c r="N169" s="3422"/>
      <c r="P169" s="3421"/>
      <c r="Q169" s="3422"/>
      <c r="V169" s="849"/>
      <c r="W169" s="3342"/>
      <c r="X169" s="3343"/>
      <c r="AZ169" s="1968"/>
      <c r="BA169" s="1706">
        <v>169</v>
      </c>
    </row>
    <row r="170" spans="1:53" s="144" customFormat="1" ht="14.1" customHeight="1" thickBot="1">
      <c r="B170" s="144" t="s">
        <v>2339</v>
      </c>
      <c r="J170" s="3426">
        <f>J168*J169</f>
        <v>1373782.2452999998</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1373782</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334">
        <f>G146</f>
        <v>18174082.920000002</v>
      </c>
      <c r="K176" s="3452"/>
      <c r="L176" s="3335"/>
      <c r="N176" s="3431" t="s">
        <v>6715</v>
      </c>
      <c r="O176" s="3432"/>
      <c r="P176" s="3432"/>
      <c r="Q176" s="3433"/>
      <c r="S176" s="3448" t="s">
        <v>3186</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2600110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2063</v>
      </c>
      <c r="J178" s="3454">
        <f>+J176-J177</f>
        <v>15573972.920000002</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2651</v>
      </c>
      <c r="V179" s="849"/>
      <c r="W179" s="3342"/>
      <c r="X179" s="3343"/>
      <c r="AZ179" s="1968"/>
      <c r="BA179" s="1706">
        <v>179</v>
      </c>
    </row>
    <row r="180" spans="1:53" s="144" customFormat="1" ht="14.1" customHeight="1">
      <c r="B180" s="144" t="s">
        <v>1210</v>
      </c>
      <c r="J180" s="3353">
        <f>J178/10</f>
        <v>1557397.2920000001</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1.33</v>
      </c>
      <c r="K182" s="3441"/>
      <c r="L182" s="3442"/>
      <c r="M182" s="248" t="s">
        <v>1212</v>
      </c>
      <c r="N182" s="3443">
        <v>0.88</v>
      </c>
      <c r="O182" s="3444"/>
      <c r="P182" s="248" t="s">
        <v>570</v>
      </c>
      <c r="Q182" s="3443">
        <v>0.45</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1170975</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6714</v>
      </c>
      <c r="J187" s="3445">
        <v>1170975</v>
      </c>
      <c r="K187" s="3446"/>
      <c r="L187" s="3447"/>
      <c r="Q187" s="147" t="s">
        <v>6246</v>
      </c>
      <c r="R187" s="147"/>
      <c r="S187" s="3332" t="str">
        <f>'Part VIII Scoring Criteria'!$J$36</f>
        <v>Other Metro</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4072</v>
      </c>
      <c r="J189" s="3445">
        <v>1135000</v>
      </c>
      <c r="K189" s="3446"/>
      <c r="L189" s="3447"/>
      <c r="M189" s="3430" t="str">
        <f>IF(J187=0,"",IF(J189&gt;J187,"Request can't exceed Maximum - REVISE (Try Round Down)!",""))</f>
        <v/>
      </c>
      <c r="N189" s="3430"/>
      <c r="O189" s="3430"/>
      <c r="P189" s="3430"/>
      <c r="Q189" s="241" t="s">
        <v>6542</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4073</v>
      </c>
      <c r="D191" s="145"/>
      <c r="E191" s="145"/>
      <c r="F191" s="246"/>
      <c r="J191" s="3460">
        <f>IF(J189="",0,+MIN(J187,J189))</f>
        <v>1135000</v>
      </c>
      <c r="K191" s="3461"/>
      <c r="L191" s="3462"/>
      <c r="M191" s="3430"/>
      <c r="N191" s="3430"/>
      <c r="O191" s="3430"/>
      <c r="P191" s="3430"/>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7051</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2451</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120" zoomScaleNormal="120" workbookViewId="0">
      <selection activeCell="A25" sqref="A25:D26"/>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Peaks of Douglas  -  Douglasville  -  Douglas,  County</v>
      </c>
      <c r="B1" s="3505"/>
      <c r="C1" s="3505"/>
      <c r="D1" s="3505"/>
      <c r="E1" s="3505"/>
      <c r="F1" s="3505"/>
      <c r="G1" s="3505"/>
      <c r="H1" s="3505"/>
      <c r="I1" s="722"/>
      <c r="J1" s="722"/>
      <c r="K1" s="722"/>
      <c r="L1" s="722"/>
      <c r="M1" s="722"/>
      <c r="N1" s="722"/>
    </row>
    <row r="2" spans="1:14" ht="9" customHeight="1"/>
    <row r="3" spans="1:14" ht="57" customHeight="1">
      <c r="A3" s="3506" t="s">
        <v>3213</v>
      </c>
      <c r="B3" s="3507"/>
      <c r="C3" s="3507"/>
      <c r="D3" s="3507"/>
      <c r="E3" s="3507"/>
      <c r="F3" s="3507"/>
      <c r="G3" s="3507"/>
      <c r="H3" s="3508"/>
    </row>
    <row r="4" spans="1:14" ht="6" customHeight="1"/>
    <row r="5" spans="1:14" ht="38.25" customHeight="1">
      <c r="A5" s="3509" t="s">
        <v>3275</v>
      </c>
      <c r="B5" s="3509"/>
      <c r="C5" s="3509"/>
      <c r="D5" s="3509"/>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Engineer DD &amp; OPC</v>
      </c>
      <c r="B9" s="3511"/>
      <c r="C9" s="3511"/>
      <c r="D9" s="3512"/>
      <c r="F9" s="3516" t="s">
        <v>7115</v>
      </c>
      <c r="G9" s="726"/>
      <c r="H9" s="3516" t="s">
        <v>7118</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3208</v>
      </c>
      <c r="B12" s="734">
        <f>'Part III-A-Uses of Funds'!$G$15</f>
        <v>7500</v>
      </c>
      <c r="C12" s="735" t="s">
        <v>1665</v>
      </c>
      <c r="D12" s="734">
        <f>'Part III-A-Uses of Funds'!$J$15+'Part III-A-Uses of Funds'!$M$15+'Part III-A-Uses of Funds'!$P$15</f>
        <v>7500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Plan and Cost Review</v>
      </c>
      <c r="B14" s="3511"/>
      <c r="C14" s="3511"/>
      <c r="D14" s="3512"/>
      <c r="F14" s="3517" t="s">
        <v>7116</v>
      </c>
      <c r="G14" s="726"/>
      <c r="H14" s="3517" t="s">
        <v>7117</v>
      </c>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3208</v>
      </c>
      <c r="B17" s="734">
        <f>'Part III-A-Uses of Funds'!$G$16</f>
        <v>5000</v>
      </c>
      <c r="C17" s="735" t="s">
        <v>1665</v>
      </c>
      <c r="D17" s="734">
        <f>'Part III-A-Uses of Funds'!$J$16+'Part III-A-Uses of Funds'!$M$16+'Part III-A-Uses of Funds'!$P$16</f>
        <v>5000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Traffic Study</v>
      </c>
      <c r="B19" s="3511"/>
      <c r="C19" s="3511"/>
      <c r="D19" s="3512"/>
      <c r="F19" s="3517" t="s">
        <v>7114</v>
      </c>
      <c r="G19" s="726"/>
      <c r="H19" s="3517" t="s">
        <v>7117</v>
      </c>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3208</v>
      </c>
      <c r="B22" s="734">
        <f>'Part III-A-Uses of Funds'!$G$17</f>
        <v>8000</v>
      </c>
      <c r="C22" s="735" t="s">
        <v>1665</v>
      </c>
      <c r="D22" s="734">
        <f>'Part III-A-Uses of Funds'!$J$17+'Part III-A-Uses of Funds'!$M$17+'Part III-A-Uses of Funds'!$P$17</f>
        <v>8000</v>
      </c>
      <c r="F22" s="3517"/>
      <c r="G22" s="726"/>
      <c r="H22" s="3517"/>
    </row>
    <row r="23" spans="1:8" s="725" customFormat="1" ht="6" customHeight="1">
      <c r="A23" s="726"/>
      <c r="B23" s="727"/>
      <c r="C23" s="726"/>
      <c r="D23" s="726"/>
      <c r="F23" s="3518"/>
      <c r="G23" s="728"/>
      <c r="H23" s="3518"/>
    </row>
    <row r="24" spans="1:8" s="725" customFormat="1">
      <c r="A24" s="736" t="s">
        <v>3207</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3208</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3208</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3208</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3208</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3208</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3209</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3208</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3208</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3210</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3208</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3208</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3211</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3208</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Peaks of Douglas, Douglasville, Douglas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6736</v>
      </c>
      <c r="I3" s="3538" t="str">
        <f>VLOOKUP('Part I-Project Identification'!$J$26,'DCA Underwriting Assumptions'!$G$141:$H$300,2)</f>
        <v>North</v>
      </c>
      <c r="J3" s="3539"/>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31" t="s">
        <v>7074</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7075</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1" t="s">
        <v>1715</v>
      </c>
      <c r="C12" s="1272"/>
      <c r="D12" s="3527" t="s">
        <v>7047</v>
      </c>
      <c r="E12" s="3528"/>
      <c r="F12" s="207" t="s">
        <v>416</v>
      </c>
      <c r="G12" s="207"/>
      <c r="H12" s="804"/>
      <c r="I12" s="1266"/>
      <c r="J12" s="1266">
        <v>9</v>
      </c>
      <c r="K12" s="1266">
        <v>12</v>
      </c>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8</v>
      </c>
      <c r="K13" s="1267">
        <v>10</v>
      </c>
      <c r="L13" s="1268"/>
      <c r="M13" s="1268"/>
      <c r="O13" s="3540" t="s">
        <v>3274</v>
      </c>
      <c r="P13" s="3540"/>
      <c r="Q13" s="3540"/>
    </row>
    <row r="14" spans="1:25" s="6" customFormat="1" ht="12" customHeight="1">
      <c r="B14" s="1275" t="s">
        <v>1493</v>
      </c>
      <c r="C14" s="1276"/>
      <c r="D14" s="3547" t="s">
        <v>1491</v>
      </c>
      <c r="E14" s="3548"/>
      <c r="F14" s="208" t="s">
        <v>416</v>
      </c>
      <c r="G14" s="208"/>
      <c r="H14" s="203"/>
      <c r="I14" s="1267"/>
      <c r="J14" s="1267">
        <v>14</v>
      </c>
      <c r="K14" s="1267">
        <v>20</v>
      </c>
      <c r="L14" s="1268"/>
      <c r="M14" s="1268"/>
      <c r="O14" s="3540"/>
      <c r="P14" s="3540"/>
      <c r="Q14" s="3540"/>
    </row>
    <row r="15" spans="1:25" s="6" customFormat="1" ht="12" customHeight="1">
      <c r="B15" s="1277" t="s">
        <v>440</v>
      </c>
      <c r="C15" s="1278"/>
      <c r="D15" s="1277" t="s">
        <v>1491</v>
      </c>
      <c r="E15" s="204"/>
      <c r="F15" s="208" t="s">
        <v>416</v>
      </c>
      <c r="G15" s="208"/>
      <c r="H15" s="802"/>
      <c r="I15" s="1267"/>
      <c r="J15" s="1267">
        <v>8</v>
      </c>
      <c r="K15" s="1267">
        <v>11</v>
      </c>
      <c r="L15" s="1268"/>
      <c r="M15" s="1268"/>
      <c r="O15" s="3540"/>
      <c r="P15" s="3540"/>
      <c r="Q15" s="3540"/>
    </row>
    <row r="16" spans="1:25" s="6" customFormat="1" ht="12" customHeight="1">
      <c r="B16" s="1279" t="s">
        <v>3268</v>
      </c>
      <c r="C16" s="1274"/>
      <c r="D16" s="1273" t="s">
        <v>1491</v>
      </c>
      <c r="E16" s="801"/>
      <c r="F16" s="208"/>
      <c r="G16" s="208"/>
      <c r="H16" s="803"/>
      <c r="I16" s="1267"/>
      <c r="J16" s="1267"/>
      <c r="K16" s="1267"/>
      <c r="L16" s="1268"/>
      <c r="M16" s="1268"/>
      <c r="O16" s="3540"/>
      <c r="P16" s="3540"/>
      <c r="Q16" s="3540"/>
    </row>
    <row r="17" spans="1:25" s="6" customFormat="1" ht="12" customHeight="1">
      <c r="B17" s="1279" t="s">
        <v>3269</v>
      </c>
      <c r="C17" s="1274"/>
      <c r="D17" s="1273" t="s">
        <v>1491</v>
      </c>
      <c r="E17" s="801"/>
      <c r="F17" s="208"/>
      <c r="G17" s="208"/>
      <c r="H17" s="803"/>
      <c r="I17" s="1267"/>
      <c r="J17" s="1267"/>
      <c r="K17" s="1267"/>
      <c r="L17" s="1268"/>
      <c r="M17" s="1268"/>
      <c r="O17" s="3540"/>
      <c r="P17" s="3540"/>
      <c r="Q17" s="3540"/>
    </row>
    <row r="18" spans="1:25" s="6" customFormat="1" ht="12" customHeight="1">
      <c r="B18" s="1280" t="s">
        <v>3270</v>
      </c>
      <c r="C18" s="1276"/>
      <c r="D18" s="1275" t="s">
        <v>1491</v>
      </c>
      <c r="E18" s="801"/>
      <c r="F18" s="208" t="s">
        <v>416</v>
      </c>
      <c r="G18" s="208"/>
      <c r="H18" s="203"/>
      <c r="I18" s="1267"/>
      <c r="J18" s="1267">
        <v>22</v>
      </c>
      <c r="K18" s="1267">
        <v>29</v>
      </c>
      <c r="L18" s="1268"/>
      <c r="M18" s="1268"/>
      <c r="O18" s="3540"/>
      <c r="P18" s="3540"/>
      <c r="Q18" s="3540"/>
    </row>
    <row r="19" spans="1:25" s="6" customFormat="1" ht="12" customHeight="1">
      <c r="B19" s="1277" t="s">
        <v>1292</v>
      </c>
      <c r="C19" s="1278"/>
      <c r="D19" s="1283" t="s">
        <v>3075</v>
      </c>
      <c r="E19" s="1265" t="s">
        <v>2648</v>
      </c>
      <c r="F19" s="208" t="s">
        <v>416</v>
      </c>
      <c r="G19" s="208"/>
      <c r="H19" s="802"/>
      <c r="I19" s="1267"/>
      <c r="J19" s="1267">
        <v>49</v>
      </c>
      <c r="K19" s="1267">
        <v>58</v>
      </c>
      <c r="L19" s="1268"/>
      <c r="M19" s="1268"/>
      <c r="O19" s="3540"/>
      <c r="P19" s="3540"/>
      <c r="Q19" s="3540"/>
    </row>
    <row r="20" spans="1:25" s="6" customFormat="1" ht="12" customHeight="1">
      <c r="B20" s="1281" t="s">
        <v>1714</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110</v>
      </c>
      <c r="K22" s="119">
        <f>IF(SUM(K12:K21)=0,0,IF(OR($D12="&lt;&lt;Select Fuel &gt;&gt;",$D13="&lt;&lt;Select Fuel &gt;&gt;",$D14="&lt;&lt;Select Fuel &gt;&gt;"),"Select Fuel",IF($E19="&lt;Select&gt;","Submeter?",SUM(K12:K21))))</f>
        <v>140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31" t="s">
        <v>7076</v>
      </c>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v>44927</v>
      </c>
      <c r="J25" s="3535"/>
      <c r="K25" s="5" t="s">
        <v>505</v>
      </c>
      <c r="L25" s="3525" t="s">
        <v>7077</v>
      </c>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1" t="s">
        <v>1715</v>
      </c>
      <c r="C29" s="1272"/>
      <c r="D29" s="3527" t="s">
        <v>7047</v>
      </c>
      <c r="E29" s="3528"/>
      <c r="F29" s="207" t="s">
        <v>416</v>
      </c>
      <c r="G29" s="207"/>
      <c r="H29" s="804"/>
      <c r="I29" s="1266"/>
      <c r="J29" s="1266">
        <v>9</v>
      </c>
      <c r="K29" s="1266">
        <v>12</v>
      </c>
      <c r="L29" s="1266"/>
      <c r="M29" s="1266"/>
      <c r="O29" s="839"/>
      <c r="P29" s="839"/>
      <c r="Q29" s="839"/>
      <c r="R29" s="839"/>
      <c r="S29" s="839"/>
      <c r="T29" s="839"/>
      <c r="U29" s="839"/>
      <c r="V29" s="10"/>
      <c r="W29" s="10"/>
      <c r="X29" s="10"/>
      <c r="Y29" s="10"/>
    </row>
    <row r="30" spans="1:25" s="6" customFormat="1" ht="12" customHeight="1">
      <c r="B30" s="1273" t="s">
        <v>1492</v>
      </c>
      <c r="C30" s="1274"/>
      <c r="D30" s="3547" t="s">
        <v>1491</v>
      </c>
      <c r="E30" s="3548"/>
      <c r="F30" s="208" t="s">
        <v>416</v>
      </c>
      <c r="G30" s="208"/>
      <c r="H30" s="803"/>
      <c r="I30" s="1267"/>
      <c r="J30" s="1267">
        <v>8</v>
      </c>
      <c r="K30" s="1267">
        <v>10</v>
      </c>
      <c r="L30" s="1268"/>
      <c r="M30" s="1268"/>
      <c r="O30" s="839"/>
      <c r="P30" s="839"/>
      <c r="Q30" s="839"/>
      <c r="R30" s="839"/>
      <c r="S30" s="839"/>
      <c r="T30" s="839"/>
      <c r="U30" s="839"/>
    </row>
    <row r="31" spans="1:25" s="6" customFormat="1" ht="12" customHeight="1">
      <c r="B31" s="1275" t="s">
        <v>1493</v>
      </c>
      <c r="C31" s="1276"/>
      <c r="D31" s="3547" t="s">
        <v>1491</v>
      </c>
      <c r="E31" s="3548"/>
      <c r="F31" s="208" t="s">
        <v>416</v>
      </c>
      <c r="G31" s="208"/>
      <c r="H31" s="203"/>
      <c r="I31" s="1267"/>
      <c r="J31" s="1267">
        <v>14</v>
      </c>
      <c r="K31" s="1267">
        <v>20</v>
      </c>
      <c r="L31" s="1268"/>
      <c r="M31" s="1268"/>
      <c r="O31" s="3540" t="s">
        <v>3274</v>
      </c>
      <c r="P31" s="3540"/>
      <c r="Q31" s="3540"/>
    </row>
    <row r="32" spans="1:25" s="6" customFormat="1" ht="12" customHeight="1">
      <c r="B32" s="1277" t="s">
        <v>440</v>
      </c>
      <c r="C32" s="1278"/>
      <c r="D32" s="1277" t="s">
        <v>1491</v>
      </c>
      <c r="E32" s="204"/>
      <c r="F32" s="208" t="s">
        <v>416</v>
      </c>
      <c r="G32" s="208"/>
      <c r="H32" s="802"/>
      <c r="I32" s="1267"/>
      <c r="J32" s="1267">
        <v>7</v>
      </c>
      <c r="K32" s="1267">
        <v>10</v>
      </c>
      <c r="L32" s="1268"/>
      <c r="M32" s="1268"/>
      <c r="O32" s="3540"/>
      <c r="P32" s="3540"/>
      <c r="Q32" s="3540"/>
    </row>
    <row r="33" spans="1:19" s="6" customFormat="1" ht="12" customHeight="1">
      <c r="B33" s="1279" t="s">
        <v>3268</v>
      </c>
      <c r="C33" s="1274"/>
      <c r="D33" s="1273" t="s">
        <v>1491</v>
      </c>
      <c r="E33" s="801"/>
      <c r="F33" s="208"/>
      <c r="G33" s="208"/>
      <c r="H33" s="803"/>
      <c r="I33" s="1267"/>
      <c r="J33" s="1267"/>
      <c r="K33" s="1267"/>
      <c r="L33" s="1268"/>
      <c r="M33" s="1268"/>
      <c r="O33" s="3540"/>
      <c r="P33" s="3540"/>
      <c r="Q33" s="3540"/>
    </row>
    <row r="34" spans="1:19" s="6" customFormat="1" ht="12" customHeight="1">
      <c r="B34" s="1279" t="s">
        <v>3269</v>
      </c>
      <c r="C34" s="1274"/>
      <c r="D34" s="1273" t="s">
        <v>1491</v>
      </c>
      <c r="E34" s="801"/>
      <c r="F34" s="208"/>
      <c r="G34" s="208"/>
      <c r="H34" s="803"/>
      <c r="I34" s="1267"/>
      <c r="J34" s="1267"/>
      <c r="K34" s="1267"/>
      <c r="L34" s="1268"/>
      <c r="M34" s="1268"/>
      <c r="O34" s="3540"/>
      <c r="P34" s="3540"/>
      <c r="Q34" s="3540"/>
    </row>
    <row r="35" spans="1:19" s="6" customFormat="1" ht="12" customHeight="1">
      <c r="B35" s="1280" t="s">
        <v>3270</v>
      </c>
      <c r="C35" s="1276"/>
      <c r="D35" s="1275" t="s">
        <v>1491</v>
      </c>
      <c r="E35" s="801"/>
      <c r="F35" s="208" t="s">
        <v>416</v>
      </c>
      <c r="G35" s="208"/>
      <c r="H35" s="203"/>
      <c r="I35" s="1267"/>
      <c r="J35" s="1267">
        <v>22</v>
      </c>
      <c r="K35" s="1267">
        <v>29</v>
      </c>
      <c r="L35" s="1268"/>
      <c r="M35" s="1268"/>
      <c r="O35" s="3540"/>
      <c r="P35" s="3540"/>
      <c r="Q35" s="3540"/>
    </row>
    <row r="36" spans="1:19" s="6" customFormat="1" ht="12" customHeight="1">
      <c r="B36" s="1277" t="s">
        <v>1292</v>
      </c>
      <c r="C36" s="1278"/>
      <c r="D36" s="1283" t="s">
        <v>3075</v>
      </c>
      <c r="E36" s="1265" t="s">
        <v>2648</v>
      </c>
      <c r="F36" s="208" t="s">
        <v>416</v>
      </c>
      <c r="G36" s="208"/>
      <c r="H36" s="802"/>
      <c r="I36" s="1267"/>
      <c r="J36" s="1267">
        <v>49</v>
      </c>
      <c r="K36" s="1267">
        <v>58</v>
      </c>
      <c r="L36" s="1268"/>
      <c r="M36" s="1268"/>
      <c r="O36" s="3540"/>
      <c r="P36" s="3540"/>
      <c r="Q36" s="3540"/>
    </row>
    <row r="37" spans="1:19" s="6" customFormat="1" ht="12" customHeight="1">
      <c r="B37" s="1281" t="s">
        <v>1714</v>
      </c>
      <c r="C37" s="1282"/>
      <c r="D37" s="205"/>
      <c r="E37" s="187"/>
      <c r="F37" s="208"/>
      <c r="G37" s="208" t="s">
        <v>416</v>
      </c>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109</v>
      </c>
      <c r="K39" s="119">
        <f>IF(SUM(K29:K38)=0,0,IF(OR($D29="&lt;&lt;Select Fuel &gt;&gt;",$D31="&lt;&lt;Select Fuel &gt;&gt;",$D32="&lt;&lt;Select Fuel &gt;&gt;"),"Select Fuel",IF($E36="&lt;Select&gt;","Submeter?",SUM(K29:K38))))</f>
        <v>139</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7112</v>
      </c>
      <c r="C43" s="3542"/>
      <c r="D43" s="3542"/>
      <c r="E43" s="3542"/>
      <c r="F43" s="3542"/>
      <c r="G43" s="3542"/>
      <c r="H43" s="3542"/>
      <c r="I43" s="3542"/>
      <c r="J43" s="3542"/>
      <c r="K43" s="3542"/>
      <c r="L43" s="3542"/>
      <c r="M43" s="3543"/>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1710</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2" zoomScaleNormal="100" workbookViewId="0">
      <selection activeCell="B31" sqref="B3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3134</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59" t="str">
        <f>CONCATENATE("PART FOUR - PROJECTED REVENUES &amp; EXPENSES","  -  ",'Part I-Project Identification'!$O$7," ",'Part I-Project Identification'!$F$25,", ",'Part I-Project Identification'!F26,", ",'Part I-Project Identification'!J26," County")</f>
        <v>PART FOUR - PROJECTED REVENUES &amp; EXPENSES  -  2023-0 Peaks of Douglas, Douglasville, Douglas County</v>
      </c>
      <c r="B2" s="3660"/>
      <c r="C2" s="3660"/>
      <c r="D2" s="3660"/>
      <c r="E2" s="3660"/>
      <c r="F2" s="3660"/>
      <c r="G2" s="3660"/>
      <c r="H2" s="3660"/>
      <c r="I2" s="3660"/>
      <c r="J2" s="3660"/>
      <c r="K2" s="3660"/>
      <c r="L2" s="3660"/>
      <c r="M2" s="3660"/>
      <c r="N2" s="3660"/>
      <c r="O2" s="3660"/>
      <c r="P2" s="3660"/>
      <c r="Q2" s="3661"/>
      <c r="T2" s="1427" t="str">
        <f>A2</f>
        <v>PART FOUR - PROJECTED REVENUES &amp; EXPENSES  -  2023-0 Peaks of Douglas, Douglasville, Douglas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2182</v>
      </c>
      <c r="C4" s="1"/>
      <c r="D4" s="1515" t="s">
        <v>6092</v>
      </c>
      <c r="E4" s="1515"/>
      <c r="F4" s="1515"/>
      <c r="G4" s="1515"/>
      <c r="H4" s="1515"/>
      <c r="I4" s="1515"/>
      <c r="J4" s="1515"/>
      <c r="K4" s="93"/>
      <c r="L4" s="93"/>
      <c r="M4" s="93"/>
      <c r="O4" s="153" t="s">
        <v>534</v>
      </c>
      <c r="P4" s="3664" t="str">
        <f>'Part I-Project Identification'!$O$28</f>
        <v>Atlanta-Sandy Springs-Marietta</v>
      </c>
      <c r="Q4" s="36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3" t="s">
        <v>3044</v>
      </c>
      <c r="MG4" s="3553" t="s">
        <v>3045</v>
      </c>
      <c r="MH4" s="3553" t="s">
        <v>3046</v>
      </c>
      <c r="MI4" s="3553" t="s">
        <v>3047</v>
      </c>
      <c r="MJ4" s="3553"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1" t="s">
        <v>3202</v>
      </c>
      <c r="R5" s="830"/>
      <c r="S5" s="337"/>
      <c r="T5" s="337"/>
      <c r="U5" s="337"/>
      <c r="W5" s="338"/>
      <c r="X5" s="3553" t="s">
        <v>3680</v>
      </c>
      <c r="Y5" s="3553" t="s">
        <v>3681</v>
      </c>
      <c r="Z5" s="3553" t="s">
        <v>3682</v>
      </c>
      <c r="AA5" s="3553" t="s">
        <v>3683</v>
      </c>
      <c r="AB5" s="3553" t="s">
        <v>3684</v>
      </c>
      <c r="AC5" s="3553" t="s">
        <v>3685</v>
      </c>
      <c r="AD5" s="3553" t="s">
        <v>3686</v>
      </c>
      <c r="AE5" s="3553" t="s">
        <v>3687</v>
      </c>
      <c r="AF5" s="3553" t="s">
        <v>3688</v>
      </c>
      <c r="AG5" s="3553" t="s">
        <v>3689</v>
      </c>
      <c r="AH5" s="3553" t="s">
        <v>861</v>
      </c>
      <c r="AI5" s="3553" t="s">
        <v>705</v>
      </c>
      <c r="AJ5" s="3553" t="s">
        <v>706</v>
      </c>
      <c r="AK5" s="3553" t="s">
        <v>707</v>
      </c>
      <c r="AL5" s="3553" t="s">
        <v>708</v>
      </c>
      <c r="AM5" s="3553" t="s">
        <v>862</v>
      </c>
      <c r="AN5" s="3553" t="s">
        <v>2130</v>
      </c>
      <c r="AO5" s="3553" t="s">
        <v>2131</v>
      </c>
      <c r="AP5" s="3553" t="s">
        <v>2132</v>
      </c>
      <c r="AQ5" s="3553" t="s">
        <v>2133</v>
      </c>
      <c r="AR5" s="3553" t="s">
        <v>3691</v>
      </c>
      <c r="AS5" s="3553" t="s">
        <v>3692</v>
      </c>
      <c r="AT5" s="3553" t="s">
        <v>3693</v>
      </c>
      <c r="AU5" s="3553" t="s">
        <v>3694</v>
      </c>
      <c r="AV5" s="3553" t="s">
        <v>3690</v>
      </c>
      <c r="AW5" s="3553" t="s">
        <v>863</v>
      </c>
      <c r="AX5" s="3553" t="s">
        <v>2134</v>
      </c>
      <c r="AY5" s="3553" t="s">
        <v>2135</v>
      </c>
      <c r="AZ5" s="3553" t="s">
        <v>2136</v>
      </c>
      <c r="BA5" s="3553" t="s">
        <v>2137</v>
      </c>
      <c r="BB5" s="3553" t="s">
        <v>3695</v>
      </c>
      <c r="BC5" s="3553" t="s">
        <v>3696</v>
      </c>
      <c r="BD5" s="3553" t="s">
        <v>3697</v>
      </c>
      <c r="BE5" s="3553" t="s">
        <v>3698</v>
      </c>
      <c r="BF5" s="3553" t="s">
        <v>3699</v>
      </c>
      <c r="BG5" s="3553" t="s">
        <v>123</v>
      </c>
      <c r="BH5" s="3553" t="s">
        <v>2138</v>
      </c>
      <c r="BI5" s="3553" t="s">
        <v>2139</v>
      </c>
      <c r="BJ5" s="3553" t="s">
        <v>2140</v>
      </c>
      <c r="BK5" s="3553" t="s">
        <v>1080</v>
      </c>
      <c r="BL5" s="3553" t="s">
        <v>3700</v>
      </c>
      <c r="BM5" s="3553" t="s">
        <v>3701</v>
      </c>
      <c r="BN5" s="3553" t="s">
        <v>3702</v>
      </c>
      <c r="BO5" s="3553" t="s">
        <v>3703</v>
      </c>
      <c r="BP5" s="3553" t="s">
        <v>3704</v>
      </c>
      <c r="BQ5" s="3553" t="s">
        <v>517</v>
      </c>
      <c r="BR5" s="3553" t="s">
        <v>518</v>
      </c>
      <c r="BS5" s="3553" t="s">
        <v>535</v>
      </c>
      <c r="BT5" s="3553" t="s">
        <v>536</v>
      </c>
      <c r="BU5" s="3553" t="s">
        <v>537</v>
      </c>
      <c r="BV5" s="3553" t="s">
        <v>3705</v>
      </c>
      <c r="BW5" s="3553" t="s">
        <v>3706</v>
      </c>
      <c r="BX5" s="3553" t="s">
        <v>3707</v>
      </c>
      <c r="BY5" s="3553" t="s">
        <v>3708</v>
      </c>
      <c r="BZ5" s="3553" t="s">
        <v>3709</v>
      </c>
      <c r="CA5" s="3553" t="s">
        <v>538</v>
      </c>
      <c r="CB5" s="3553" t="s">
        <v>539</v>
      </c>
      <c r="CC5" s="3553" t="s">
        <v>540</v>
      </c>
      <c r="CD5" s="3553" t="s">
        <v>541</v>
      </c>
      <c r="CE5" s="3553" t="s">
        <v>542</v>
      </c>
      <c r="CF5" s="3553" t="s">
        <v>543</v>
      </c>
      <c r="CG5" s="3553" t="s">
        <v>544</v>
      </c>
      <c r="CH5" s="3553" t="s">
        <v>872</v>
      </c>
      <c r="CI5" s="3553" t="s">
        <v>873</v>
      </c>
      <c r="CJ5" s="3553" t="s">
        <v>874</v>
      </c>
      <c r="CK5" s="3553" t="s">
        <v>3715</v>
      </c>
      <c r="CL5" s="3553" t="s">
        <v>3716</v>
      </c>
      <c r="CM5" s="3553" t="s">
        <v>3717</v>
      </c>
      <c r="CN5" s="3553" t="s">
        <v>3718</v>
      </c>
      <c r="CO5" s="3553" t="s">
        <v>3719</v>
      </c>
      <c r="CP5" s="3553" t="s">
        <v>3710</v>
      </c>
      <c r="CQ5" s="3553" t="s">
        <v>3711</v>
      </c>
      <c r="CR5" s="3553" t="s">
        <v>3712</v>
      </c>
      <c r="CS5" s="3553" t="s">
        <v>3713</v>
      </c>
      <c r="CT5" s="3553" t="s">
        <v>3714</v>
      </c>
      <c r="CU5" s="3553" t="s">
        <v>3720</v>
      </c>
      <c r="CV5" s="3553" t="s">
        <v>3721</v>
      </c>
      <c r="CW5" s="3553" t="s">
        <v>3722</v>
      </c>
      <c r="CX5" s="3553" t="s">
        <v>3723</v>
      </c>
      <c r="CY5" s="3553" t="s">
        <v>3724</v>
      </c>
      <c r="CZ5" s="3553" t="s">
        <v>466</v>
      </c>
      <c r="DA5" s="3553" t="s">
        <v>467</v>
      </c>
      <c r="DB5" s="3553" t="s">
        <v>468</v>
      </c>
      <c r="DC5" s="3553" t="s">
        <v>469</v>
      </c>
      <c r="DD5" s="3553" t="s">
        <v>470</v>
      </c>
      <c r="DE5" s="3553" t="s">
        <v>3725</v>
      </c>
      <c r="DF5" s="3553" t="s">
        <v>3726</v>
      </c>
      <c r="DG5" s="3553" t="s">
        <v>3727</v>
      </c>
      <c r="DH5" s="3553" t="s">
        <v>3728</v>
      </c>
      <c r="DI5" s="3553" t="s">
        <v>3729</v>
      </c>
      <c r="DJ5" s="3553" t="s">
        <v>822</v>
      </c>
      <c r="DK5" s="3553" t="s">
        <v>823</v>
      </c>
      <c r="DL5" s="3553" t="s">
        <v>824</v>
      </c>
      <c r="DM5" s="3553" t="s">
        <v>825</v>
      </c>
      <c r="DN5" s="3553" t="s">
        <v>826</v>
      </c>
      <c r="DO5" s="3553" t="s">
        <v>827</v>
      </c>
      <c r="DP5" s="3553" t="s">
        <v>828</v>
      </c>
      <c r="DQ5" s="3553" t="s">
        <v>829</v>
      </c>
      <c r="DR5" s="3553" t="s">
        <v>830</v>
      </c>
      <c r="DS5" s="3553" t="s">
        <v>831</v>
      </c>
      <c r="DT5" s="3553" t="s">
        <v>3730</v>
      </c>
      <c r="DU5" s="3553" t="s">
        <v>3731</v>
      </c>
      <c r="DV5" s="3553" t="s">
        <v>3732</v>
      </c>
      <c r="DW5" s="3553" t="s">
        <v>3733</v>
      </c>
      <c r="DX5" s="3553" t="s">
        <v>3734</v>
      </c>
      <c r="DY5" s="3553" t="s">
        <v>3735</v>
      </c>
      <c r="DZ5" s="3553" t="s">
        <v>3736</v>
      </c>
      <c r="EA5" s="3553" t="s">
        <v>3737</v>
      </c>
      <c r="EB5" s="3553" t="s">
        <v>3738</v>
      </c>
      <c r="EC5" s="3553" t="s">
        <v>3739</v>
      </c>
      <c r="ED5" s="3553" t="s">
        <v>2234</v>
      </c>
      <c r="EE5" s="3553" t="s">
        <v>2235</v>
      </c>
      <c r="EF5" s="3553" t="s">
        <v>2236</v>
      </c>
      <c r="EG5" s="3553" t="s">
        <v>2237</v>
      </c>
      <c r="EH5" s="3553" t="s">
        <v>2238</v>
      </c>
      <c r="EI5" s="3553" t="s">
        <v>3740</v>
      </c>
      <c r="EJ5" s="3553" t="s">
        <v>3741</v>
      </c>
      <c r="EK5" s="3553" t="s">
        <v>3742</v>
      </c>
      <c r="EL5" s="3553" t="s">
        <v>3743</v>
      </c>
      <c r="EM5" s="3553" t="s">
        <v>3744</v>
      </c>
      <c r="EN5" s="3553" t="s">
        <v>3745</v>
      </c>
      <c r="EO5" s="3553" t="s">
        <v>3746</v>
      </c>
      <c r="EP5" s="3553" t="s">
        <v>3747</v>
      </c>
      <c r="EQ5" s="3553" t="s">
        <v>3748</v>
      </c>
      <c r="ER5" s="3553" t="s">
        <v>3749</v>
      </c>
      <c r="ES5" s="3553" t="s">
        <v>111</v>
      </c>
      <c r="ET5" s="3553" t="s">
        <v>1083</v>
      </c>
      <c r="EU5" s="3553" t="s">
        <v>1084</v>
      </c>
      <c r="EV5" s="3553" t="s">
        <v>1139</v>
      </c>
      <c r="EW5" s="3553" t="s">
        <v>1140</v>
      </c>
      <c r="EX5" s="3553" t="s">
        <v>126</v>
      </c>
      <c r="EY5" s="3553" t="s">
        <v>1141</v>
      </c>
      <c r="EZ5" s="3553" t="s">
        <v>1142</v>
      </c>
      <c r="FA5" s="3553" t="s">
        <v>1143</v>
      </c>
      <c r="FB5" s="3553" t="s">
        <v>1144</v>
      </c>
      <c r="FC5" s="3553" t="s">
        <v>3750</v>
      </c>
      <c r="FD5" s="3553" t="s">
        <v>3751</v>
      </c>
      <c r="FE5" s="3553" t="s">
        <v>3752</v>
      </c>
      <c r="FF5" s="3553" t="s">
        <v>3753</v>
      </c>
      <c r="FG5" s="3553" t="s">
        <v>3754</v>
      </c>
      <c r="FH5" s="3553" t="s">
        <v>125</v>
      </c>
      <c r="FI5" s="3553" t="s">
        <v>853</v>
      </c>
      <c r="FJ5" s="3553" t="s">
        <v>854</v>
      </c>
      <c r="FK5" s="3553" t="s">
        <v>855</v>
      </c>
      <c r="FL5" s="3553" t="s">
        <v>856</v>
      </c>
      <c r="FM5" s="3553" t="s">
        <v>3755</v>
      </c>
      <c r="FN5" s="3553" t="s">
        <v>3756</v>
      </c>
      <c r="FO5" s="3553" t="s">
        <v>3757</v>
      </c>
      <c r="FP5" s="3553" t="s">
        <v>3758</v>
      </c>
      <c r="FQ5" s="3553" t="s">
        <v>3759</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2233</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2041</v>
      </c>
      <c r="HQ5" s="3553" t="s">
        <v>2042</v>
      </c>
      <c r="HR5" s="3553" t="s">
        <v>2043</v>
      </c>
      <c r="HS5" s="3553" t="s">
        <v>1385</v>
      </c>
      <c r="HT5" s="3553" t="s">
        <v>1386</v>
      </c>
      <c r="HU5" s="3553" t="s">
        <v>24</v>
      </c>
      <c r="HV5" s="3553" t="s">
        <v>25</v>
      </c>
      <c r="HW5" s="3553" t="s">
        <v>26</v>
      </c>
      <c r="HX5" s="3553" t="s">
        <v>27</v>
      </c>
      <c r="HY5" s="35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3" t="s">
        <v>1518</v>
      </c>
      <c r="LH5" s="3553" t="s">
        <v>2320</v>
      </c>
      <c r="LI5" s="3553" t="s">
        <v>2321</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6093</v>
      </c>
      <c r="D6" s="1515"/>
      <c r="E6" s="1515"/>
      <c r="F6" s="1515"/>
      <c r="G6" s="1211" t="s">
        <v>194</v>
      </c>
      <c r="H6" s="3662" t="s">
        <v>6095</v>
      </c>
      <c r="I6" s="3663"/>
      <c r="J6" s="3663"/>
      <c r="K6" s="686" t="s">
        <v>3134</v>
      </c>
      <c r="L6" s="3555" t="str">
        <f>'Part I-Project Identification'!$A$6</f>
        <v>April 2023</v>
      </c>
      <c r="M6" s="3555"/>
      <c r="N6" s="3555"/>
      <c r="O6" s="1717" t="s">
        <v>6075</v>
      </c>
      <c r="P6" s="1505">
        <v>63400</v>
      </c>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3039</v>
      </c>
      <c r="ML6" s="3593" t="s">
        <v>3040</v>
      </c>
      <c r="MM6" s="3593" t="s">
        <v>3041</v>
      </c>
      <c r="MN6" s="3593" t="s">
        <v>3042</v>
      </c>
      <c r="MO6" s="3593" t="s">
        <v>3043</v>
      </c>
      <c r="MP6" s="3553" t="s">
        <v>6279</v>
      </c>
      <c r="MQ6" s="3553" t="s">
        <v>6280</v>
      </c>
      <c r="MR6" s="3553" t="s">
        <v>6281</v>
      </c>
      <c r="MS6" s="3553" t="s">
        <v>6282</v>
      </c>
      <c r="MT6" s="3553"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6094</v>
      </c>
      <c r="E7" s="4"/>
      <c r="G7" s="1246" t="s">
        <v>2651</v>
      </c>
      <c r="I7" s="3586" t="s">
        <v>4069</v>
      </c>
      <c r="J7" s="686" t="s">
        <v>742</v>
      </c>
      <c r="K7" s="686" t="s">
        <v>3181</v>
      </c>
      <c r="L7" s="3555"/>
      <c r="M7" s="3555"/>
      <c r="N7" s="3555"/>
      <c r="O7" s="1718" t="s">
        <v>6074</v>
      </c>
      <c r="P7" s="1543">
        <v>44652</v>
      </c>
      <c r="Q7" s="3621"/>
      <c r="R7" s="3590" t="s">
        <v>2456</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3762</v>
      </c>
      <c r="C8" s="1"/>
      <c r="E8" s="1"/>
      <c r="F8" s="1"/>
      <c r="I8" s="3586"/>
      <c r="J8" s="686" t="s">
        <v>743</v>
      </c>
      <c r="K8" s="686" t="s">
        <v>3182</v>
      </c>
      <c r="L8" s="667"/>
      <c r="M8" s="667"/>
      <c r="N8" s="1716" t="s">
        <v>6478</v>
      </c>
      <c r="O8" s="3588" t="s">
        <v>7048</v>
      </c>
      <c r="P8" s="3589"/>
      <c r="Q8" s="3621"/>
      <c r="R8" s="668"/>
      <c r="S8" s="670" t="s">
        <v>2453</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3763</v>
      </c>
      <c r="C9" s="686" t="s">
        <v>165</v>
      </c>
      <c r="D9" s="686" t="s">
        <v>510</v>
      </c>
      <c r="E9" s="686" t="s">
        <v>1382</v>
      </c>
      <c r="F9" s="686" t="s">
        <v>1382</v>
      </c>
      <c r="G9" s="3586" t="s">
        <v>6090</v>
      </c>
      <c r="H9" s="830" t="s">
        <v>3300</v>
      </c>
      <c r="I9" s="3586"/>
      <c r="J9" s="3582" t="s">
        <v>6084</v>
      </c>
      <c r="K9" s="686" t="s">
        <v>2216</v>
      </c>
      <c r="L9" s="3591" t="s">
        <v>139</v>
      </c>
      <c r="M9" s="3592"/>
      <c r="N9" s="686" t="s">
        <v>2183</v>
      </c>
      <c r="O9" s="686" t="s">
        <v>6481</v>
      </c>
      <c r="P9" s="3584" t="s">
        <v>6243</v>
      </c>
      <c r="Q9" s="3621"/>
      <c r="R9" s="686" t="s">
        <v>2452</v>
      </c>
      <c r="S9" s="686" t="s">
        <v>2454</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4" t="s">
        <v>2244</v>
      </c>
      <c r="IB9" s="1884" t="s">
        <v>2245</v>
      </c>
      <c r="IC9" s="1884" t="s">
        <v>2246</v>
      </c>
      <c r="ID9" s="1884" t="s">
        <v>2247</v>
      </c>
      <c r="IE9" s="3553" t="s">
        <v>2298</v>
      </c>
      <c r="IF9" s="3553" t="s">
        <v>2298</v>
      </c>
      <c r="IG9" s="3553" t="s">
        <v>2298</v>
      </c>
      <c r="IH9" s="3553" t="s">
        <v>2298</v>
      </c>
      <c r="II9" s="3553" t="s">
        <v>2298</v>
      </c>
      <c r="IJ9" s="3553" t="s">
        <v>2999</v>
      </c>
      <c r="IK9" s="3553" t="s">
        <v>2999</v>
      </c>
      <c r="IL9" s="3553" t="s">
        <v>2999</v>
      </c>
      <c r="IM9" s="3553" t="s">
        <v>2999</v>
      </c>
      <c r="IN9" s="3553" t="s">
        <v>2999</v>
      </c>
      <c r="IO9" s="1884" t="s">
        <v>526</v>
      </c>
      <c r="IP9" s="1884" t="s">
        <v>2244</v>
      </c>
      <c r="IQ9" s="1884" t="s">
        <v>2245</v>
      </c>
      <c r="IR9" s="1884" t="s">
        <v>2246</v>
      </c>
      <c r="IS9" s="1884" t="s">
        <v>2247</v>
      </c>
      <c r="IT9" s="1884" t="s">
        <v>526</v>
      </c>
      <c r="IU9" s="1884" t="s">
        <v>2244</v>
      </c>
      <c r="IV9" s="1884" t="s">
        <v>2245</v>
      </c>
      <c r="IW9" s="1884" t="s">
        <v>2246</v>
      </c>
      <c r="IX9" s="1884" t="s">
        <v>2247</v>
      </c>
      <c r="IY9" s="3553" t="s">
        <v>6284</v>
      </c>
      <c r="IZ9" s="3553" t="s">
        <v>6284</v>
      </c>
      <c r="JA9" s="3553" t="s">
        <v>6284</v>
      </c>
      <c r="JB9" s="3553" t="s">
        <v>6284</v>
      </c>
      <c r="JC9" s="3553" t="s">
        <v>6284</v>
      </c>
      <c r="JD9" s="3553" t="s">
        <v>6285</v>
      </c>
      <c r="JE9" s="3553" t="s">
        <v>6285</v>
      </c>
      <c r="JF9" s="3553" t="s">
        <v>6285</v>
      </c>
      <c r="JG9" s="3553" t="s">
        <v>6285</v>
      </c>
      <c r="JH9" s="3553" t="s">
        <v>6285</v>
      </c>
      <c r="JI9" s="3553" t="s">
        <v>6287</v>
      </c>
      <c r="JJ9" s="3553" t="s">
        <v>6287</v>
      </c>
      <c r="JK9" s="3553" t="s">
        <v>6287</v>
      </c>
      <c r="JL9" s="3553" t="s">
        <v>6287</v>
      </c>
      <c r="JM9" s="3553" t="s">
        <v>6287</v>
      </c>
      <c r="JN9" s="3553" t="s">
        <v>6288</v>
      </c>
      <c r="JO9" s="3553" t="s">
        <v>6288</v>
      </c>
      <c r="JP9" s="3553" t="s">
        <v>6288</v>
      </c>
      <c r="JQ9" s="3553" t="s">
        <v>6288</v>
      </c>
      <c r="JR9" s="3553" t="s">
        <v>6288</v>
      </c>
      <c r="JS9" s="3553" t="s">
        <v>6289</v>
      </c>
      <c r="JT9" s="3553" t="s">
        <v>6289</v>
      </c>
      <c r="JU9" s="3553" t="s">
        <v>6289</v>
      </c>
      <c r="JV9" s="3553" t="s">
        <v>6289</v>
      </c>
      <c r="JW9" s="3553" t="s">
        <v>6289</v>
      </c>
      <c r="JX9" s="3553" t="s">
        <v>6482</v>
      </c>
      <c r="JY9" s="3553" t="s">
        <v>6482</v>
      </c>
      <c r="JZ9" s="3553" t="s">
        <v>6482</v>
      </c>
      <c r="KA9" s="3553" t="s">
        <v>6482</v>
      </c>
      <c r="KB9" s="3553" t="s">
        <v>6482</v>
      </c>
      <c r="KC9" s="3553" t="s">
        <v>6647</v>
      </c>
      <c r="KD9" s="3553" t="s">
        <v>6647</v>
      </c>
      <c r="KE9" s="3553" t="s">
        <v>6647</v>
      </c>
      <c r="KF9" s="3553" t="s">
        <v>6647</v>
      </c>
      <c r="KG9" s="3553" t="s">
        <v>6647</v>
      </c>
      <c r="KH9" s="3553" t="s">
        <v>6648</v>
      </c>
      <c r="KI9" s="3553" t="s">
        <v>6648</v>
      </c>
      <c r="KJ9" s="3553" t="s">
        <v>6648</v>
      </c>
      <c r="KK9" s="3553" t="s">
        <v>6648</v>
      </c>
      <c r="KL9" s="3553" t="s">
        <v>6648</v>
      </c>
      <c r="KM9" s="3553" t="s">
        <v>6291</v>
      </c>
      <c r="KN9" s="3553" t="s">
        <v>6291</v>
      </c>
      <c r="KO9" s="3553" t="s">
        <v>6291</v>
      </c>
      <c r="KP9" s="3553" t="s">
        <v>6291</v>
      </c>
      <c r="KQ9" s="3553" t="s">
        <v>6291</v>
      </c>
      <c r="KR9" s="3553" t="s">
        <v>6483</v>
      </c>
      <c r="KS9" s="3553" t="s">
        <v>6483</v>
      </c>
      <c r="KT9" s="3553" t="s">
        <v>6483</v>
      </c>
      <c r="KU9" s="3553" t="s">
        <v>6483</v>
      </c>
      <c r="KV9" s="3553" t="s">
        <v>6483</v>
      </c>
      <c r="KW9" s="3553" t="s">
        <v>6649</v>
      </c>
      <c r="KX9" s="3553" t="s">
        <v>6649</v>
      </c>
      <c r="KY9" s="3553" t="s">
        <v>6649</v>
      </c>
      <c r="KZ9" s="3553" t="s">
        <v>6649</v>
      </c>
      <c r="LA9" s="3553" t="s">
        <v>6649</v>
      </c>
      <c r="LB9" s="3553" t="s">
        <v>6650</v>
      </c>
      <c r="LC9" s="3553" t="s">
        <v>6650</v>
      </c>
      <c r="LD9" s="3553" t="s">
        <v>6650</v>
      </c>
      <c r="LE9" s="3553" t="s">
        <v>6650</v>
      </c>
      <c r="LF9" s="3553" t="s">
        <v>6650</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4" t="s">
        <v>3930</v>
      </c>
      <c r="C10" s="686" t="s">
        <v>164</v>
      </c>
      <c r="D10" s="686" t="s">
        <v>166</v>
      </c>
      <c r="E10" s="686" t="s">
        <v>1383</v>
      </c>
      <c r="F10" s="686" t="s">
        <v>1203</v>
      </c>
      <c r="G10" s="3587"/>
      <c r="H10" s="686" t="s">
        <v>6091</v>
      </c>
      <c r="I10" s="3587"/>
      <c r="J10" s="3583"/>
      <c r="K10" s="358" t="s">
        <v>334</v>
      </c>
      <c r="L10" s="686" t="s">
        <v>1432</v>
      </c>
      <c r="M10" s="686" t="s">
        <v>504</v>
      </c>
      <c r="N10" s="686" t="s">
        <v>1382</v>
      </c>
      <c r="O10" s="686" t="s">
        <v>6495</v>
      </c>
      <c r="P10" s="3585"/>
      <c r="Q10" s="3622"/>
      <c r="R10" s="686" t="s">
        <v>1384</v>
      </c>
      <c r="S10" s="686" t="s">
        <v>2455</v>
      </c>
      <c r="T10" s="10" t="s">
        <v>1710</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4" t="s">
        <v>2297</v>
      </c>
      <c r="IB10" s="1884" t="s">
        <v>2297</v>
      </c>
      <c r="IC10" s="1884" t="s">
        <v>2297</v>
      </c>
      <c r="ID10" s="1884" t="s">
        <v>2297</v>
      </c>
      <c r="IE10" s="3553"/>
      <c r="IF10" s="3553"/>
      <c r="IG10" s="3553"/>
      <c r="IH10" s="3553"/>
      <c r="II10" s="3553"/>
      <c r="IJ10" s="3553"/>
      <c r="IK10" s="3553"/>
      <c r="IL10" s="3553"/>
      <c r="IM10" s="3553"/>
      <c r="IN10" s="3553"/>
      <c r="IO10" s="1884" t="s">
        <v>2299</v>
      </c>
      <c r="IP10" s="1884" t="s">
        <v>2299</v>
      </c>
      <c r="IQ10" s="1884" t="s">
        <v>2299</v>
      </c>
      <c r="IR10" s="1884" t="s">
        <v>2299</v>
      </c>
      <c r="IS10" s="1884" t="s">
        <v>2299</v>
      </c>
      <c r="IT10" s="1884" t="s">
        <v>3000</v>
      </c>
      <c r="IU10" s="1884" t="s">
        <v>3000</v>
      </c>
      <c r="IV10" s="1884" t="s">
        <v>3000</v>
      </c>
      <c r="IW10" s="1884" t="s">
        <v>3000</v>
      </c>
      <c r="IX10" s="1884" t="s">
        <v>3000</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3673</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t="str">
        <f t="shared" si="0"/>
        <v/>
      </c>
      <c r="B12" s="1081" t="s">
        <v>3673</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t="str">
        <f t="shared" si="0"/>
        <v/>
      </c>
      <c r="B18" s="1118">
        <v>40</v>
      </c>
      <c r="C18" s="1083">
        <v>1</v>
      </c>
      <c r="D18" s="1753">
        <v>1</v>
      </c>
      <c r="E18" s="1084">
        <v>1</v>
      </c>
      <c r="F18" s="1084">
        <v>672</v>
      </c>
      <c r="G18" s="1084">
        <v>723</v>
      </c>
      <c r="H18" s="1084">
        <v>705</v>
      </c>
      <c r="I18" s="1084">
        <v>0</v>
      </c>
      <c r="J18" s="1100">
        <f>IF(C18="",0,HLOOKUP(C18,'Part IV-Utility Allowances'!$I$11:$M$22,12))</f>
        <v>110</v>
      </c>
      <c r="K18" s="1101"/>
      <c r="L18" s="1102">
        <f t="shared" si="1"/>
        <v>595</v>
      </c>
      <c r="M18" s="1102">
        <f t="shared" si="2"/>
        <v>595</v>
      </c>
      <c r="N18" s="1103" t="s">
        <v>2651</v>
      </c>
      <c r="O18" s="1685" t="s">
        <v>7075</v>
      </c>
      <c r="P18" s="1103" t="s">
        <v>2119</v>
      </c>
      <c r="Q18" s="1104" t="s">
        <v>2651</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f t="shared" si="24"/>
        <v>1</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f t="shared" si="139"/>
        <v>672</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1</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t="str">
        <f t="shared" si="0"/>
        <v/>
      </c>
      <c r="B19" s="1119">
        <v>40</v>
      </c>
      <c r="C19" s="132">
        <v>1</v>
      </c>
      <c r="D19" s="1751">
        <v>1</v>
      </c>
      <c r="E19" s="133">
        <v>3</v>
      </c>
      <c r="F19" s="133">
        <v>674</v>
      </c>
      <c r="G19" s="133">
        <v>723</v>
      </c>
      <c r="H19" s="133">
        <v>704</v>
      </c>
      <c r="I19" s="133">
        <v>0</v>
      </c>
      <c r="J19" s="756">
        <f>IF(C19="",0,HLOOKUP(C19,'Part IV-Utility Allowances'!$I$28:$M$39,12))</f>
        <v>109</v>
      </c>
      <c r="K19" s="644"/>
      <c r="L19" s="461">
        <f t="shared" si="1"/>
        <v>595</v>
      </c>
      <c r="M19" s="461">
        <f t="shared" si="2"/>
        <v>1785</v>
      </c>
      <c r="N19" s="695" t="s">
        <v>2651</v>
      </c>
      <c r="O19" s="1683" t="s">
        <v>6290</v>
      </c>
      <c r="P19" s="695" t="s">
        <v>2119</v>
      </c>
      <c r="Q19" s="134" t="s">
        <v>2651</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f t="shared" si="24"/>
        <v>3</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f t="shared" si="139"/>
        <v>2022</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9">
        <v>40</v>
      </c>
      <c r="C20" s="132">
        <v>2</v>
      </c>
      <c r="D20" s="1751">
        <v>1</v>
      </c>
      <c r="E20" s="133">
        <v>1</v>
      </c>
      <c r="F20" s="133">
        <v>952</v>
      </c>
      <c r="G20" s="133">
        <v>867</v>
      </c>
      <c r="H20" s="133">
        <v>835</v>
      </c>
      <c r="I20" s="133">
        <v>0</v>
      </c>
      <c r="J20" s="756">
        <f>IF(C20="",0,HLOOKUP(C20,'Part IV-Utility Allowances'!$I$11:$M$22,12))</f>
        <v>140</v>
      </c>
      <c r="K20" s="644"/>
      <c r="L20" s="461">
        <f t="shared" si="1"/>
        <v>695</v>
      </c>
      <c r="M20" s="461">
        <f t="shared" si="2"/>
        <v>695</v>
      </c>
      <c r="N20" s="695" t="s">
        <v>2651</v>
      </c>
      <c r="O20" s="1683" t="s">
        <v>7075</v>
      </c>
      <c r="P20" s="695" t="s">
        <v>2119</v>
      </c>
      <c r="Q20" s="134" t="s">
        <v>2651</v>
      </c>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f t="shared" si="25"/>
        <v>1</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f t="shared" si="140"/>
        <v>952</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1</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f t="shared" si="250"/>
        <v>1</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1</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t="str">
        <f t="shared" si="0"/>
        <v/>
      </c>
      <c r="B21" s="1119">
        <v>40</v>
      </c>
      <c r="C21" s="132">
        <v>2</v>
      </c>
      <c r="D21" s="1751">
        <v>2</v>
      </c>
      <c r="E21" s="133">
        <v>2</v>
      </c>
      <c r="F21" s="133">
        <v>916</v>
      </c>
      <c r="G21" s="133">
        <v>867</v>
      </c>
      <c r="H21" s="133">
        <v>834</v>
      </c>
      <c r="I21" s="133">
        <v>0</v>
      </c>
      <c r="J21" s="756">
        <f>IF(C21="",0,HLOOKUP(C21,'Part IV-Utility Allowances'!$I$28:$M$39,12))</f>
        <v>139</v>
      </c>
      <c r="K21" s="644"/>
      <c r="L21" s="461">
        <f t="shared" si="1"/>
        <v>695</v>
      </c>
      <c r="M21" s="461">
        <f t="shared" si="2"/>
        <v>1390</v>
      </c>
      <c r="N21" s="695" t="s">
        <v>2651</v>
      </c>
      <c r="O21" s="1683" t="s">
        <v>6290</v>
      </c>
      <c r="P21" s="695" t="s">
        <v>2119</v>
      </c>
      <c r="Q21" s="134" t="s">
        <v>2651</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f t="shared" si="25"/>
        <v>2</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f t="shared" si="140"/>
        <v>1832</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2</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2</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2</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t="str">
        <f t="shared" si="0"/>
        <v/>
      </c>
      <c r="B22" s="1119">
        <v>50</v>
      </c>
      <c r="C22" s="132">
        <v>1</v>
      </c>
      <c r="D22" s="1751">
        <v>1</v>
      </c>
      <c r="E22" s="133">
        <v>1</v>
      </c>
      <c r="F22" s="133">
        <v>672</v>
      </c>
      <c r="G22" s="133">
        <v>903</v>
      </c>
      <c r="H22" s="133">
        <v>835</v>
      </c>
      <c r="I22" s="133">
        <v>0</v>
      </c>
      <c r="J22" s="756">
        <f>IF(C22="",0,HLOOKUP(C22,'Part IV-Utility Allowances'!$I$11:$M$22,12))</f>
        <v>110</v>
      </c>
      <c r="K22" s="644"/>
      <c r="L22" s="461">
        <f t="shared" si="1"/>
        <v>725</v>
      </c>
      <c r="M22" s="461">
        <f t="shared" si="2"/>
        <v>725</v>
      </c>
      <c r="N22" s="695" t="s">
        <v>2651</v>
      </c>
      <c r="O22" s="1683" t="s">
        <v>7075</v>
      </c>
      <c r="P22" s="695" t="s">
        <v>2119</v>
      </c>
      <c r="Q22" s="134" t="s">
        <v>2651</v>
      </c>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f t="shared" si="19"/>
        <v>1</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f t="shared" si="134"/>
        <v>672</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1</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f t="shared" si="249"/>
        <v>1</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1</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9">
        <v>50</v>
      </c>
      <c r="C23" s="132">
        <v>1</v>
      </c>
      <c r="D23" s="1751">
        <v>1</v>
      </c>
      <c r="E23" s="133">
        <v>6</v>
      </c>
      <c r="F23" s="133">
        <v>674</v>
      </c>
      <c r="G23" s="133">
        <v>903</v>
      </c>
      <c r="H23" s="133">
        <v>834</v>
      </c>
      <c r="I23" s="133">
        <v>0</v>
      </c>
      <c r="J23" s="756">
        <f>IF(C23="",0,HLOOKUP(C23,'Part IV-Utility Allowances'!$I$28:$M$39,12))</f>
        <v>109</v>
      </c>
      <c r="K23" s="644"/>
      <c r="L23" s="461">
        <f t="shared" si="1"/>
        <v>725</v>
      </c>
      <c r="M23" s="461">
        <f t="shared" si="2"/>
        <v>4350</v>
      </c>
      <c r="N23" s="695" t="s">
        <v>2651</v>
      </c>
      <c r="O23" s="1683" t="s">
        <v>6290</v>
      </c>
      <c r="P23" s="695" t="s">
        <v>2119</v>
      </c>
      <c r="Q23" s="134" t="s">
        <v>2651</v>
      </c>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f t="shared" si="19"/>
        <v>6</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f t="shared" si="134"/>
        <v>4044</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6</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f t="shared" si="214"/>
        <v>6</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f t="shared" si="259"/>
        <v>6</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6</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t="str">
        <f t="shared" si="0"/>
        <v/>
      </c>
      <c r="B24" s="1119">
        <v>50</v>
      </c>
      <c r="C24" s="132">
        <v>2</v>
      </c>
      <c r="D24" s="1751">
        <v>2</v>
      </c>
      <c r="E24" s="133">
        <v>1</v>
      </c>
      <c r="F24" s="133">
        <v>952</v>
      </c>
      <c r="G24" s="133">
        <v>1084</v>
      </c>
      <c r="H24" s="133">
        <v>1040</v>
      </c>
      <c r="I24" s="133">
        <v>0</v>
      </c>
      <c r="J24" s="756">
        <f>IF(C24="",0,HLOOKUP(C24,'Part IV-Utility Allowances'!$I$11:$M$22,12))</f>
        <v>140</v>
      </c>
      <c r="K24" s="644"/>
      <c r="L24" s="461">
        <f t="shared" si="1"/>
        <v>900</v>
      </c>
      <c r="M24" s="461">
        <f t="shared" si="2"/>
        <v>900</v>
      </c>
      <c r="N24" s="695" t="s">
        <v>2651</v>
      </c>
      <c r="O24" s="1683" t="s">
        <v>7075</v>
      </c>
      <c r="P24" s="695" t="s">
        <v>2119</v>
      </c>
      <c r="Q24" s="134" t="s">
        <v>2651</v>
      </c>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f t="shared" si="20"/>
        <v>1</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f t="shared" si="135"/>
        <v>952</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f t="shared" si="250"/>
        <v>1</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1</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t="str">
        <f t="shared" si="0"/>
        <v/>
      </c>
      <c r="B25" s="1119">
        <v>50</v>
      </c>
      <c r="C25" s="132">
        <v>2</v>
      </c>
      <c r="D25" s="1751">
        <v>2</v>
      </c>
      <c r="E25" s="133">
        <v>3</v>
      </c>
      <c r="F25" s="133">
        <v>916</v>
      </c>
      <c r="G25" s="133">
        <v>1084</v>
      </c>
      <c r="H25" s="133">
        <v>1014</v>
      </c>
      <c r="I25" s="133">
        <v>0</v>
      </c>
      <c r="J25" s="756">
        <f>IF(C25="",0,HLOOKUP(C25,'Part IV-Utility Allowances'!$I$28:$M$39,12))</f>
        <v>139</v>
      </c>
      <c r="K25" s="644"/>
      <c r="L25" s="461">
        <f t="shared" si="1"/>
        <v>875</v>
      </c>
      <c r="M25" s="461">
        <f t="shared" si="2"/>
        <v>2625</v>
      </c>
      <c r="N25" s="695" t="s">
        <v>2651</v>
      </c>
      <c r="O25" s="1683" t="s">
        <v>6290</v>
      </c>
      <c r="P25" s="695" t="s">
        <v>2119</v>
      </c>
      <c r="Q25" s="134" t="s">
        <v>2651</v>
      </c>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f t="shared" si="20"/>
        <v>3</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f t="shared" si="135"/>
        <v>2748</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3</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3</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3</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3</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9">
        <v>60</v>
      </c>
      <c r="C26" s="132">
        <v>1</v>
      </c>
      <c r="D26" s="1751">
        <v>1</v>
      </c>
      <c r="E26" s="133">
        <v>1</v>
      </c>
      <c r="F26" s="133">
        <v>672</v>
      </c>
      <c r="G26" s="133">
        <v>1084</v>
      </c>
      <c r="H26" s="133">
        <v>985</v>
      </c>
      <c r="I26" s="133">
        <v>0</v>
      </c>
      <c r="J26" s="756">
        <f>IF(C26="",0,HLOOKUP(C26,'Part IV-Utility Allowances'!$I$11:$M$22,12))</f>
        <v>110</v>
      </c>
      <c r="K26" s="644"/>
      <c r="L26" s="461">
        <f t="shared" si="1"/>
        <v>875</v>
      </c>
      <c r="M26" s="461">
        <f t="shared" si="2"/>
        <v>875</v>
      </c>
      <c r="N26" s="695" t="s">
        <v>2651</v>
      </c>
      <c r="O26" s="1683" t="s">
        <v>7075</v>
      </c>
      <c r="P26" s="695" t="s">
        <v>2119</v>
      </c>
      <c r="Q26" s="134" t="s">
        <v>2651</v>
      </c>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f t="shared" si="14"/>
        <v>1</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f t="shared" si="129"/>
        <v>672</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f t="shared" si="169"/>
        <v>1</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f t="shared" si="249"/>
        <v>1</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1</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9">
        <v>60</v>
      </c>
      <c r="C27" s="132">
        <v>1</v>
      </c>
      <c r="D27" s="1751">
        <v>1</v>
      </c>
      <c r="E27" s="133">
        <v>15</v>
      </c>
      <c r="F27" s="133">
        <v>674</v>
      </c>
      <c r="G27" s="133">
        <v>1084</v>
      </c>
      <c r="H27" s="133">
        <v>984</v>
      </c>
      <c r="I27" s="133">
        <v>0</v>
      </c>
      <c r="J27" s="756">
        <f>IF(C27="",0,HLOOKUP(C27,'Part IV-Utility Allowances'!$I$28:$M$39,12))</f>
        <v>109</v>
      </c>
      <c r="K27" s="644"/>
      <c r="L27" s="461">
        <f t="shared" si="1"/>
        <v>875</v>
      </c>
      <c r="M27" s="461">
        <f t="shared" si="2"/>
        <v>13125</v>
      </c>
      <c r="N27" s="695" t="s">
        <v>2651</v>
      </c>
      <c r="O27" s="1683" t="s">
        <v>6290</v>
      </c>
      <c r="P27" s="695" t="s">
        <v>2119</v>
      </c>
      <c r="Q27" s="134" t="s">
        <v>2651</v>
      </c>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f t="shared" si="14"/>
        <v>15</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f t="shared" si="129"/>
        <v>10110</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f t="shared" si="169"/>
        <v>15</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f t="shared" si="214"/>
        <v>15</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f t="shared" si="259"/>
        <v>15</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15</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9">
        <v>60</v>
      </c>
      <c r="C28" s="132">
        <v>2</v>
      </c>
      <c r="D28" s="1751">
        <v>2</v>
      </c>
      <c r="E28" s="133">
        <v>1</v>
      </c>
      <c r="F28" s="133">
        <v>952</v>
      </c>
      <c r="G28" s="133">
        <v>1301</v>
      </c>
      <c r="H28" s="133">
        <v>1190</v>
      </c>
      <c r="I28" s="133">
        <v>0</v>
      </c>
      <c r="J28" s="756">
        <f>IF(C28="",0,HLOOKUP(C28,'Part IV-Utility Allowances'!$I$11:$M$22,12))</f>
        <v>140</v>
      </c>
      <c r="K28" s="644"/>
      <c r="L28" s="461">
        <f t="shared" si="1"/>
        <v>1050</v>
      </c>
      <c r="M28" s="461">
        <f t="shared" si="2"/>
        <v>1050</v>
      </c>
      <c r="N28" s="695" t="s">
        <v>2651</v>
      </c>
      <c r="O28" s="1683" t="s">
        <v>7075</v>
      </c>
      <c r="P28" s="695" t="s">
        <v>2119</v>
      </c>
      <c r="Q28" s="134" t="s">
        <v>2651</v>
      </c>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f t="shared" si="15"/>
        <v>1</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f t="shared" si="130"/>
        <v>952</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f t="shared" si="170"/>
        <v>1</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f t="shared" si="250"/>
        <v>1</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1</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9">
        <v>60</v>
      </c>
      <c r="C29" s="132">
        <v>2</v>
      </c>
      <c r="D29" s="1751">
        <v>2</v>
      </c>
      <c r="E29" s="133">
        <v>15</v>
      </c>
      <c r="F29" s="133">
        <v>916</v>
      </c>
      <c r="G29" s="133">
        <v>1301</v>
      </c>
      <c r="H29" s="133">
        <v>1189</v>
      </c>
      <c r="I29" s="133">
        <v>0</v>
      </c>
      <c r="J29" s="756">
        <f>IF(C29="",0,HLOOKUP(C29,'Part IV-Utility Allowances'!$I$28:$M$39,12))</f>
        <v>139</v>
      </c>
      <c r="K29" s="644"/>
      <c r="L29" s="461">
        <f t="shared" si="1"/>
        <v>1050</v>
      </c>
      <c r="M29" s="461">
        <f t="shared" si="2"/>
        <v>15750</v>
      </c>
      <c r="N29" s="695" t="s">
        <v>2651</v>
      </c>
      <c r="O29" s="1683" t="s">
        <v>6290</v>
      </c>
      <c r="P29" s="695" t="s">
        <v>2119</v>
      </c>
      <c r="Q29" s="134" t="s">
        <v>2651</v>
      </c>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f t="shared" si="15"/>
        <v>15</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f t="shared" si="130"/>
        <v>13740</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f t="shared" si="170"/>
        <v>15</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f t="shared" si="215"/>
        <v>15</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f t="shared" si="260"/>
        <v>15</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15</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9">
        <v>80</v>
      </c>
      <c r="C30" s="132">
        <v>1</v>
      </c>
      <c r="D30" s="1751">
        <v>1</v>
      </c>
      <c r="E30" s="133">
        <v>1</v>
      </c>
      <c r="F30" s="133">
        <v>672</v>
      </c>
      <c r="G30" s="133">
        <v>1446</v>
      </c>
      <c r="H30" s="133">
        <v>1060</v>
      </c>
      <c r="I30" s="133">
        <v>0</v>
      </c>
      <c r="J30" s="756">
        <f>IF(C30="",0,HLOOKUP(C30,'Part IV-Utility Allowances'!$I$11:$M$22,12))</f>
        <v>110</v>
      </c>
      <c r="K30" s="644"/>
      <c r="L30" s="461">
        <f t="shared" si="1"/>
        <v>950</v>
      </c>
      <c r="M30" s="461">
        <f t="shared" si="2"/>
        <v>950</v>
      </c>
      <c r="N30" s="695" t="s">
        <v>2651</v>
      </c>
      <c r="O30" s="1683" t="s">
        <v>7075</v>
      </c>
      <c r="P30" s="695" t="s">
        <v>2119</v>
      </c>
      <c r="Q30" s="134" t="s">
        <v>2651</v>
      </c>
      <c r="R30" s="739"/>
      <c r="S30" s="740"/>
      <c r="T30" s="3558"/>
      <c r="U30" s="3559"/>
      <c r="V30" s="3559"/>
      <c r="W30" s="3560"/>
      <c r="X30" s="357" t="str">
        <f t="shared" si="3"/>
        <v/>
      </c>
      <c r="Y30" s="357">
        <f t="shared" si="4"/>
        <v>1</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f t="shared" si="119"/>
        <v>672</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f t="shared" si="169"/>
        <v>1</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f t="shared" si="249"/>
        <v>1</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1</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9">
        <v>80</v>
      </c>
      <c r="C31" s="132">
        <v>1</v>
      </c>
      <c r="D31" s="1751">
        <v>1</v>
      </c>
      <c r="E31" s="133">
        <v>2</v>
      </c>
      <c r="F31" s="133">
        <v>674</v>
      </c>
      <c r="G31" s="133">
        <v>1446</v>
      </c>
      <c r="H31" s="133">
        <v>1059</v>
      </c>
      <c r="I31" s="133">
        <v>0</v>
      </c>
      <c r="J31" s="756">
        <f>IF(C31="",0,HLOOKUP(C31,'Part IV-Utility Allowances'!$I$28:$M$39,12))</f>
        <v>109</v>
      </c>
      <c r="K31" s="644"/>
      <c r="L31" s="461">
        <f t="shared" si="1"/>
        <v>950</v>
      </c>
      <c r="M31" s="461">
        <f t="shared" si="2"/>
        <v>1900</v>
      </c>
      <c r="N31" s="695" t="s">
        <v>2651</v>
      </c>
      <c r="O31" s="1683" t="s">
        <v>6290</v>
      </c>
      <c r="P31" s="695" t="s">
        <v>2119</v>
      </c>
      <c r="Q31" s="134" t="s">
        <v>2651</v>
      </c>
      <c r="R31" s="739"/>
      <c r="S31" s="740"/>
      <c r="T31" s="3558"/>
      <c r="U31" s="3559"/>
      <c r="V31" s="3559"/>
      <c r="W31" s="3560"/>
      <c r="X31" s="357" t="str">
        <f t="shared" si="3"/>
        <v/>
      </c>
      <c r="Y31" s="357">
        <f t="shared" si="4"/>
        <v>2</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f t="shared" si="119"/>
        <v>1348</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f t="shared" si="169"/>
        <v>2</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f t="shared" si="214"/>
        <v>2</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f t="shared" si="259"/>
        <v>2</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2</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9">
        <v>80</v>
      </c>
      <c r="C32" s="132">
        <v>2</v>
      </c>
      <c r="D32" s="1751">
        <v>2</v>
      </c>
      <c r="E32" s="133">
        <v>1</v>
      </c>
      <c r="F32" s="133">
        <v>952</v>
      </c>
      <c r="G32" s="133">
        <v>1735</v>
      </c>
      <c r="H32" s="133">
        <v>1290</v>
      </c>
      <c r="I32" s="133">
        <v>0</v>
      </c>
      <c r="J32" s="756">
        <f>IF(C32="",0,HLOOKUP(C32,'Part IV-Utility Allowances'!$I$11:$M$22,12))</f>
        <v>140</v>
      </c>
      <c r="K32" s="644"/>
      <c r="L32" s="461">
        <f t="shared" si="1"/>
        <v>1150</v>
      </c>
      <c r="M32" s="461">
        <f t="shared" si="2"/>
        <v>1150</v>
      </c>
      <c r="N32" s="695" t="s">
        <v>2651</v>
      </c>
      <c r="O32" s="1683" t="s">
        <v>7075</v>
      </c>
      <c r="P32" s="695" t="s">
        <v>2119</v>
      </c>
      <c r="Q32" s="134" t="s">
        <v>2651</v>
      </c>
      <c r="R32" s="739"/>
      <c r="S32" s="740"/>
      <c r="T32" s="3558"/>
      <c r="U32" s="3559"/>
      <c r="V32" s="3559"/>
      <c r="W32" s="3560"/>
      <c r="X32" s="357" t="str">
        <f t="shared" si="3"/>
        <v/>
      </c>
      <c r="Y32" s="357" t="str">
        <f t="shared" si="4"/>
        <v/>
      </c>
      <c r="Z32" s="357">
        <f t="shared" si="5"/>
        <v>1</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f t="shared" si="120"/>
        <v>952</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f t="shared" si="170"/>
        <v>1</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f t="shared" si="250"/>
        <v>1</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1</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9">
        <v>80</v>
      </c>
      <c r="C33" s="132">
        <v>2</v>
      </c>
      <c r="D33" s="1751">
        <v>2</v>
      </c>
      <c r="E33" s="133">
        <v>2</v>
      </c>
      <c r="F33" s="133">
        <v>916</v>
      </c>
      <c r="G33" s="133">
        <v>1735</v>
      </c>
      <c r="H33" s="133">
        <v>1289</v>
      </c>
      <c r="I33" s="133">
        <v>0</v>
      </c>
      <c r="J33" s="756">
        <f>IF(C33="",0,HLOOKUP(C33,'Part IV-Utility Allowances'!$I$28:$M$39,12))</f>
        <v>139</v>
      </c>
      <c r="K33" s="644"/>
      <c r="L33" s="461">
        <f t="shared" si="1"/>
        <v>1150</v>
      </c>
      <c r="M33" s="461">
        <f t="shared" si="2"/>
        <v>2300</v>
      </c>
      <c r="N33" s="695" t="s">
        <v>2651</v>
      </c>
      <c r="O33" s="1683" t="s">
        <v>6290</v>
      </c>
      <c r="P33" s="695" t="s">
        <v>2119</v>
      </c>
      <c r="Q33" s="134" t="s">
        <v>2651</v>
      </c>
      <c r="R33" s="739"/>
      <c r="S33" s="740"/>
      <c r="T33" s="3558"/>
      <c r="U33" s="3559"/>
      <c r="V33" s="3559"/>
      <c r="W33" s="3560"/>
      <c r="X33" s="357" t="str">
        <f t="shared" si="3"/>
        <v/>
      </c>
      <c r="Y33" s="357" t="str">
        <f t="shared" si="4"/>
        <v/>
      </c>
      <c r="Z33" s="357">
        <f t="shared" si="5"/>
        <v>2</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f t="shared" si="120"/>
        <v>1832</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f t="shared" si="170"/>
        <v>2</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f t="shared" si="215"/>
        <v>2</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f t="shared" si="260"/>
        <v>2</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2</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IF(AND(E35&gt;0,OR(B35="",C35="",D35="",F35="",G35="", H35="",I35="",N35="",O35="",P35="",Q35="")),1,"")</f>
        <v/>
      </c>
      <c r="B35" s="1119"/>
      <c r="C35" s="132"/>
      <c r="D35" s="1751"/>
      <c r="E35" s="133"/>
      <c r="F35" s="133"/>
      <c r="G35" s="133"/>
      <c r="H35" s="133"/>
      <c r="I35" s="133"/>
      <c r="J35" s="756">
        <f>IF(C35="",0,HLOOKUP(C35,'Part IV-Utility Allowances'!$I$11:$M$22,12))</f>
        <v>0</v>
      </c>
      <c r="K35" s="644"/>
      <c r="L35" s="461">
        <f>MAX(0,H35-I35-J35)</f>
        <v>0</v>
      </c>
      <c r="M35" s="461">
        <f>MAX(0,E35*L35)</f>
        <v>0</v>
      </c>
      <c r="N35" s="695"/>
      <c r="O35" s="1683"/>
      <c r="P35" s="695"/>
      <c r="Q35" s="134"/>
      <c r="R35" s="739"/>
      <c r="S35" s="740"/>
      <c r="T35" s="3558"/>
      <c r="U35" s="3559"/>
      <c r="V35" s="3559"/>
      <c r="W35" s="3560"/>
      <c r="X35" s="357" t="str">
        <f>IF(AND(C35="Efficiency",B35=80,NOT(N35="Common Space")),E35,"")</f>
        <v/>
      </c>
      <c r="Y35" s="357" t="str">
        <f>IF(AND(C35=1,B35=80,NOT(N35="Common Space")),E35,"")</f>
        <v/>
      </c>
      <c r="Z35" s="357" t="str">
        <f>IF(AND(C35=2,B35=80,NOT(N35="Common Space")),E35,"")</f>
        <v/>
      </c>
      <c r="AA35" s="357" t="str">
        <f>IF(AND(C35=3,B35=80,NOT(N35="Common Space")),E35,"")</f>
        <v/>
      </c>
      <c r="AB35" s="357" t="str">
        <f>IF(AND(C35=4,B35=80,NOT(N35="Common Space")),E35,"")</f>
        <v/>
      </c>
      <c r="AC35" s="357" t="str">
        <f>IF(AND(C35="Efficiency",B35=70,NOT(N35="Common Space")),E35,"")</f>
        <v/>
      </c>
      <c r="AD35" s="357" t="str">
        <f>IF(AND(C35=1,B35=70,NOT(N35="Common Space")),E35,"")</f>
        <v/>
      </c>
      <c r="AE35" s="357" t="str">
        <f>IF(AND(C35=2,B35=70,NOT(N35="Common Space")),E35,"")</f>
        <v/>
      </c>
      <c r="AF35" s="357" t="str">
        <f>IF(AND(C35=3,B35=70,NOT(N35="Common Space")),E35,"")</f>
        <v/>
      </c>
      <c r="AG35" s="357" t="str">
        <f>IF(AND(C35=4,B35=70,NOT(N35="Common Space")),E35,"")</f>
        <v/>
      </c>
      <c r="AH35" s="357" t="str">
        <f>IF(AND(C35="Efficiency",B35=60,NOT(N35="Common Space")),E35,"")</f>
        <v/>
      </c>
      <c r="AI35" s="357" t="str">
        <f>IF(AND(C35=1,B35=60,NOT(N35="Common Space")),E35,"")</f>
        <v/>
      </c>
      <c r="AJ35" s="357" t="str">
        <f>IF(AND(C35=2,B35=60,NOT(N35="Common Space")),E35,"")</f>
        <v/>
      </c>
      <c r="AK35" s="357" t="str">
        <f>IF(AND(C35=3,B35=60,NOT(N35="Common Space")),E35,"")</f>
        <v/>
      </c>
      <c r="AL35" s="357" t="str">
        <f>IF(AND(C35=4,B35=60,NOT(N35="Common Space")),E35,"")</f>
        <v/>
      </c>
      <c r="AM35" s="357" t="str">
        <f>IF(AND(C35="Efficiency",B35=50,NOT(N35="Common Space")),E35,"")</f>
        <v/>
      </c>
      <c r="AN35" s="357" t="str">
        <f>IF(AND(C35=1,B35=50,NOT(N35="Common Space")),E35,"")</f>
        <v/>
      </c>
      <c r="AO35" s="357" t="str">
        <f>IF(AND(C35=2,B35=50,NOT(N35="Common Space")),E35,"")</f>
        <v/>
      </c>
      <c r="AP35" s="357" t="str">
        <f>IF(AND(C35=3,B35=50,NOT(N35="Common Space")),E35,"")</f>
        <v/>
      </c>
      <c r="AQ35" s="357" t="str">
        <f>IF(AND(C35=4,B35=50,NOT(N35="Common Space")),E35,"")</f>
        <v/>
      </c>
      <c r="AR35" s="357" t="str">
        <f>IF(AND(C35="Efficiency",B35=40,NOT(N35="Common Space")),E35,"")</f>
        <v/>
      </c>
      <c r="AS35" s="357" t="str">
        <f>IF(AND(C35=1,B35=40,NOT(N35="Common Space")),E35,"")</f>
        <v/>
      </c>
      <c r="AT35" s="357" t="str">
        <f>IF(AND(C35=2,B35=40,NOT(N35="Common Space")),E35,"")</f>
        <v/>
      </c>
      <c r="AU35" s="357" t="str">
        <f>IF(AND(C35=3,B35=40,NOT(N35="Common Space")),E35,"")</f>
        <v/>
      </c>
      <c r="AV35" s="357" t="str">
        <f>IF(AND(C35=4,B35=40,NOT(N35="Common Space")),E35,"")</f>
        <v/>
      </c>
      <c r="AW35" s="357" t="str">
        <f>IF(AND(C35="Efficiency",B35=30,NOT(N35="Common Space")),E35,"")</f>
        <v/>
      </c>
      <c r="AX35" s="357" t="str">
        <f>IF(AND(C35=1,B35=30,NOT(N35="Common Space")),E35,"")</f>
        <v/>
      </c>
      <c r="AY35" s="357" t="str">
        <f>IF(AND(C35=2,B35=30,NOT(N35="Common Space")),E35,"")</f>
        <v/>
      </c>
      <c r="AZ35" s="357" t="str">
        <f>IF(AND(C35=3,B35=30,NOT(N35="Common Space")),E35,"")</f>
        <v/>
      </c>
      <c r="BA35" s="357" t="str">
        <f>IF(AND(C35=4,B35=30,NOT(N35="Common Space")),E35,"")</f>
        <v/>
      </c>
      <c r="BB35" s="357" t="str">
        <f>IF(AND(C35="Efficiency",B35=20,NOT(N35="Common Space")),E35,"")</f>
        <v/>
      </c>
      <c r="BC35" s="357" t="str">
        <f>IF(AND(C35=1,B35=20,NOT(N35="Common Space")),E35,"")</f>
        <v/>
      </c>
      <c r="BD35" s="357" t="str">
        <f>IF(AND(C35=2,B35=20,NOT(N35="Common Space")),E35,"")</f>
        <v/>
      </c>
      <c r="BE35" s="357" t="str">
        <f>IF(AND(C35=3,B35=20,NOT(N35="Common Space")),E35,"")</f>
        <v/>
      </c>
      <c r="BF35" s="357" t="str">
        <f>IF(AND(C35=4,B35=20,NOT(N35="Common Space")),E35,"")</f>
        <v/>
      </c>
      <c r="BG35" s="357" t="str">
        <f>IF(AND(C35="Efficiency",B35="Unrestricted",NOT(N35="Common Space")),E35,"")</f>
        <v/>
      </c>
      <c r="BH35" s="357" t="str">
        <f>IF(AND(C35=1,B35="Unrestricted",NOT(N35="Common Space")),E35,"")</f>
        <v/>
      </c>
      <c r="BI35" s="357" t="str">
        <f>IF(AND(C35=2,B35="Unrestricted",NOT(N35="Common Space")),E35,"")</f>
        <v/>
      </c>
      <c r="BJ35" s="357" t="str">
        <f>IF(AND(C35=3,B35="Unrestricted",NOT(N35="Common Space")),E35,"")</f>
        <v/>
      </c>
      <c r="BK35" s="357" t="str">
        <f>IF(AND(C35=4,B35="Unrestricted",NOT(N35="Common Space")),E35,"")</f>
        <v/>
      </c>
      <c r="BL35" s="357" t="str">
        <f>IF(OR(AND($C35="Efficiency",NOT($K35=""),NOT($K35="PHA Oper Sub"),$B35=20,NOT($N35="Common Space")),AND($C35="Efficiency",NOT($K35=""),NOT($K35="PHA Oper Sub"),$B35="HOME 20",NOT($N35="Common Space"))),$E35,"")</f>
        <v/>
      </c>
      <c r="BM35" s="357" t="str">
        <f>IF(OR(AND($C35=1,NOT($K35=""),NOT($K35="PHA Oper Sub"),$B35=20,NOT($N35="Common Space")),AND($C35=1,NOT($K35=""),NOT($K35="PHA Oper Sub"),$B35="HOME 20",NOT($N35="Common Space"))),$E35,"")</f>
        <v/>
      </c>
      <c r="BN35" s="357" t="str">
        <f>IF(OR(AND($C35=2,NOT($K35=""),NOT($K35="PHA Oper Sub"),$B35=20,NOT($N35="Common Space")),AND($C35=2,NOT($K35=""),NOT($K35="PHA Oper Sub"),$B35="HOME 20",NOT($N35="Common Space"))),$E35,"")</f>
        <v/>
      </c>
      <c r="BO35" s="357" t="str">
        <f>IF(OR(AND($C35=3,NOT($K35=""),NOT($K35="PHA Oper Sub"),$B35=20,NOT($N35="Common Space")),AND($C35=3,NOT($K35=""),NOT($K35="PHA Oper Sub"),$B35="HOME 20",NOT($N35="Common Space"))),$E35,"")</f>
        <v/>
      </c>
      <c r="BP35" s="357" t="str">
        <f>IF(OR(AND($C35=4,NOT($K35=""),NOT($K35="PHA Oper Sub"),$B35=20,NOT($N35="Common Space")),AND($C35=4,NOT($K35=""),NOT($K35="PHA Oper Sub"),$B35="HOME 20",NOT($N35="Common Space"))),$E35,"")</f>
        <v/>
      </c>
      <c r="BQ35" s="357" t="str">
        <f>IF(OR(AND($C35="Efficiency",NOT($K35=""),NOT($K35="PHA Oper Sub"),$B35=30,NOT($N35="Common Space")),AND($C35="Efficiency",NOT($K35=""),NOT($K35="PHA Oper Sub"),$B35="HOME 30",NOT($N35="Common Space"))),$E35,"")</f>
        <v/>
      </c>
      <c r="BR35" s="357" t="str">
        <f>IF(OR(AND($C35=1,NOT($K35=""),NOT($K35="PHA Oper Sub"),$B35=30,NOT($N35="Common Space")),AND($C35=1,NOT($K35=""),NOT($K35="PHA Oper Sub"),$B35="HOME 30",NOT($N35="Common Space"))),$E35,"")</f>
        <v/>
      </c>
      <c r="BS35" s="357" t="str">
        <f>IF(OR(AND($C35=2,NOT($K35=""),NOT($K35="PHA Oper Sub"),$B35=30,NOT($N35="Common Space")),AND($C35=2,NOT($K35=""),NOT($K35="PHA Oper Sub"),$B35="HOME 30",NOT($N35="Common Space"))),$E35,"")</f>
        <v/>
      </c>
      <c r="BT35" s="357" t="str">
        <f>IF(OR(AND($C35=3,NOT($K35=""),NOT($K35="PHA Oper Sub"),$B35=30,NOT($N35="Common Space")),AND($C35=3,NOT($K35=""),NOT($K35="PHA Oper Sub"),$B35="HOME 30",NOT($N35="Common Space"))),$E35,"")</f>
        <v/>
      </c>
      <c r="BU35" s="357" t="str">
        <f>IF(OR(AND($C35=4,NOT($K35=""),NOT($K35="PHA Oper Sub"),$B35=30,NOT($N35="Common Space")),AND($C35=4,NOT($K35=""),NOT($K35="PHA Oper Sub"),$B35="HOME 30",NOT($N35="Common Space"))),$E35,"")</f>
        <v/>
      </c>
      <c r="BV35" s="357" t="str">
        <f>IF(OR(AND($C35="Efficiency",NOT($K35=""),NOT($K35="PHA Oper Sub"),$B35=40,NOT($N35="Common Space")),AND($C35="Efficiency",NOT($K35=""),NOT($K35="PHA Oper Sub"),$B35="HOME 40",NOT($N35="Common Space"))),$E35,"")</f>
        <v/>
      </c>
      <c r="BW35" s="357" t="str">
        <f>IF(OR(AND($C35=1,NOT($K35=""),NOT($K35="PHA Oper Sub"),$B35=40,NOT($N35="Common Space")),AND($C35=1,NOT($K35=""),NOT($K35="PHA Oper Sub"),$B35="HOME 40",NOT($N35="Common Space"))),$E35,"")</f>
        <v/>
      </c>
      <c r="BX35" s="357" t="str">
        <f>IF(OR(AND($C35=2,NOT($K35=""),NOT($K35="PHA Oper Sub"),$B35=40,NOT($N35="Common Space")),AND($C35=2,NOT($K35=""),NOT($K35="PHA Oper Sub"),$B35="HOME 40",NOT($N35="Common Space"))),$E35,"")</f>
        <v/>
      </c>
      <c r="BY35" s="357" t="str">
        <f>IF(OR(AND($C35=3,NOT($K35=""),NOT($K35="PHA Oper Sub"),$B35=40,NOT($N35="Common Space")),AND($C35=3,NOT($K35=""),NOT($K35="PHA Oper Sub"),$B35="HOME 40",NOT($N35="Common Space"))),$E35,"")</f>
        <v/>
      </c>
      <c r="BZ35" s="357" t="str">
        <f>IF(OR(AND($C35=4,NOT($K35=""),NOT($K35="PHA Oper Sub"),$B35=40,NOT($N35="Common Space")),AND($C35=4,NOT($K35=""),NOT($K35="PHA Oper Sub"),$B35="HOME 40",NOT($N35="Common Space"))),$E35,"")</f>
        <v/>
      </c>
      <c r="CA35" s="357" t="str">
        <f>IF(OR(AND($C35="Efficiency",NOT($K35=""),NOT($K35="PHA Oper Sub"),NOT($K35=0),$B35=50,NOT($N35="Common Space")),AND($C35="Efficiency",NOT($K35=""),NOT($K35=0),NOT($K35="PHA Oper Sub"),$B35="HOME 50",NOT($N35="Common Space"))),$E35,"")</f>
        <v/>
      </c>
      <c r="CB35" s="357" t="str">
        <f>IF(OR(AND($C35=1,NOT($K35=""),NOT($K35=0),NOT($K35="PHA Oper Sub"),$B35=50,NOT($N35="Common Space")),AND($C35=1,NOT($K35=""),NOT($K35=0),NOT($K35="PHA Oper Sub"),$B35="HOME 50",NOT($N35="Common Space"))),$E35,"")</f>
        <v/>
      </c>
      <c r="CC35" s="357" t="str">
        <f>IF(OR(AND($C35=2,NOT($K35=""),NOT($K35=0),NOT($K35="PHA Oper Sub"),$B35=50,NOT($N35="Common Space")),AND($C35=2,NOT($K35=""),NOT($K35=0),NOT($K35="PHA Oper Sub"),$B35="HOME 50",NOT($N35="Common Space"))),$E35,"")</f>
        <v/>
      </c>
      <c r="CD35" s="357" t="str">
        <f>IF(OR(AND($C35=3,NOT($K35=""),NOT($K35=0),NOT($K35="PHA Oper Sub"),$B35=50,NOT($N35="Common Space")),AND($C35=3,NOT($K35=""),NOT($K35=0),NOT($K35="PHA Oper Sub"),$B35="HOME 50",NOT($N35="Common Space"))),$E35,"")</f>
        <v/>
      </c>
      <c r="CE35" s="357" t="str">
        <f>IF(OR(AND($C35=4,NOT($K35=""),NOT($K35=0),NOT($K35="PHA Oper Sub"),$B35=50,NOT($N35="Common Space")),AND($C35=4,NOT($K35=""),NOT($K35=0),NOT($K35="PHA Oper Sub"),$B35="HOME 50",NOT($N35="Common Space"))),$E35,"")</f>
        <v/>
      </c>
      <c r="CF35" s="357" t="str">
        <f>IF(OR(AND($C35="Efficiency",NOT($K35=""),NOT($K35=0),NOT($K35="PHA Oper Sub"),$B35=60,NOT($N35="Common Space")),AND($C35="Efficiency",NOT($K35=""),NOT($K35=0),NOT($K35="PHA Oper Sub"),$B35="HOME 60",NOT($N35="Common Space"))),$E35,"")</f>
        <v/>
      </c>
      <c r="CG35" s="357" t="str">
        <f>IF(OR(AND($C35=1,NOT($K35=""),NOT($K35=0),NOT($K35="PHA Oper Sub"),$B35=60,NOT($N35="Common Space")),AND($C35=1,NOT($K35=""),NOT($K35=0),NOT($K35="PHA Oper Sub"),$B35="HOME 60",NOT($N35="Common Space"))),$E35,"")</f>
        <v/>
      </c>
      <c r="CH35" s="357" t="str">
        <f>IF(OR(AND($C35=2,NOT($K35=""),NOT($K35=0),NOT($K35="PHA Oper Sub"),$B35=60,NOT($N35="Common Space")),AND($C35=2,NOT($K35=""),NOT($K35=0),NOT($K35="PHA Oper Sub"),$B35="HOME 60",NOT($N35="Common Space"))),$E35,"")</f>
        <v/>
      </c>
      <c r="CI35" s="357" t="str">
        <f>IF(OR(AND($C35=3,NOT($K35=""),NOT($K35=0),NOT($K35="PHA Oper Sub"),$B35=60,NOT($N35="Common Space")),AND($C35=3,NOT($K35=""),NOT($K35=0),NOT($K35="PHA Oper Sub"),$B35="HOME 60",NOT($N35="Common Space"))),$E35,"")</f>
        <v/>
      </c>
      <c r="CJ35" s="357" t="str">
        <f>IF(OR(AND($C35=4,NOT($K35=""),NOT($K35=0),NOT($K35="PHA Oper Sub"),$B35=60,NOT($N35="Common Space")),AND($C35=4,NOT($K35=""),NOT($K35=0),NOT($K35="PHA Oper Sub"),$B35="HOME 60",NOT($N35="Common Space"))),$E35,"")</f>
        <v/>
      </c>
      <c r="CK35" s="357" t="str">
        <f>IF(OR(AND($C35="Efficiency",NOT($K35=""),NOT($K35="PHA Oper Sub"),$B35=70,NOT($N35="Common Space")),AND($C35="Efficiency",NOT($K35=""),NOT($K35="PHA Oper Sub"),$B35="HOME 70",NOT($N35="Common Space"))),$E35,"")</f>
        <v/>
      </c>
      <c r="CL35" s="357" t="str">
        <f>IF(OR(AND($C35=1,NOT($K35=""),NOT($K35="PHA Oper Sub"),$B35=70,NOT($N35="Common Space")),AND($C35=1,NOT($K35=""),NOT($K35="PHA Oper Sub"),$B35="HOME 70",NOT($N35="Common Space"))),$E35,"")</f>
        <v/>
      </c>
      <c r="CM35" s="357" t="str">
        <f>IF(OR(AND($C35=2,NOT($K35=""),NOT($K35="PHA Oper Sub"),$B35=70,NOT($N35="Common Space")),AND($C35=2,NOT($K35=""),NOT($K35="PHA Oper Sub"),$B35="HOME 70",NOT($N35="Common Space"))),$E35,"")</f>
        <v/>
      </c>
      <c r="CN35" s="357" t="str">
        <f>IF(OR(AND($C35=3,NOT($K35=""),NOT($K35="PHA Oper Sub"),$B35=70,NOT($N35="Common Space")),AND($C35=3,NOT($K35=""),NOT($K35="PHA Oper Sub"),$B35="HOME 70",NOT($N35="Common Space"))),$E35,"")</f>
        <v/>
      </c>
      <c r="CO35" s="357" t="str">
        <f>IF(OR(AND($C35=4,NOT($K35=""),NOT($K35="PHA Oper Sub"),$B35=70,NOT($N35="Common Space")),AND($C35=4,NOT($K35=""),NOT($K35="PHA Oper Sub"),$B35="HOME 70",NOT($N35="Common Space"))),$E35,"")</f>
        <v/>
      </c>
      <c r="CP35" s="357" t="str">
        <f>IF(OR(AND($C35="Efficiency",NOT($K35=""),NOT($K35="PHA Oper Sub"),$B35=80,NOT($N35="Common Space")),AND($C35="Efficiency",NOT($K35=""),NOT($K35="PHA Oper Sub"),$B35="HOME 80",NOT($N35="Common Space"))),$E35,"")</f>
        <v/>
      </c>
      <c r="CQ35" s="357" t="str">
        <f>IF(OR(AND($C35=1,NOT($K35=""),NOT($K35="PHA Oper Sub"),$B35=80,NOT($N35="Common Space")),AND($C35=1,NOT($K35=""),NOT($K35="PHA Oper Sub"),$B35="HOME 80",NOT($N35="Common Space"))),$E35,"")</f>
        <v/>
      </c>
      <c r="CR35" s="357" t="str">
        <f>IF(OR(AND($C35=2,NOT($K35=""),NOT($K35="PHA Oper Sub"),$B35=80,NOT($N35="Common Space")),AND($C35=2,NOT($K35=""),NOT($K35="PHA Oper Sub"),$B35="HOME 80",NOT($N35="Common Space"))),$E35,"")</f>
        <v/>
      </c>
      <c r="CS35" s="357" t="str">
        <f>IF(OR(AND($C35=3,NOT($K35=""),NOT($K35="PHA Oper Sub"),$B35=80,NOT($N35="Common Space")),AND($C35=3,NOT($K35=""),NOT($K35="PHA Oper Sub"),$B35="HOME 80",NOT($N35="Common Space"))),$E35,"")</f>
        <v/>
      </c>
      <c r="CT35" s="357" t="str">
        <f>IF(OR(AND($C35=4,NOT($K35=""),NOT($K35="PHA Oper Sub"),$B35=80,NOT($N35="Common Space")),AND($C35=4,NOT($K35=""),NOT($K35="PHA Oper Sub"),$B35="HOME 80",NOT($N35="Common Space"))),$E35,"")</f>
        <v/>
      </c>
      <c r="CU35" s="357" t="str">
        <f>IF(OR(AND($C35="Efficiency",$K35="PHA Oper Sub",$B35=20,NOT($N35="Common Space")),AND($C35="Efficiency",$K35="PHA Oper Sub",$B35="HOME 20",NOT($N35="Common Space"))),$E35,"")</f>
        <v/>
      </c>
      <c r="CV35" s="357" t="str">
        <f>IF(OR(AND($C35=1,$K35="PHA Oper Sub",$B35=20,NOT($N35="Common Space")),AND($C35=1,$K35="PHA Oper Sub",$B35="HOME 20",NOT($N35="Common Space"))),$E35,"")</f>
        <v/>
      </c>
      <c r="CW35" s="357" t="str">
        <f>IF(OR(AND($C35=2,$K35="PHA Oper Sub",$B35=20,NOT($N35="Common Space")),AND($C35=2,$K35="PHA Oper Sub",$B35="HOME 20",NOT($N35="Common Space"))),$E35,"")</f>
        <v/>
      </c>
      <c r="CX35" s="357" t="str">
        <f>IF(OR(AND($C35=3,$K35="PHA Oper Sub",$B35=20,NOT($N35="Common Space")),AND($C35=3,$K35="PHA Oper Sub",$B35="HOME 20",NOT($N35="Common Space"))),$E35,"")</f>
        <v/>
      </c>
      <c r="CY35" s="357" t="str">
        <f>IF(OR(AND($C35=4,$K35="PHA Oper Sub",$B35=20,NOT($N35="Common Space")),AND($C35=4,$K35="PHA Oper Sub",$B35="HOME 20",NOT($N35="Common Space"))),$E35,"")</f>
        <v/>
      </c>
      <c r="CZ35" s="357" t="str">
        <f>IF(OR(AND($C35="Efficiency",$K35="PHA Oper Sub",$B35=30,NOT($N35="Common Space")),AND($C35="Efficiency",$K35="PHA Oper Sub",$B35="HOME 30",NOT($N35="Common Space"))),$E35,"")</f>
        <v/>
      </c>
      <c r="DA35" s="357" t="str">
        <f>IF(OR(AND($C35=1,$K35="PHA Oper Sub",$B35=30,NOT($N35="Common Space")),AND($C35=1,$K35="PHA Oper Sub",$B35="HOME 30",NOT($N35="Common Space"))),$E35,"")</f>
        <v/>
      </c>
      <c r="DB35" s="357" t="str">
        <f>IF(OR(AND($C35=2,$K35="PHA Oper Sub",$B35=30,NOT($N35="Common Space")),AND($C35=2,$K35="PHA Oper Sub",$B35="HOME 30",NOT($N35="Common Space"))),$E35,"")</f>
        <v/>
      </c>
      <c r="DC35" s="357" t="str">
        <f>IF(OR(AND($C35=3,$K35="PHA Oper Sub",$B35=30,NOT($N35="Common Space")),AND($C35=3,$K35="PHA Oper Sub",$B35="HOME 30",NOT($N35="Common Space"))),$E35,"")</f>
        <v/>
      </c>
      <c r="DD35" s="357" t="str">
        <f>IF(OR(AND($C35=4,$K35="PHA Oper Sub",$B35=30,NOT($N35="Common Space")),AND($C35=4,$K35="PHA Oper Sub",$B35="HOME 30",NOT($N35="Common Space"))),$E35,"")</f>
        <v/>
      </c>
      <c r="DE35" s="357" t="str">
        <f>IF(OR(AND($C35="Efficiency",$K35="PHA Oper Sub",$B35=40,NOT($N35="Common Space")),AND($C35="Efficiency",$K35="PHA Oper Sub",$B35="HOME 40",NOT($N35="Common Space"))),$E35,"")</f>
        <v/>
      </c>
      <c r="DF35" s="357" t="str">
        <f>IF(OR(AND($C35=1,$K35="PHA Oper Sub",$B35=40,NOT($N35="Common Space")),AND($C35=1,$K35="PHA Oper Sub",$B35="HOME 40",NOT($N35="Common Space"))),$E35,"")</f>
        <v/>
      </c>
      <c r="DG35" s="357" t="str">
        <f>IF(OR(AND($C35=2,$K35="PHA Oper Sub",$B35=40,NOT($N35="Common Space")),AND($C35=2,$K35="PHA Oper Sub",$B35="HOME 40",NOT($N35="Common Space"))),$E35,"")</f>
        <v/>
      </c>
      <c r="DH35" s="357" t="str">
        <f>IF(OR(AND($C35=3,$K35="PHA Oper Sub",$B35=40,NOT($N35="Common Space")),AND($C35=3,$K35="PHA Oper Sub",$B35="HOME 40",NOT($N35="Common Space"))),$E35,"")</f>
        <v/>
      </c>
      <c r="DI35" s="357" t="str">
        <f>IF(OR(AND($C35=4,$K35="PHA Oper Sub",$B35=40,NOT($N35="Common Space")),AND($C35=4,$K35="PHA Oper Sub",$B35="HOME 40",NOT($N35="Common Space"))),$E35,"")</f>
        <v/>
      </c>
      <c r="DJ35" s="357" t="str">
        <f>IF(OR(AND($C35="Efficiency",$K35="PHA Oper Sub",$B35=50,NOT($N35="Common Space")),AND($C35="Efficiency",$K35="PHA Oper Sub",$B35="HOME 50",NOT($N35="Common Space"))),$E35,"")</f>
        <v/>
      </c>
      <c r="DK35" s="357" t="str">
        <f>IF(OR(AND($C35=1,$K35="PHA Oper Sub",$B35=50,NOT($N35="Common Space")),AND($C35=1,$K35="PHA Oper Sub",$B35="HOME 50",NOT($N35="Common Space"))),$E35,"")</f>
        <v/>
      </c>
      <c r="DL35" s="357" t="str">
        <f>IF(OR(AND($C35=2,$K35="PHA Oper Sub",$B35=50,NOT($N35="Common Space")),AND($C35=2,$K35="PHA Oper Sub",$B35="HOME 50",NOT($N35="Common Space"))),$E35,"")</f>
        <v/>
      </c>
      <c r="DM35" s="357" t="str">
        <f>IF(OR(AND($C35=3,$K35="PHA Oper Sub",$B35=50,NOT($N35="Common Space")),AND($C35=3,$K35="PHA Oper Sub",$B35="HOME 50",NOT($N35="Common Space"))),$E35,"")</f>
        <v/>
      </c>
      <c r="DN35" s="357" t="str">
        <f>IF(OR(AND($C35=4,$K35="PHA Oper Sub",$B35=50,NOT($N35="Common Space")),AND($C35=4,$K35="PHA Oper Sub",$B35="HOME 50",NOT($N35="Common Space"))),$E35,"")</f>
        <v/>
      </c>
      <c r="DO35" s="357" t="str">
        <f>IF(OR(AND($C35="Efficiency",$K35="PHA Oper Sub",$B35=60,NOT($N35="Common Space")),AND($C35="Efficiency",$K35="PHA Oper Sub",$B35="HOME 60",NOT($N35="Common Space"))),$E35,"")</f>
        <v/>
      </c>
      <c r="DP35" s="357" t="str">
        <f>IF(OR(AND($C35=1,$K35="PHA Oper Sub",$B35=60,NOT($N35="Common Space")),AND($C35=1,$K35="PHA Oper Sub",$B35="HOME 60",NOT($N35="Common Space"))),$E35,"")</f>
        <v/>
      </c>
      <c r="DQ35" s="357" t="str">
        <f>IF(OR(AND($C35=2,$K35="PHA Oper Sub",$B35=60,NOT($N35="Common Space")),AND($C35=2,$K35="PHA Oper Sub",$B35="HOME 60",NOT($N35="Common Space"))),$E35,"")</f>
        <v/>
      </c>
      <c r="DR35" s="357" t="str">
        <f>IF(OR(AND($C35=3,$K35="PHA Oper Sub",$B35=60,NOT($N35="Common Space")),AND($C35=3,$K35="PHA Oper Sub",$B35="HOME 60",NOT($N35="Common Space"))),$E35,"")</f>
        <v/>
      </c>
      <c r="DS35" s="357" t="str">
        <f>IF(OR(AND($C35=4,$K35="PHA Oper Sub",$B35=60,NOT($N35="Common Space")),AND($C35=4,$K35="PHA Oper Sub",$B35="HOME 60",NOT($N35="Common Space"))),$E35,"")</f>
        <v/>
      </c>
      <c r="DT35" s="357" t="str">
        <f>IF(OR(AND($C35="Efficiency",$K35="PHA Oper Sub",$B35=70,NOT($N35="Common Space")),AND($C35="Efficiency",$K35="PHA Oper Sub",$B35="HOME 70",NOT($N35="Common Space"))),$E35,"")</f>
        <v/>
      </c>
      <c r="DU35" s="357" t="str">
        <f>IF(OR(AND($C35=1,$K35="PHA Oper Sub",$B35=70,NOT($N35="Common Space")),AND($C35=1,$K35="PHA Oper Sub",$B35="HOME 70",NOT($N35="Common Space"))),$E35,"")</f>
        <v/>
      </c>
      <c r="DV35" s="357" t="str">
        <f>IF(OR(AND($C35=2,$K35="PHA Oper Sub",$B35=70,NOT($N35="Common Space")),AND($C35=2,$K35="PHA Oper Sub",$B35="HOME 70",NOT($N35="Common Space"))),$E35,"")</f>
        <v/>
      </c>
      <c r="DW35" s="357" t="str">
        <f>IF(OR(AND($C35=3,$K35="PHA Oper Sub",$B35=70,NOT($N35="Common Space")),AND($C35=3,$K35="PHA Oper Sub",$B35="HOME 70",NOT($N35="Common Space"))),$E35,"")</f>
        <v/>
      </c>
      <c r="DX35" s="357" t="str">
        <f>IF(OR(AND($C35=4,$K35="PHA Oper Sub",$B35=70,NOT($N35="Common Space")),AND($C35=4,$K35="PHA Oper Sub",$B35="HOME 70",NOT($N35="Common Space"))),$E35,"")</f>
        <v/>
      </c>
      <c r="DY35" s="357" t="str">
        <f>IF(OR(AND($C35="Efficiency",$K35="PHA Oper Sub",$B35=80,NOT($N35="Common Space")),AND($C35="Efficiency",$K35="PHA Oper Sub",$B35="HOME 80",NOT($N35="Common Space"))),$E35,"")</f>
        <v/>
      </c>
      <c r="DZ35" s="357" t="str">
        <f>IF(OR(AND($C35=1,$K35="PHA Oper Sub",$B35=80,NOT($N35="Common Space")),AND($C35=1,$K35="PHA Oper Sub",$B35="HOME 80",NOT($N35="Common Space"))),$E35,"")</f>
        <v/>
      </c>
      <c r="EA35" s="357" t="str">
        <f>IF(OR(AND($C35=2,$K35="PHA Oper Sub",$B35=80,NOT($N35="Common Space")),AND($C35=2,$K35="PHA Oper Sub",$B35="HOME 80",NOT($N35="Common Space"))),$E35,"")</f>
        <v/>
      </c>
      <c r="EB35" s="357" t="str">
        <f>IF(OR(AND($C35=3,$K35="PHA Oper Sub",$B35=80,NOT($N35="Common Space")),AND($C35=3,$K35="PHA Oper Sub",$B35="HOME 80",NOT($N35="Common Space"))),$E35,"")</f>
        <v/>
      </c>
      <c r="EC35" s="357" t="str">
        <f>IF(OR(AND($C35=4,$K35="PHA Oper Sub",$B35=80,NOT($N35="Common Space")),AND($C35=4,$K35="PHA Oper Sub",$B35="HOME 80",NOT($N35="Common Space"))),$E35,"")</f>
        <v/>
      </c>
      <c r="ED35" s="357" t="str">
        <f>IF(AND(C35="Efficiency",N35="Common Space"),E35,"")</f>
        <v/>
      </c>
      <c r="EE35" s="357" t="str">
        <f>IF(AND(C35=1,N35="Common Space"),E35,"")</f>
        <v/>
      </c>
      <c r="EF35" s="357" t="str">
        <f>IF(AND(C35=2,N35="Common Space"),E35,"")</f>
        <v/>
      </c>
      <c r="EG35" s="357" t="str">
        <f>IF(AND(C35=3,N35="Common Space"),E35,"")</f>
        <v/>
      </c>
      <c r="EH35" s="357" t="str">
        <f>IF(AND(C35=4,N35="Common Space"),E35,"")</f>
        <v/>
      </c>
      <c r="EI35" s="357" t="str">
        <f>IF(OR(AND($C35="Efficiency",$B35=80,NOT($N35="Common Space")),AND($C35="Efficiency",$B35="HOME 80",NOT($N35="Common Space"))),$E35*$F35,"")</f>
        <v/>
      </c>
      <c r="EJ35" s="357" t="str">
        <f>IF(OR(AND($C35=1,$B35=80,NOT($N35="Common Space")),AND($C35=1,$B35="HOME 80",NOT($N35="Common Space"))),$E35*$F35,"")</f>
        <v/>
      </c>
      <c r="EK35" s="357" t="str">
        <f>IF(OR(AND($C35=2,$B35=80,NOT($N35="Common Space")),AND($C35=2,$B35="HOME 80",NOT($N35="Common Space"))),$E35*$F35,"")</f>
        <v/>
      </c>
      <c r="EL35" s="357" t="str">
        <f>IF(OR(AND($C35=3,$B35=80,NOT($N35="Common Space")),AND($C35=3,$B35="HOME 80",NOT($N35="Common Space"))),$E35*$F35,"")</f>
        <v/>
      </c>
      <c r="EM35" s="357" t="str">
        <f>IF(OR(AND($C35=4,$B35=80,NOT($N35="Common Space")),AND($C35=4,$B35="HOME 80",NOT($N35="Common Space"))),$E35*$F35,"")</f>
        <v/>
      </c>
      <c r="EN35" s="357" t="str">
        <f>IF(OR(AND($C35="Efficiency",$B35=70,NOT($N35="Common Space")),AND($C35="Efficiency",$B35="HOME 70",NOT($N35="Common Space"))),$E35*$F35,"")</f>
        <v/>
      </c>
      <c r="EO35" s="357" t="str">
        <f>IF(OR(AND($C35=1,$B35=70,NOT($N35="Common Space")),AND($C35=1,$B35="HOME 70",NOT($N35="Common Space"))),$E35*$F35,"")</f>
        <v/>
      </c>
      <c r="EP35" s="357" t="str">
        <f>IF(OR(AND($C35=2,$B35=70,NOT($N35="Common Space")),AND($C35=2,$B35="HOME 70",NOT($N35="Common Space"))),$E35*$F35,"")</f>
        <v/>
      </c>
      <c r="EQ35" s="357" t="str">
        <f>IF(OR(AND($C35=3,$B35=70,NOT($N35="Common Space")),AND($C35=3,$B35="HOME 70",NOT($N35="Common Space"))),$E35*$F35,"")</f>
        <v/>
      </c>
      <c r="ER35" s="357" t="str">
        <f>IF(OR(AND($C35=4,$B35=70,NOT($N35="Common Space")),AND($C35=4,$B35="HOME 70",NOT($N35="Common Space"))),$E35*$F35,"")</f>
        <v/>
      </c>
      <c r="ES35" s="357" t="str">
        <f>IF(OR(AND($C35="Efficiency",$B35=60,NOT($N35="Common Space")),AND($C35="Efficiency",$B35="HOME 60",NOT($N35="Common Space"))),$E35*$F35,"")</f>
        <v/>
      </c>
      <c r="ET35" s="357" t="str">
        <f>IF(OR(AND($C35=1,$B35=60,NOT($N35="Common Space")),AND($C35=1,$B35="HOME 60",NOT($N35="Common Space"))),$E35*$F35,"")</f>
        <v/>
      </c>
      <c r="EU35" s="357" t="str">
        <f>IF(OR(AND($C35=2,$B35=60,NOT($N35="Common Space")),AND($C35=2,$B35="HOME 60",NOT($N35="Common Space"))),$E35*$F35,"")</f>
        <v/>
      </c>
      <c r="EV35" s="357" t="str">
        <f>IF(OR(AND($C35=3,$B35=60,NOT($N35="Common Space")),AND($C35=3,$B35="HOME 60",NOT($N35="Common Space"))),$E35*$F35,"")</f>
        <v/>
      </c>
      <c r="EW35" s="357" t="str">
        <f>IF(OR(AND($C35=4,$B35=60,NOT($N35="Common Space")),AND($C35=4,$B35="HOME 60",NOT($N35="Common Space"))),$E35*$F35,"")</f>
        <v/>
      </c>
      <c r="EX35" s="357" t="str">
        <f>IF(OR(AND($C35="Efficiency",$B35=50,NOT($N35="Common Space")),AND($C35="Efficiency",$B35="HOME 50",NOT($N35="Common Space"))),$E35*$F35,"")</f>
        <v/>
      </c>
      <c r="EY35" s="357" t="str">
        <f>IF(OR(AND($C35=1,$B35=50,NOT($N35="Common Space")),AND($C35=1,$B35="HOME 50",NOT($N35="Common Space"))),$E35*$F35,"")</f>
        <v/>
      </c>
      <c r="EZ35" s="357" t="str">
        <f>IF(OR(AND($C35=2,$B35=50,NOT($N35="Common Space")),AND($C35=2,$B35="HOME 50",NOT($N35="Common Space"))),$E35*$F35,"")</f>
        <v/>
      </c>
      <c r="FA35" s="357" t="str">
        <f>IF(OR(AND($C35=3,$B35=50,NOT($N35="Common Space")),AND($C35=3,$B35="HOME 50",NOT($N35="Common Space"))),$E35*$F35,"")</f>
        <v/>
      </c>
      <c r="FB35" s="357" t="str">
        <f>IF(OR(AND($C35=4,$B35=50,NOT($N35="Common Space")),AND($C35=4,$B35="HOME 50",NOT($N35="Common Space"))),$E35*$F35,"")</f>
        <v/>
      </c>
      <c r="FC35" s="357" t="str">
        <f>IF(OR(AND($C35="Efficiency",$B35=40,NOT($N35="Common Space")),AND($C35="Efficiency",$B35="HOME 40",NOT($N35="Common Space"))),$E35*$F35,"")</f>
        <v/>
      </c>
      <c r="FD35" s="357" t="str">
        <f>IF(OR(AND($C35=1,$B35=40,NOT($N35="Common Space")),AND($C35=1,$B35="HOME 40",NOT($N35="Common Space"))),$E35*$F35,"")</f>
        <v/>
      </c>
      <c r="FE35" s="357" t="str">
        <f>IF(OR(AND($C35=2,$B35=40,NOT($N35="Common Space")),AND($C35=2,$B35="HOME 40",NOT($N35="Common Space"))),$E35*$F35,"")</f>
        <v/>
      </c>
      <c r="FF35" s="357" t="str">
        <f>IF(OR(AND($C35=3,$B35=40,NOT($N35="Common Space")),AND($C35=3,$B35="HOME 40",NOT($N35="Common Space"))),$E35*$F35,"")</f>
        <v/>
      </c>
      <c r="FG35" s="357" t="str">
        <f>IF(OR(AND($C35=4,$B35=40,NOT($N35="Common Space")),AND($C35=4,$B35="HOME 40",NOT($N35="Common Space"))),$E35*$F35,"")</f>
        <v/>
      </c>
      <c r="FH35" s="357" t="str">
        <f>IF(OR(AND($C35="Efficiency",$B35=30,NOT($N35="Common Space")),AND($C35="Efficiency",$B35="HOME 30",NOT($N35="Common Space"))),$E35*$F35,"")</f>
        <v/>
      </c>
      <c r="FI35" s="357" t="str">
        <f>IF(OR(AND($C35=1,$B35=30,NOT($N35="Common Space")),AND($C35=1,$B35="HOME 30",NOT($N35="Common Space"))),$E35*$F35,"")</f>
        <v/>
      </c>
      <c r="FJ35" s="357" t="str">
        <f>IF(OR(AND($C35=2,$B35=30,NOT($N35="Common Space")),AND($C35=2,$B35="HOME 30",NOT($N35="Common Space"))),$E35*$F35,"")</f>
        <v/>
      </c>
      <c r="FK35" s="357" t="str">
        <f>IF(OR(AND($C35=3,$B35=30,NOT($N35="Common Space")),AND($C35=3,$B35="HOME 30",NOT($N35="Common Space"))),$E35*$F35,"")</f>
        <v/>
      </c>
      <c r="FL35" s="357" t="str">
        <f>IF(OR(AND($C35=4,$B35=30,NOT($N35="Common Space")),AND($C35=4,$B35="HOME 30",NOT($N35="Common Space"))),$E35*$F35,"")</f>
        <v/>
      </c>
      <c r="FM35" s="357" t="str">
        <f>IF(OR(AND($C35="Efficiency",$B35=20,NOT($N35="Common Space")),AND($C35="Efficiency",$B35="HOME 20",NOT($N35="Common Space"))),$E35*$F35,"")</f>
        <v/>
      </c>
      <c r="FN35" s="357" t="str">
        <f>IF(OR(AND($C35=1,$B35=20,NOT($N35="Common Space")),AND($C35=1,$B35="HOME 20",NOT($N35="Common Space"))),$E35*$F35,"")</f>
        <v/>
      </c>
      <c r="FO35" s="357" t="str">
        <f>IF(OR(AND($C35=2,$B35=20,NOT($N35="Common Space")),AND($C35=2,$B35="HOME 20",NOT($N35="Common Space"))),$E35*$F35,"")</f>
        <v/>
      </c>
      <c r="FP35" s="357" t="str">
        <f>IF(OR(AND($C35=3,$B35=20,NOT($N35="Common Space")),AND($C35=3,$B35="HOME 20",NOT($N35="Common Space"))),$E35*$F35,"")</f>
        <v/>
      </c>
      <c r="FQ35" s="357" t="str">
        <f>IF(OR(AND($C35=4,$B35=20,NOT($N35="Common Space")),AND($C35=4,$B35="HOME 20",NOT($N35="Common Space"))),$E35*$F35,"")</f>
        <v/>
      </c>
      <c r="FR35" s="357" t="str">
        <f>IF(AND(C35="Efficiency",B35="Unrestricted",NOT(N35="Common Space")),E35*F35,"")</f>
        <v/>
      </c>
      <c r="FS35" s="357" t="str">
        <f>IF(AND(C35=1,B35="Unrestricted",NOT(N35="Common Space")),E35*F35,"")</f>
        <v/>
      </c>
      <c r="FT35" s="357" t="str">
        <f>IF(AND(C35=2,B35="Unrestricted",NOT(N35="Common Space")),E35*F35,"")</f>
        <v/>
      </c>
      <c r="FU35" s="357" t="str">
        <f>IF(AND(C35=3,B35="Unrestricted",NOT(N35="Common Space")),E35*F35,"")</f>
        <v/>
      </c>
      <c r="FV35" s="357" t="str">
        <f>IF(AND(C35=4,B35="Unrestricted",NOT(N35="Common Space")),E35*F35,"")</f>
        <v/>
      </c>
      <c r="FW35" s="357" t="str">
        <f>IF(AND(C35="Efficiency",NOT(K35=""),NOT($K35=0),NOT(N35="Common Space")),E35*F35,"")</f>
        <v/>
      </c>
      <c r="FX35" s="357" t="str">
        <f>IF(AND(C35=1,NOT(K35=""),NOT($K35=0),NOT(N35="Common Space")),E35*F35,"")</f>
        <v/>
      </c>
      <c r="FY35" s="357" t="str">
        <f>IF(AND(C35=2,NOT(K35=""),NOT($K35=0),NOT(N35="Common Space")),E35*F35,"")</f>
        <v/>
      </c>
      <c r="FZ35" s="357" t="str">
        <f>IF(AND(C35=3,NOT(K35=""),NOT($K35=0),NOT(N35="Common Space")),E35*F35,"")</f>
        <v/>
      </c>
      <c r="GA35" s="357" t="str">
        <f>IF(AND(C35=4,NOT(K35=""),NOT($K35=0),NOT(N35="Common Space")),E35*F35,"")</f>
        <v/>
      </c>
      <c r="GB35" s="357" t="str">
        <f>IF(AND(C35="Efficiency",N35="Common Space"),E35*F35,"")</f>
        <v/>
      </c>
      <c r="GC35" s="357" t="str">
        <f>IF(AND(C35=1,N35="Common Space"),E35*F35,"")</f>
        <v/>
      </c>
      <c r="GD35" s="357" t="str">
        <f>IF(AND(C35=2,N35="Common Space"),E35*F35,"")</f>
        <v/>
      </c>
      <c r="GE35" s="357" t="str">
        <f>IF(AND(C35=3,N35="Common Space"),E35*F35,"")</f>
        <v/>
      </c>
      <c r="GF35" s="357" t="str">
        <f>IF(AND(C35=4,N35="Common Space"),E35*F35,"")</f>
        <v/>
      </c>
      <c r="GG35" s="357" t="str">
        <f>IF(AND($C35="Efficiency", $P35="New Construction",NOT($B35="Unrestricted"),NOT($B35="NSP 120"),NOT($B35="N/A-CS"),NOT($N35="Common Space")),$E35,"")</f>
        <v/>
      </c>
      <c r="GH35" s="357" t="str">
        <f>IF(AND($C35=1, $P35="New Construction",NOT($B35="Unrestricted"),NOT($B35="NSP 120"),NOT($B35="N/A-CS"),NOT($N35="Common Space")),$E35,"")</f>
        <v/>
      </c>
      <c r="GI35" s="357" t="str">
        <f>IF(AND($C35=2, $P35="New Construction",NOT($B35="Unrestricted"),NOT($B35="NSP 120"),NOT($B35="N/A-CS"),NOT($N35="Common Space")),$E35,"")</f>
        <v/>
      </c>
      <c r="GJ35" s="357" t="str">
        <f>IF(AND($C35=3, $P35="New Construction",NOT($B35="Unrestricted"),NOT($B35="NSP 120"),NOT($B35="N/A-CS"),NOT($N35="Common Space")),$E35,"")</f>
        <v/>
      </c>
      <c r="GK35" s="357" t="str">
        <f>IF(AND($C35=4, $P35="New Construction",NOT($B35="Unrestricted"),NOT($B35="NSP 120"),NOT($B35="N/A-CS"),NOT($N35="Common Space")),$E35,"")</f>
        <v/>
      </c>
      <c r="GL35" s="357" t="str">
        <f>IF(AND($C35="Efficiency", $P35="New Construction",$B35="Unrestricted",NOT($B35="N/A-CS"),NOT($N35="Common Space")),$E35,"")</f>
        <v/>
      </c>
      <c r="GM35" s="357" t="str">
        <f>IF(AND($C35=1, $P35="New Construction",$B35="Unrestricted",NOT($B35="N/A-CS"),NOT($N35="Common Space")),$E35,"")</f>
        <v/>
      </c>
      <c r="GN35" s="357" t="str">
        <f>IF(AND($C35=2, $P35="New Construction",$B35="Unrestricted",NOT($B35="N/A-CS"),NOT($N35="Common Space")),$E35,"")</f>
        <v/>
      </c>
      <c r="GO35" s="357" t="str">
        <f>IF(AND($C35=3, $P35="New Construction",$B35="Unrestricted",NOT($B35="N/A-CS"),NOT($N35="Common Space")),$E35,"")</f>
        <v/>
      </c>
      <c r="GP35" s="357" t="str">
        <f>IF(AND($C35=4, $P35="New Construction",$B35="Unrestricted",NOT($B35="N/A-CS"),NOT($N35="Common Space")),$E35,"")</f>
        <v/>
      </c>
      <c r="GQ35" s="357" t="str">
        <f>IF(AND($C35="Efficiency", $P35="New Construction",$B35="N/A-CS",$N35="Common Space"),$E35,"")</f>
        <v/>
      </c>
      <c r="GR35" s="357" t="str">
        <f>IF(AND($C35=1, $P35="New Construction",$B35="N/A-CS",$N35="Common Space"),$E35,"")</f>
        <v/>
      </c>
      <c r="GS35" s="357" t="str">
        <f>IF(AND($C35=2, $P35="New Construction",$B35="N/A-CS",$N35="Common Space"),$E35,"")</f>
        <v/>
      </c>
      <c r="GT35" s="357" t="str">
        <f>IF(AND($C35=3, $P35="New Construction",$B35="N/A-CS",$N35="Common Space"),$E35,"")</f>
        <v/>
      </c>
      <c r="GU35" s="357" t="str">
        <f>IF(AND($C35=4, $P35="New Construction",$B35="N/A-CS",$N35="Common Space"),$E35,"")</f>
        <v/>
      </c>
      <c r="GV35" s="357" t="str">
        <f>IF(AND($C35="Efficiency", $P35="Acquisition/Rehab",NOT($B35="Unrestricted"),NOT($B35="NSP 120"),NOT($B35="N/A-CS"),NOT($N35="Common Space")),$E35,"")</f>
        <v/>
      </c>
      <c r="GW35" s="357" t="str">
        <f>IF(AND($C35=1, $P35="Acquisition/Rehab",NOT($B35="Unrestricted"),NOT($B35="NSP 120"),NOT($B35="N/A-CS"),NOT($N35="Common Space")),$E35,"")</f>
        <v/>
      </c>
      <c r="GX35" s="357" t="str">
        <f>IF(AND($C35=2, $P35="Acquisition/Rehab",NOT($B35="Unrestricted"),NOT($B35="NSP 120"),NOT($B35="N/A-CS"),NOT($N35="Common Space")),$E35,"")</f>
        <v/>
      </c>
      <c r="GY35" s="357" t="str">
        <f>IF(AND($C35=3, $P35="Acquisition/Rehab",NOT($B35="Unrestricted"),NOT($B35="NSP 120"),NOT($B35="N/A-CS"),NOT($N35="Common Space")),$E35,"")</f>
        <v/>
      </c>
      <c r="GZ35" s="357" t="str">
        <f>IF(AND($C35=4, $P35="Acquisition/Rehab",NOT($B35="Unrestricted"),NOT($B35="NSP 120"),NOT($B35="N/A-CS"),NOT($N35="Common Space")),$E35,"")</f>
        <v/>
      </c>
      <c r="HA35" s="357" t="str">
        <f>IF(AND($C35="Efficiency", $P35="Acquisition/Rehab",$B35="Unrestricted",NOT($B35="N/A-CS"),NOT($N35="Common Space")),$E35,"")</f>
        <v/>
      </c>
      <c r="HB35" s="357" t="str">
        <f>IF(AND($C35=1, $P35="Acquisition/Rehab",$B35="Unrestricted",NOT($B35="N/A-CS"),NOT($N35="Common Space")),$E35,"")</f>
        <v/>
      </c>
      <c r="HC35" s="357" t="str">
        <f>IF(AND($C35=2, $P35="Acquisition/Rehab",$B35="Unrestricted",NOT($B35="N/A-CS"),NOT($N35="Common Space")),$E35,"")</f>
        <v/>
      </c>
      <c r="HD35" s="357" t="str">
        <f>IF(AND($C35=3, $P35="Acquisition/Rehab",$B35="Unrestricted",NOT($B35="N/A-CS"),NOT($N35="Common Space")),$E35,"")</f>
        <v/>
      </c>
      <c r="HE35" s="357" t="str">
        <f>IF(AND($C35=4, $P35="Acquisition/Rehab",$B35="Unrestricted",NOT($B35="N/A-CS"),NOT($N35="Common Space")),$E35,"")</f>
        <v/>
      </c>
      <c r="HF35" s="357" t="str">
        <f>IF(AND($C35="Efficiency", $P35="Acquisition/Rehab",$B35="N/A-CS",$N35="Common Space"),$E35,"")</f>
        <v/>
      </c>
      <c r="HG35" s="357" t="str">
        <f>IF(AND($C35=1, $P35="Acquisition/Rehab",$B35="N/A-CS",$N35="Common Space"),$E35,"")</f>
        <v/>
      </c>
      <c r="HH35" s="357" t="str">
        <f>IF(AND($C35=2, $P35="Acquisition/Rehab",$B35="N/A-CS",$N35="Common Space"),$E35,"")</f>
        <v/>
      </c>
      <c r="HI35" s="357" t="str">
        <f>IF(AND($C35=3, $P35="Acquisition/Rehab",$B35="N/A-CS",$N35="Common Space"),$E35,"")</f>
        <v/>
      </c>
      <c r="HJ35" s="357" t="str">
        <f>IF(AND($C35=4, $P35="Acquisition/Rehab",$B35="N/A-CS",$N35="Common Space"),$E35,"")</f>
        <v/>
      </c>
      <c r="HK35" s="357" t="str">
        <f>IF(AND($C35="Efficiency", $P35="Rehabilitation",NOT($B35="Unrestricted"),NOT($B35="NSP 120"),NOT($B35="N/A-CS"),NOT($N35="Common Space")),$E35,"")</f>
        <v/>
      </c>
      <c r="HL35" s="357" t="str">
        <f>IF(AND($C35=1, $P35="Rehabilitation",NOT($B35="Unrestricted"),NOT($B35="NSP 120"),NOT($B35="N/A-CS"),NOT($N35="Common Space")),$E35,"")</f>
        <v/>
      </c>
      <c r="HM35" s="357" t="str">
        <f>IF(AND($C35=2, $P35="Rehabilitation",NOT($B35="Unrestricted"),NOT($B35="NSP 120"),NOT($B35="N/A-CS"),NOT($N35="Common Space")),$E35,"")</f>
        <v/>
      </c>
      <c r="HN35" s="357" t="str">
        <f>IF(AND($C35=3, $P35="Rehabilitation",NOT($B35="Unrestricted"),NOT($B35="NSP 120"),NOT($B35="N/A-CS"),NOT($N35="Common Space")),$E35,"")</f>
        <v/>
      </c>
      <c r="HO35" s="357" t="str">
        <f>IF(AND($C35=4, $P35="Rehabilitation",NOT($B35="Unrestricted"),NOT($B35="NSP 120"),NOT($B35="N/A-CS"),NOT($N35="Common Space")),$E35,"")</f>
        <v/>
      </c>
      <c r="HP35" s="357" t="str">
        <f>IF(AND($C35="Efficiency", $P35="Rehabilitation",$B35="Unrestricted",NOT($B35="N/A-CS"),NOT($N35="Common Space")),$E35,"")</f>
        <v/>
      </c>
      <c r="HQ35" s="357" t="str">
        <f>IF(AND($C35=1, $P35="Rehabilitation",$B35="Unrestricted",NOT($B35="N/A-CS"),NOT($N35="Common Space")),$E35,"")</f>
        <v/>
      </c>
      <c r="HR35" s="357" t="str">
        <f>IF(AND($C35=2, $P35="Rehabilitation",$B35="Unrestricted",NOT($B35="N/A-CS"),NOT($N35="Common Space")),$E35,"")</f>
        <v/>
      </c>
      <c r="HS35" s="357" t="str">
        <f>IF(AND($C35=3, $P35="Rehabilitation",$B35="Unrestricted",NOT($B35="N/A-CS"),NOT($N35="Common Space")),$E35,"")</f>
        <v/>
      </c>
      <c r="HT35" s="357" t="str">
        <f>IF(AND($C35=4, $P35="Rehabilitation",$B35="Unrestricted",NOT($B35="N/A-CS"),NOT($N35="Common Space")),$E35,"")</f>
        <v/>
      </c>
      <c r="HU35" s="357" t="str">
        <f>IF(AND($C35="Efficiency", $P35="Rehabilitation",$B35="N/A-CS",$N35="Common Space"),$E35,"")</f>
        <v/>
      </c>
      <c r="HV35" s="357" t="str">
        <f>IF(AND($C35=1, $P35="Rehabilitation",$B35="N/A-CS",$N35="Common Space"),$E35,"")</f>
        <v/>
      </c>
      <c r="HW35" s="357" t="str">
        <f>IF(AND($C35=2, $P35="Rehabilitation",$B35="N/A-CS",$N35="Common Space"),$E35,"")</f>
        <v/>
      </c>
      <c r="HX35" s="357" t="str">
        <f>IF(AND($C35=3, $P35="Rehabilitation",$B35="N/A-CS",$N35="Common Space"),$E35,"")</f>
        <v/>
      </c>
      <c r="HY35" s="357" t="str">
        <f>IF(AND($C35=4, $P35="Rehabilitation",$B35="N/A-CS",$N35="Common Space"),$E35,"")</f>
        <v/>
      </c>
      <c r="HZ35" s="1896" t="str">
        <f>IF(AND($C35="Efficiency", NOT(OR($O35="SF Detached",$O35="Mfd Home",$O35="Semi-Detached",$O35="Row House/TH"))),$E35,"")</f>
        <v/>
      </c>
      <c r="IA35" s="1896" t="str">
        <f>IF(AND($C35=1, NOT(OR($O35="SF Detached",$O35="Mfd Home",$O35="Semi-Detached",$O35="Row House/TH"))),$E35,"")</f>
        <v/>
      </c>
      <c r="IB35" s="1896" t="str">
        <f>IF(AND($C35=2, NOT(OR($O35="SF Detached",$O35="Mfd Home",$O35="Semi-Detached",$O35="Row House/TH"))),$E35,"")</f>
        <v/>
      </c>
      <c r="IC35" s="1896" t="str">
        <f>IF(AND($C35=3, NOT(OR($O35="SF Detached",$O35="Mfd Home",$O35="Semi-Detached",$O35="Row House/TH"))),$E35,"")</f>
        <v/>
      </c>
      <c r="ID35" s="1896" t="str">
        <f>IF(AND($C35=4, NOT(OR($O35="SF Detached",$O35="Mfd Home",$O35="Semi-Detached",$O35="Row House/TH"))),$E35,"")</f>
        <v/>
      </c>
      <c r="IE35" s="1896" t="str">
        <f>IF(AND($C35="Efficiency", $O35="SF Detached",NOT($Q35="Yes")),$E35,"")</f>
        <v/>
      </c>
      <c r="IF35" s="1896" t="str">
        <f>IF(AND($C35=1, $O35="SF Detached",NOT($Q35="Yes")),$E35,"")</f>
        <v/>
      </c>
      <c r="IG35" s="1896" t="str">
        <f>IF(AND($C35=2, $O35="SF Detached",NOT($Q35="Yes")),$E35,"")</f>
        <v/>
      </c>
      <c r="IH35" s="1896" t="str">
        <f>IF(AND($C35=3, $O35="SF Detached",NOT($Q35="Yes")),$E35,"")</f>
        <v/>
      </c>
      <c r="II35" s="1896" t="str">
        <f>IF(AND($C35=4, $O35="SF Detached",NOT($Q35="Yes")),$E35,"")</f>
        <v/>
      </c>
      <c r="IJ35" s="1896" t="str">
        <f>IF(AND($C35="Efficiency", $O35="SF Detached",$Q35="Yes"),$E35,"")</f>
        <v/>
      </c>
      <c r="IK35" s="1896" t="str">
        <f>IF(AND($C35=1, $O35="SF Detached",$Q35="Yes"),$E35,"")</f>
        <v/>
      </c>
      <c r="IL35" s="1896" t="str">
        <f>IF(AND($C35=2, $O35="SF Detached",$Q35="Yes"),$E35,"")</f>
        <v/>
      </c>
      <c r="IM35" s="1896" t="str">
        <f>IF(AND($C35=3, $O35="SF Detached",$Q35="Yes"),$E35,"")</f>
        <v/>
      </c>
      <c r="IN35" s="1896" t="str">
        <f>IF(AND($C35=4, $O35="SF Detached",$Q35="Yes"),$E35,"")</f>
        <v/>
      </c>
      <c r="IO35" s="1896" t="str">
        <f>IF(AND($C35="Efficiency", $O35="Mfd Home",NOT($Q35="Yes")),$E35,"")</f>
        <v/>
      </c>
      <c r="IP35" s="1896" t="str">
        <f>IF(AND($C35=1, $O35="Mfd Home",NOT($Q35="Yes")),$E35,"")</f>
        <v/>
      </c>
      <c r="IQ35" s="1896" t="str">
        <f>IF(AND($C35=2, $O35="Mfd Home",NOT($Q35="Yes")),$E35,"")</f>
        <v/>
      </c>
      <c r="IR35" s="1896" t="str">
        <f>IF(AND($C35=3, $O35="Mfd Home",NOT($Q35="Yes")),$E35,"")</f>
        <v/>
      </c>
      <c r="IS35" s="1896" t="str">
        <f>IF(AND($C35=4, $O35="Mfd Home",NOT($Q35="Yes")),$E35,"")</f>
        <v/>
      </c>
      <c r="IT35" s="1896" t="str">
        <f>IF(AND($C35="Efficiency", $O35="Mfd Home",$Q35="Yes"),$E35,"")</f>
        <v/>
      </c>
      <c r="IU35" s="1896" t="str">
        <f>IF(AND($C35=1, $O35="Mfd Home",$Q35="Yes"),$E35,"")</f>
        <v/>
      </c>
      <c r="IV35" s="1896" t="str">
        <f>IF(AND($C35=2, $O35="Mfd Home",$Q35="Yes"),$E35,"")</f>
        <v/>
      </c>
      <c r="IW35" s="1896" t="str">
        <f>IF(AND($C35=3, $O35="Mfd Home",$Q35="Yes"),$E35,"")</f>
        <v/>
      </c>
      <c r="IX35" s="1896" t="str">
        <f>IF(AND($C35=4, $O35="Mfd Home",$Q35="Yes"),$E35,"")</f>
        <v/>
      </c>
      <c r="IY35" s="1896" t="str">
        <f>IF(AND($C35="Efficiency", $O35="Semi-Detached",NOT($Q35="Yes")),$E35,"")</f>
        <v/>
      </c>
      <c r="IZ35" s="1896" t="str">
        <f>IF(AND($C35=1, $O35="Semi-Detached",NOT($Q35="Yes")),$E35,"")</f>
        <v/>
      </c>
      <c r="JA35" s="1896" t="str">
        <f>IF(AND($C35=2, $O35="Semi-Detached",NOT($Q35="Yes")),$E35,"")</f>
        <v/>
      </c>
      <c r="JB35" s="1896" t="str">
        <f>IF(AND($C35=3, $O35="Semi-Detached",NOT($Q35="Yes")),$E35,"")</f>
        <v/>
      </c>
      <c r="JC35" s="1896" t="str">
        <f>IF(AND($C35=4, $O35="Semi-Detached",NOT($Q35="Yes")),$E35,"")</f>
        <v/>
      </c>
      <c r="JD35" s="1896" t="str">
        <f>IF(AND($C35="Efficiency", $O35="Semi-Detached",$Q35="Yes"),$E35,"")</f>
        <v/>
      </c>
      <c r="JE35" s="1896" t="str">
        <f>IF(AND($C35=1, $O35="Semi-Detached",$Q35="Yes"),$E35,"")</f>
        <v/>
      </c>
      <c r="JF35" s="1896" t="str">
        <f>IF(AND($C35=2, $O35="Semi-Detached",$Q35="Yes"),$E35,"")</f>
        <v/>
      </c>
      <c r="JG35" s="1896" t="str">
        <f>IF(AND($C35=3, $O35="Semi-Detached",$Q35="Yes"),$E35,"")</f>
        <v/>
      </c>
      <c r="JH35" s="1896" t="str">
        <f>IF(AND($C35=4, $O35="Semi-Detached",$Q35="Yes"),$E35,"")</f>
        <v/>
      </c>
      <c r="JI35" s="1896" t="str">
        <f>IF(AND($C35="Efficiency", $O35="Row House/TH",NOT($Q35="Yes")),$E35,"")</f>
        <v/>
      </c>
      <c r="JJ35" s="1896" t="str">
        <f>IF(AND($C35=1, $O35="Row House/TH",NOT($Q35="Yes")),$E35,"")</f>
        <v/>
      </c>
      <c r="JK35" s="1896" t="str">
        <f>IF(AND($C35=2, $O35="Row House/TH",NOT($Q35="Yes")),$E35,"")</f>
        <v/>
      </c>
      <c r="JL35" s="1896" t="str">
        <f>IF(AND($C35=3, $O35="Row House/TH",NOT($Q35="Yes")),$E35,"")</f>
        <v/>
      </c>
      <c r="JM35" s="1896" t="str">
        <f>IF(AND($C35=4, $O35="Row House/TH",NOT($Q35="Yes")),$E35,"")</f>
        <v/>
      </c>
      <c r="JN35" s="1896" t="str">
        <f>IF(AND($C35="Efficiency", $O35="Row House/TH",$Q35="Yes"),$E35,"")</f>
        <v/>
      </c>
      <c r="JO35" s="1896" t="str">
        <f>IF(AND($C35=1, $O35="Row House/TH",$Q35="Yes"),$E35,"")</f>
        <v/>
      </c>
      <c r="JP35" s="1896" t="str">
        <f>IF(AND($C35=2, $O35="Row House/TH",$Q35="Yes"),$E35,"")</f>
        <v/>
      </c>
      <c r="JQ35" s="1896" t="str">
        <f>IF(AND($C35=3, $O35="Row House/TH",$Q35="Yes"),$E35,"")</f>
        <v/>
      </c>
      <c r="JR35" s="1896" t="str">
        <f>IF(AND($C35=4, $O35="Row House/TH",$Q35="Yes"),$E35,"")</f>
        <v/>
      </c>
      <c r="JS35" s="1896" t="str">
        <f>IF(AND($C35="Efficiency", $O35="Low-Rise Apt",NOT($Q35="Yes")),$E35,"")</f>
        <v/>
      </c>
      <c r="JT35" s="1896" t="str">
        <f>IF(AND($C35=1, $O35="Low-Rise Apt",NOT($Q35="Yes")),$E35,"")</f>
        <v/>
      </c>
      <c r="JU35" s="1896" t="str">
        <f>IF(AND($C35=2, $O35="Low-Rise Apt",NOT($Q35="Yes")),$E35,"")</f>
        <v/>
      </c>
      <c r="JV35" s="1896" t="str">
        <f>IF(AND($C35=3, $O35="Low-Rise Apt",NOT($Q35="Yes")),$E35,"")</f>
        <v/>
      </c>
      <c r="JW35" s="1896" t="str">
        <f>IF(AND($C35=4, $O35="Low-Rise Apt",NOT($Q35="Yes")),$E35,"")</f>
        <v/>
      </c>
      <c r="JX35" s="1896" t="str">
        <f>IF(AND($C35="Efficiency", $O35="Low-Rise Elevator",NOT($Q35="Yes")),$E35,"")</f>
        <v/>
      </c>
      <c r="JY35" s="1896" t="str">
        <f>IF(AND($C35=1, $O35="Low-Rise Elevator",NOT($Q35="Yes")),$E35,"")</f>
        <v/>
      </c>
      <c r="JZ35" s="1896" t="str">
        <f>IF(AND($C35=2, $O35="Low-Rise Elevator",NOT($Q35="Yes")),$E35,"")</f>
        <v/>
      </c>
      <c r="KA35" s="1896" t="str">
        <f>IF(AND($C35=3, $O35="Low-Rise Elevator",NOT($Q35="Yes")),$E35,"")</f>
        <v/>
      </c>
      <c r="KB35" s="1896" t="str">
        <f>IF(AND($C35=4, $O35="Low-Rise Elevator",NOT($Q35="Yes")),$E35,"")</f>
        <v/>
      </c>
      <c r="KC35" s="1896" t="str">
        <f>IF(AND($C35="Efficiency", $O35="Low-Rise Apt",$Q35="Yes"),$E35,"")</f>
        <v/>
      </c>
      <c r="KD35" s="1896" t="str">
        <f>IF(AND($C35=1, $O35="Low-Rise Apt",$Q35="Yes"),$E35,"")</f>
        <v/>
      </c>
      <c r="KE35" s="1896" t="str">
        <f>IF(AND($C35=2, $O35="Low-Rise Apt",$Q35="Yes"),$E35,"")</f>
        <v/>
      </c>
      <c r="KF35" s="1896" t="str">
        <f>IF(AND($C35=3, $O35="Low-Rise Apt",$Q35="Yes"),$E35,"")</f>
        <v/>
      </c>
      <c r="KG35" s="1896" t="str">
        <f>IF(AND($C35=4, $O35="Low-Rise Apt",$Q35="Yes"),$E35,"")</f>
        <v/>
      </c>
      <c r="KH35" s="1896" t="str">
        <f>IF(AND($C35="Efficiency", $O35="Low-Rise Elevator",$Q35="Yes"),$E35,"")</f>
        <v/>
      </c>
      <c r="KI35" s="1896" t="str">
        <f>IF(AND($C35=1, $O35="Low-Rise Elevator",$Q35="Yes"),$E35,"")</f>
        <v/>
      </c>
      <c r="KJ35" s="1896" t="str">
        <f>IF(AND($C35=2, $O35="Low-Rise Elevator",$Q35="Yes"),$E35,"")</f>
        <v/>
      </c>
      <c r="KK35" s="1896" t="str">
        <f>IF(AND($C35=3, $O35="Low-Rise Elevator",$Q35="Yes"),$E35,"")</f>
        <v/>
      </c>
      <c r="KL35" s="1896" t="str">
        <f>IF(AND($C35=4, $O35="Low-Rise Elevator",$Q35="Yes"),$E35,"")</f>
        <v/>
      </c>
      <c r="KM35" s="1896" t="str">
        <f>IF(AND($C35="Efficiency", $O35="High-Rise Apt",NOT($Q35="Yes")),$E35,"")</f>
        <v/>
      </c>
      <c r="KN35" s="1896" t="str">
        <f>IF(AND($C35=1, $O35="High-Rise Apt",NOT($Q35="Yes")),$E35,"")</f>
        <v/>
      </c>
      <c r="KO35" s="1896" t="str">
        <f>IF(AND($C35=2, $O35="High-Rise Apt",NOT($Q35="Yes")),$E35,"")</f>
        <v/>
      </c>
      <c r="KP35" s="1896" t="str">
        <f>IF(AND($C35=3, $O35="High-Rise Apt",NOT($Q35="Yes")),$E35,"")</f>
        <v/>
      </c>
      <c r="KQ35" s="1896" t="str">
        <f>IF(AND($C35=4, $O35="High-Rise Apt",NOT($Q35="Yes")),$E35,"")</f>
        <v/>
      </c>
      <c r="KR35" s="1896" t="str">
        <f>IF(AND($C35="Efficiency", $O35="High-Rise Elevator",NOT($Q35="Yes")),$E35,"")</f>
        <v/>
      </c>
      <c r="KS35" s="1896" t="str">
        <f>IF(AND($C35=1, $O35="High-Rise Elevator",NOT($Q35="Yes")),$E35,"")</f>
        <v/>
      </c>
      <c r="KT35" s="1896" t="str">
        <f>IF(AND($C35=2, $O35="High-Rise Elevator",NOT($Q35="Yes")),$E35,"")</f>
        <v/>
      </c>
      <c r="KU35" s="1896" t="str">
        <f>IF(AND($C35=3, $O35="High-Rise Elevator",NOT($Q35="Yes")),$E35,"")</f>
        <v/>
      </c>
      <c r="KV35" s="1896" t="str">
        <f>IF(AND($C35=4, $O35="High-Rise Elevator",NOT($Q35="Yes")),$E35,"")</f>
        <v/>
      </c>
      <c r="KW35" s="1896" t="str">
        <f>IF(AND($C35="Efficiency", $O35="High-Rise Apt",$Q35="Yes"),$E35,"")</f>
        <v/>
      </c>
      <c r="KX35" s="1896" t="str">
        <f>IF(AND($C35=1, $O35="High-Rise Apt",$Q35="Yes"),$E35,"")</f>
        <v/>
      </c>
      <c r="KY35" s="1896" t="str">
        <f>IF(AND($C35=2, $O35="High-Rise Apt",$Q35="Yes"),$E35,"")</f>
        <v/>
      </c>
      <c r="KZ35" s="1896" t="str">
        <f>IF(AND($C35=3, $O35="High-Rise Apt",$Q35="Yes"),$E35,"")</f>
        <v/>
      </c>
      <c r="LA35" s="1896" t="str">
        <f>IF(AND($C35=4, $O35="High-Rise Apt",$Q35="Yes"),$E35,"")</f>
        <v/>
      </c>
      <c r="LB35" s="1896" t="str">
        <f>IF(AND($C35="Efficiency", $O35="High-Rise Elevator",$Q35="Yes"),$E35,"")</f>
        <v/>
      </c>
      <c r="LC35" s="1896" t="str">
        <f>IF(AND($C35=1, $O35="High-Rise Elevator",$Q35="Yes"),$E35,"")</f>
        <v/>
      </c>
      <c r="LD35" s="1896" t="str">
        <f>IF(AND($C35=2, $O35="High-Rise Elevator",$Q35="Yes"),$E35,"")</f>
        <v/>
      </c>
      <c r="LE35" s="1896" t="str">
        <f>IF(AND($C35=3, $O35="High-Rise Elevator",$Q35="Yes"),$E35,"")</f>
        <v/>
      </c>
      <c r="LF35" s="1896" t="str">
        <f>IF(AND($C35=4, $O35="High-Rise Elevator",$Q35="Yes"),$E35,"")</f>
        <v/>
      </c>
      <c r="LG35" s="1885" t="str">
        <f>IF(AND($B35="NSP 120% AMI",$C35="Efficiency", NOT($N35="Common Space")),$E35,"")</f>
        <v/>
      </c>
      <c r="LH35" s="1885" t="str">
        <f>IF(AND($B35="NSP 120% AMI",$C35=1,NOT($N35="Common Space")),$E35,"")</f>
        <v/>
      </c>
      <c r="LI35" s="1885" t="str">
        <f>IF(AND($B35="NSP 120% AMI",$C35=2,NOT($N35="Common Space")),$E35,"")</f>
        <v/>
      </c>
      <c r="LJ35" s="1885" t="str">
        <f>IF(AND($B35="NSP 120% AMI",$C35=3,NOT($N35="Common Space")),$E35,"")</f>
        <v/>
      </c>
      <c r="LK35" s="1885" t="str">
        <f>IF(AND($B35="NSP 120% AMI",$C35=4,NOT($N35="Common Space")),$E35,"")</f>
        <v/>
      </c>
      <c r="LL35" s="357" t="str">
        <f>IF(AND(C35="Efficiency",B35="NSP 120% AMI",NOT(N35="Common Space")),E35*F35,"")</f>
        <v/>
      </c>
      <c r="LM35" s="357" t="str">
        <f>IF(AND(C35=1,B35="NSP 120% AMI",NOT(N35="Common Space")),E35*F35,"")</f>
        <v/>
      </c>
      <c r="LN35" s="357" t="str">
        <f>IF(AND(C35=2,B35="NSP 120% AMI",NOT(N35="Common Space")),E35*F35,"")</f>
        <v/>
      </c>
      <c r="LO35" s="357" t="str">
        <f>IF(AND(C35=3,B35="NSP 120% AMI",NOT(N35="Common Space")),E35*F35,"")</f>
        <v/>
      </c>
      <c r="LP35" s="357" t="str">
        <f>IF(AND(C35=4,B35="NSP 120% AMI",NOT(N35="Common Space")),E35*F35,"")</f>
        <v/>
      </c>
      <c r="LQ35" s="357" t="str">
        <f>IF(AND($C35="Efficiency", $P35="New Construction",$B35="NSP 120% AMI",NOT($N35="Common Space")),$E35,"")</f>
        <v/>
      </c>
      <c r="LR35" s="357" t="str">
        <f>IF(AND($C35=1, $P35="New Construction",$B35="NSP 120% AMI",NOT($N35="Common Space")),$E35,"")</f>
        <v/>
      </c>
      <c r="LS35" s="357" t="str">
        <f>IF(AND($C35=2, $P35="New Construction",$B35="NSP 120% AMI",NOT($N35="Common Space")),$E35,"")</f>
        <v/>
      </c>
      <c r="LT35" s="357" t="str">
        <f>IF(AND($C35=3, $P35="New Construction",$B35="NSP 120% AMI",NOT($N35="Common Space")),$E35,"")</f>
        <v/>
      </c>
      <c r="LU35" s="357" t="str">
        <f>IF(AND($C35=4, $P35="New Construction",$B35="NSP 120% AMI",NOT($N35="Common Space")),$E35,"")</f>
        <v/>
      </c>
      <c r="LV35" s="357" t="str">
        <f>IF(AND($C35="Efficiency", $P35="Acquisition/Rehab",$B35="NSP 120% AMI",NOT($N35="Common Space")),$E35,"")</f>
        <v/>
      </c>
      <c r="LW35" s="357" t="str">
        <f>IF(AND($C35=1, $P35="Acquisition/Rehab",$B35="NSP 120% AMI",NOT($N35="Common Space")),$E35,"")</f>
        <v/>
      </c>
      <c r="LX35" s="357" t="str">
        <f>IF(AND($C35=2, $P35="Acquisition/Rehab",$B35="NSP 120% AMI",NOT($N35="Common Space")),$E35,"")</f>
        <v/>
      </c>
      <c r="LY35" s="357" t="str">
        <f>IF(AND($C35=3, $P35="Acquisition/Rehab",$B35="NSP 120% AMI",NOT($N35="Common Space")),$E35,"")</f>
        <v/>
      </c>
      <c r="LZ35" s="357" t="str">
        <f>IF(AND($C35=4, $P35="Acquisition/Rehab",$B35="NSP 120% AMI",NOT($N35="Common Space")),$E35,"")</f>
        <v/>
      </c>
      <c r="MA35" s="357" t="str">
        <f>IF(AND($C35="Efficiency", $P35="Rehabilitation",$B35="NSP 120% AMI",NOT($N35="Common Space")),$E35,"")</f>
        <v/>
      </c>
      <c r="MB35" s="357" t="str">
        <f>IF(AND($C35=1, $P35="Rehabilitation",$B35="NSP 120% AMI",NOT($N35="Common Space")),$E35,"")</f>
        <v/>
      </c>
      <c r="MC35" s="357" t="str">
        <f>IF(AND($C35=2, $P35="Rehabilitation",$B35="NSP 120% AMI",NOT($N35="Common Space")),$E35,"")</f>
        <v/>
      </c>
      <c r="MD35" s="357" t="str">
        <f>IF(AND($C35=3, $P35="Rehabilitation",$B35="NSP 120% AMI",NOT($N35="Common Space")),$E35,"")</f>
        <v/>
      </c>
      <c r="ME35" s="357" t="str">
        <f>IF(AND($C35=4, $P35="Rehabilitation",$B35="NSP 120% AMI",NOT($N35="Common Space")),$E35,"")</f>
        <v/>
      </c>
      <c r="MF35" s="1748">
        <f>IF(AND($C35="Efficiency",$E35&gt;0,OR($O35="Low-Rise Apt",$O35="Low-Rise Elevator",$O35="High-Rise Apt",$O35="High-Rise Elevator",$O35="Row House/TH"),OR($P35="Acquisition/Rehab",$P35="Rehabilitation"),NOT($Q35="Yes")),$E35,0)</f>
        <v>0</v>
      </c>
      <c r="MG35" s="1748">
        <f>IF(AND($C35=1,$E35&gt;0,OR($O35="Low-Rise Apt",$O35="Low-Rise Elevator",$O35="High-Rise Apt",$O35="High-Rise Elevator",$O35="Row House/TH"),OR($P35="Acquisition/Rehab",$P35="Rehabilitation"),NOT($Q35="Yes")),$E35,0)</f>
        <v>0</v>
      </c>
      <c r="MH35" s="1748">
        <f>IF(AND($C35=2,$E35&gt;0,OR($O35="Low-Rise Apt",$O35="Low-Rise Elevator",$O35="High-Rise Apt",$O35="High-Rise Elevator",$O35="Row House/TH"),OR($P35="Acquisition/Rehab",$P35="Rehabilitation"),NOT($Q35="Yes")),$E35,0)</f>
        <v>0</v>
      </c>
      <c r="MI35" s="1748">
        <f>IF(AND($C35=3,$E35&gt;0,OR($O35="Low-Rise Apt",$O35="Low-Rise Elevator",$O35="High-Rise Apt",$O35="High-Rise Elevator",$O35="Row House/TH"),OR($P35="Acquisition/Rehab",$P35="Rehabilitation"),NOT($Q35="Yes")),$E35,0)</f>
        <v>0</v>
      </c>
      <c r="MJ35" s="1748">
        <f>IF(AND($C35=4,$E35&gt;0,OR($O35="Low-Rise Apt",$O35="Low-Rise Elevator",$O35="High-Rise Apt",$O35="High-Rise Elevator",$O35="Row House/TH"),OR($P35="Acquisition/Rehab",$P35="Rehabilitation"),NOT($Q35="Yes")),$E35,0)</f>
        <v>0</v>
      </c>
      <c r="MK35" s="1748">
        <f>IF(AND($C35="Efficiency",$E35&gt;0,OR($O35="Low-Rise Apt",$O35="Low-Rise Elevator",$O35="High-Rise Apt",$O35="High-Rise Elevator",$O35="Row House/TH"),$P35="New Construction"),$E35,0)</f>
        <v>0</v>
      </c>
      <c r="ML35" s="1748">
        <f>IF(AND($C35=1,$E35&gt;0,OR($O35="Low-Rise Apt",$O35="Low-Rise Elevator",$O35="High-Rise Apt",$O35="High-Rise Elevator",$O35="Row House/TH"),$P35="New Construction"),$E35,0)</f>
        <v>0</v>
      </c>
      <c r="MM35" s="1748">
        <f>IF(AND($C35=2,$E35&gt;0,OR($O35="Low-Rise Apt",$O35="Low-Rise Elevator",$O35="High-Rise Apt",$O35="High-Rise Elevator",$O35="Row House/TH"),$P35="New Construction"),$E35,0)</f>
        <v>0</v>
      </c>
      <c r="MN35" s="1748">
        <f>IF(AND($C35=3,$E35&gt;0,OR($O35="Low-Rise Apt",$O35="Low-Rise Elevator",$O35="High-Rise Apt",$O35="High-Rise Elevator",$O35="Row House/TH"),$P35="New Construction"),$E35,0)</f>
        <v>0</v>
      </c>
      <c r="MO35" s="1748">
        <f>IF(AND($C35=4,$E35&gt;0,OR($O35="Low-Rise Apt",$O35="Low-Rise Elevator",$O35="High-Rise Apt",$O35="High-Rise Elevator",$O35="Row House/TH"),$P35="New Construction"),$E35,0)</f>
        <v>0</v>
      </c>
      <c r="MP35" s="1748">
        <f>IF(AND($C35="Efficiency",$E35&gt;0,OR($O35="SF Detached",$O35="Semi-Detached",$O35="Mfd Home"),NOT($Q35="Yes")),$E35,0)</f>
        <v>0</v>
      </c>
      <c r="MQ35" s="1748">
        <f>IF(AND($C35=1,$E35&gt;0,OR($O35="SF Detached",$O35="Semi-Detached",$O35="Mfd Home"),NOT($Q35="Yes")),$E35,0)</f>
        <v>0</v>
      </c>
      <c r="MR35" s="1748">
        <f>IF(AND($C35=2,$E35&gt;0,OR($O35="SF Detached",$O35="Semi-Detached",$O35="Mfd Home"),NOT($Q35="Yes")),$E35,0)</f>
        <v>0</v>
      </c>
      <c r="MS35" s="1748">
        <f>IF(AND($C35=3,$E35&gt;0,OR($O35="SF Detached",$O35="Semi-Detached",$O35="Mfd Home"),NOT($Q35="Yes")),$E35,0)</f>
        <v>0</v>
      </c>
      <c r="MT35" s="1748">
        <f>IF(AND($C35=4,$E35&gt;0,OR($O35="SF Detached",$O35="Semi-Detached",$O35="Mfd Home"),NOT($Q35="Yes")),$E35,0)</f>
        <v>0</v>
      </c>
      <c r="NP35" s="1719" t="s">
        <v>6428</v>
      </c>
    </row>
    <row r="36" spans="1:380" ht="13.9" customHeight="1">
      <c r="A36" s="86" t="str">
        <f>IF(AND(E36&gt;0,OR(B36="",C36="",D36="",F36="",G36="", H36="",I36="",N36="",O36="",P36="",Q36="")),1,"")</f>
        <v/>
      </c>
      <c r="B36" s="1119"/>
      <c r="C36" s="132"/>
      <c r="D36" s="1751"/>
      <c r="E36" s="133"/>
      <c r="F36" s="133"/>
      <c r="G36" s="133"/>
      <c r="H36" s="133"/>
      <c r="I36" s="133"/>
      <c r="J36" s="756">
        <f>IF(C36="",0,HLOOKUP(C36,'Part IV-Utility Allowances'!$I$28:$M$39,12))</f>
        <v>0</v>
      </c>
      <c r="K36" s="644"/>
      <c r="L36" s="461">
        <f>MAX(0,H36-I36-J36)</f>
        <v>0</v>
      </c>
      <c r="M36" s="461">
        <f>MAX(0,E36*L36)</f>
        <v>0</v>
      </c>
      <c r="N36" s="695"/>
      <c r="O36" s="1683"/>
      <c r="P36" s="695"/>
      <c r="Q36" s="134"/>
      <c r="R36" s="739"/>
      <c r="S36" s="740"/>
      <c r="T36" s="3558"/>
      <c r="U36" s="3559"/>
      <c r="V36" s="3559"/>
      <c r="W36" s="3560"/>
      <c r="X36" s="357" t="str">
        <f>IF(AND(C36="Efficiency",B36=80,NOT(N36="Common Space")),E36,"")</f>
        <v/>
      </c>
      <c r="Y36" s="357" t="str">
        <f>IF(AND(C36=1,B36=80,NOT(N36="Common Space")),E36,"")</f>
        <v/>
      </c>
      <c r="Z36" s="357" t="str">
        <f>IF(AND(C36=2,B36=80,NOT(N36="Common Space")),E36,"")</f>
        <v/>
      </c>
      <c r="AA36" s="357" t="str">
        <f>IF(AND(C36=3,B36=80,NOT(N36="Common Space")),E36,"")</f>
        <v/>
      </c>
      <c r="AB36" s="357" t="str">
        <f>IF(AND(C36=4,B36=80,NOT(N36="Common Space")),E36,"")</f>
        <v/>
      </c>
      <c r="AC36" s="357" t="str">
        <f>IF(AND(C36="Efficiency",B36=70,NOT(N36="Common Space")),E36,"")</f>
        <v/>
      </c>
      <c r="AD36" s="357" t="str">
        <f>IF(AND(C36=1,B36=70,NOT(N36="Common Space")),E36,"")</f>
        <v/>
      </c>
      <c r="AE36" s="357" t="str">
        <f>IF(AND(C36=2,B36=70,NOT(N36="Common Space")),E36,"")</f>
        <v/>
      </c>
      <c r="AF36" s="357" t="str">
        <f>IF(AND(C36=3,B36=70,NOT(N36="Common Space")),E36,"")</f>
        <v/>
      </c>
      <c r="AG36" s="357" t="str">
        <f>IF(AND(C36=4,B36=70,NOT(N36="Common Space")),E36,"")</f>
        <v/>
      </c>
      <c r="AH36" s="357" t="str">
        <f>IF(AND(C36="Efficiency",B36=60,NOT(N36="Common Space")),E36,"")</f>
        <v/>
      </c>
      <c r="AI36" s="357" t="str">
        <f>IF(AND(C36=1,B36=60,NOT(N36="Common Space")),E36,"")</f>
        <v/>
      </c>
      <c r="AJ36" s="357" t="str">
        <f>IF(AND(C36=2,B36=60,NOT(N36="Common Space")),E36,"")</f>
        <v/>
      </c>
      <c r="AK36" s="357" t="str">
        <f>IF(AND(C36=3,B36=60,NOT(N36="Common Space")),E36,"")</f>
        <v/>
      </c>
      <c r="AL36" s="357" t="str">
        <f>IF(AND(C36=4,B36=60,NOT(N36="Common Space")),E36,"")</f>
        <v/>
      </c>
      <c r="AM36" s="357" t="str">
        <f>IF(AND(C36="Efficiency",B36=50,NOT(N36="Common Space")),E36,"")</f>
        <v/>
      </c>
      <c r="AN36" s="357" t="str">
        <f>IF(AND(C36=1,B36=50,NOT(N36="Common Space")),E36,"")</f>
        <v/>
      </c>
      <c r="AO36" s="357" t="str">
        <f>IF(AND(C36=2,B36=50,NOT(N36="Common Space")),E36,"")</f>
        <v/>
      </c>
      <c r="AP36" s="357" t="str">
        <f>IF(AND(C36=3,B36=50,NOT(N36="Common Space")),E36,"")</f>
        <v/>
      </c>
      <c r="AQ36" s="357" t="str">
        <f>IF(AND(C36=4,B36=50,NOT(N36="Common Space")),E36,"")</f>
        <v/>
      </c>
      <c r="AR36" s="357" t="str">
        <f>IF(AND(C36="Efficiency",B36=40,NOT(N36="Common Space")),E36,"")</f>
        <v/>
      </c>
      <c r="AS36" s="357" t="str">
        <f>IF(AND(C36=1,B36=40,NOT(N36="Common Space")),E36,"")</f>
        <v/>
      </c>
      <c r="AT36" s="357" t="str">
        <f>IF(AND(C36=2,B36=40,NOT(N36="Common Space")),E36,"")</f>
        <v/>
      </c>
      <c r="AU36" s="357" t="str">
        <f>IF(AND(C36=3,B36=40,NOT(N36="Common Space")),E36,"")</f>
        <v/>
      </c>
      <c r="AV36" s="357" t="str">
        <f>IF(AND(C36=4,B36=40,NOT(N36="Common Space")),E36,"")</f>
        <v/>
      </c>
      <c r="AW36" s="357" t="str">
        <f>IF(AND(C36="Efficiency",B36=30,NOT(N36="Common Space")),E36,"")</f>
        <v/>
      </c>
      <c r="AX36" s="357" t="str">
        <f>IF(AND(C36=1,B36=30,NOT(N36="Common Space")),E36,"")</f>
        <v/>
      </c>
      <c r="AY36" s="357" t="str">
        <f>IF(AND(C36=2,B36=30,NOT(N36="Common Space")),E36,"")</f>
        <v/>
      </c>
      <c r="AZ36" s="357" t="str">
        <f>IF(AND(C36=3,B36=30,NOT(N36="Common Space")),E36,"")</f>
        <v/>
      </c>
      <c r="BA36" s="357" t="str">
        <f>IF(AND(C36=4,B36=30,NOT(N36="Common Space")),E36,"")</f>
        <v/>
      </c>
      <c r="BB36" s="357" t="str">
        <f>IF(AND(C36="Efficiency",B36=20,NOT(N36="Common Space")),E36,"")</f>
        <v/>
      </c>
      <c r="BC36" s="357" t="str">
        <f>IF(AND(C36=1,B36=20,NOT(N36="Common Space")),E36,"")</f>
        <v/>
      </c>
      <c r="BD36" s="357" t="str">
        <f>IF(AND(C36=2,B36=20,NOT(N36="Common Space")),E36,"")</f>
        <v/>
      </c>
      <c r="BE36" s="357" t="str">
        <f>IF(AND(C36=3,B36=20,NOT(N36="Common Space")),E36,"")</f>
        <v/>
      </c>
      <c r="BF36" s="357" t="str">
        <f>IF(AND(C36=4,B36=20,NOT(N36="Common Space")),E36,"")</f>
        <v/>
      </c>
      <c r="BG36" s="357" t="str">
        <f>IF(AND(C36="Efficiency",B36="Unrestricted",NOT(N36="Common Space")),E36,"")</f>
        <v/>
      </c>
      <c r="BH36" s="357" t="str">
        <f>IF(AND(C36=1,B36="Unrestricted",NOT(N36="Common Space")),E36,"")</f>
        <v/>
      </c>
      <c r="BI36" s="357" t="str">
        <f>IF(AND(C36=2,B36="Unrestricted",NOT(N36="Common Space")),E36,"")</f>
        <v/>
      </c>
      <c r="BJ36" s="357" t="str">
        <f>IF(AND(C36=3,B36="Unrestricted",NOT(N36="Common Space")),E36,"")</f>
        <v/>
      </c>
      <c r="BK36" s="357" t="str">
        <f>IF(AND(C36=4,B36="Unrestricted",NOT(N36="Common Space")),E36,"")</f>
        <v/>
      </c>
      <c r="BL36" s="357" t="str">
        <f>IF(OR(AND($C36="Efficiency",NOT($K36=""),NOT($K36="PHA Oper Sub"),$B36=20,NOT($N36="Common Space")),AND($C36="Efficiency",NOT($K36=""),NOT($K36="PHA Oper Sub"),$B36="HOME 20",NOT($N36="Common Space"))),$E36,"")</f>
        <v/>
      </c>
      <c r="BM36" s="357" t="str">
        <f>IF(OR(AND($C36=1,NOT($K36=""),NOT($K36="PHA Oper Sub"),$B36=20,NOT($N36="Common Space")),AND($C36=1,NOT($K36=""),NOT($K36="PHA Oper Sub"),$B36="HOME 20",NOT($N36="Common Space"))),$E36,"")</f>
        <v/>
      </c>
      <c r="BN36" s="357" t="str">
        <f>IF(OR(AND($C36=2,NOT($K36=""),NOT($K36="PHA Oper Sub"),$B36=20,NOT($N36="Common Space")),AND($C36=2,NOT($K36=""),NOT($K36="PHA Oper Sub"),$B36="HOME 20",NOT($N36="Common Space"))),$E36,"")</f>
        <v/>
      </c>
      <c r="BO36" s="357" t="str">
        <f>IF(OR(AND($C36=3,NOT($K36=""),NOT($K36="PHA Oper Sub"),$B36=20,NOT($N36="Common Space")),AND($C36=3,NOT($K36=""),NOT($K36="PHA Oper Sub"),$B36="HOME 20",NOT($N36="Common Space"))),$E36,"")</f>
        <v/>
      </c>
      <c r="BP36" s="357" t="str">
        <f>IF(OR(AND($C36=4,NOT($K36=""),NOT($K36="PHA Oper Sub"),$B36=20,NOT($N36="Common Space")),AND($C36=4,NOT($K36=""),NOT($K36="PHA Oper Sub"),$B36="HOME 20",NOT($N36="Common Space"))),$E36,"")</f>
        <v/>
      </c>
      <c r="BQ36" s="357" t="str">
        <f>IF(OR(AND($C36="Efficiency",NOT($K36=""),NOT($K36="PHA Oper Sub"),$B36=30,NOT($N36="Common Space")),AND($C36="Efficiency",NOT($K36=""),NOT($K36="PHA Oper Sub"),$B36="HOME 30",NOT($N36="Common Space"))),$E36,"")</f>
        <v/>
      </c>
      <c r="BR36" s="357" t="str">
        <f>IF(OR(AND($C36=1,NOT($K36=""),NOT($K36="PHA Oper Sub"),$B36=30,NOT($N36="Common Space")),AND($C36=1,NOT($K36=""),NOT($K36="PHA Oper Sub"),$B36="HOME 30",NOT($N36="Common Space"))),$E36,"")</f>
        <v/>
      </c>
      <c r="BS36" s="357" t="str">
        <f>IF(OR(AND($C36=2,NOT($K36=""),NOT($K36="PHA Oper Sub"),$B36=30,NOT($N36="Common Space")),AND($C36=2,NOT($K36=""),NOT($K36="PHA Oper Sub"),$B36="HOME 30",NOT($N36="Common Space"))),$E36,"")</f>
        <v/>
      </c>
      <c r="BT36" s="357" t="str">
        <f>IF(OR(AND($C36=3,NOT($K36=""),NOT($K36="PHA Oper Sub"),$B36=30,NOT($N36="Common Space")),AND($C36=3,NOT($K36=""),NOT($K36="PHA Oper Sub"),$B36="HOME 30",NOT($N36="Common Space"))),$E36,"")</f>
        <v/>
      </c>
      <c r="BU36" s="357" t="str">
        <f>IF(OR(AND($C36=4,NOT($K36=""),NOT($K36="PHA Oper Sub"),$B36=30,NOT($N36="Common Space")),AND($C36=4,NOT($K36=""),NOT($K36="PHA Oper Sub"),$B36="HOME 30",NOT($N36="Common Space"))),$E36,"")</f>
        <v/>
      </c>
      <c r="BV36" s="357" t="str">
        <f>IF(OR(AND($C36="Efficiency",NOT($K36=""),NOT($K36="PHA Oper Sub"),$B36=40,NOT($N36="Common Space")),AND($C36="Efficiency",NOT($K36=""),NOT($K36="PHA Oper Sub"),$B36="HOME 40",NOT($N36="Common Space"))),$E36,"")</f>
        <v/>
      </c>
      <c r="BW36" s="357" t="str">
        <f>IF(OR(AND($C36=1,NOT($K36=""),NOT($K36="PHA Oper Sub"),$B36=40,NOT($N36="Common Space")),AND($C36=1,NOT($K36=""),NOT($K36="PHA Oper Sub"),$B36="HOME 40",NOT($N36="Common Space"))),$E36,"")</f>
        <v/>
      </c>
      <c r="BX36" s="357" t="str">
        <f>IF(OR(AND($C36=2,NOT($K36=""),NOT($K36="PHA Oper Sub"),$B36=40,NOT($N36="Common Space")),AND($C36=2,NOT($K36=""),NOT($K36="PHA Oper Sub"),$B36="HOME 40",NOT($N36="Common Space"))),$E36,"")</f>
        <v/>
      </c>
      <c r="BY36" s="357" t="str">
        <f>IF(OR(AND($C36=3,NOT($K36=""),NOT($K36="PHA Oper Sub"),$B36=40,NOT($N36="Common Space")),AND($C36=3,NOT($K36=""),NOT($K36="PHA Oper Sub"),$B36="HOME 40",NOT($N36="Common Space"))),$E36,"")</f>
        <v/>
      </c>
      <c r="BZ36" s="357" t="str">
        <f>IF(OR(AND($C36=4,NOT($K36=""),NOT($K36="PHA Oper Sub"),$B36=40,NOT($N36="Common Space")),AND($C36=4,NOT($K36=""),NOT($K36="PHA Oper Sub"),$B36="HOME 40",NOT($N36="Common Space"))),$E36,"")</f>
        <v/>
      </c>
      <c r="CA36" s="357" t="str">
        <f>IF(OR(AND($C36="Efficiency",NOT($K36=""),NOT($K36="PHA Oper Sub"),NOT($K36=0),$B36=50,NOT($N36="Common Space")),AND($C36="Efficiency",NOT($K36=""),NOT($K36=0),NOT($K36="PHA Oper Sub"),$B36="HOME 50",NOT($N36="Common Space"))),$E36,"")</f>
        <v/>
      </c>
      <c r="CB36" s="357" t="str">
        <f>IF(OR(AND($C36=1,NOT($K36=""),NOT($K36=0),NOT($K36="PHA Oper Sub"),$B36=50,NOT($N36="Common Space")),AND($C36=1,NOT($K36=""),NOT($K36=0),NOT($K36="PHA Oper Sub"),$B36="HOME 50",NOT($N36="Common Space"))),$E36,"")</f>
        <v/>
      </c>
      <c r="CC36" s="357" t="str">
        <f>IF(OR(AND($C36=2,NOT($K36=""),NOT($K36=0),NOT($K36="PHA Oper Sub"),$B36=50,NOT($N36="Common Space")),AND($C36=2,NOT($K36=""),NOT($K36=0),NOT($K36="PHA Oper Sub"),$B36="HOME 50",NOT($N36="Common Space"))),$E36,"")</f>
        <v/>
      </c>
      <c r="CD36" s="357" t="str">
        <f>IF(OR(AND($C36=3,NOT($K36=""),NOT($K36=0),NOT($K36="PHA Oper Sub"),$B36=50,NOT($N36="Common Space")),AND($C36=3,NOT($K36=""),NOT($K36=0),NOT($K36="PHA Oper Sub"),$B36="HOME 50",NOT($N36="Common Space"))),$E36,"")</f>
        <v/>
      </c>
      <c r="CE36" s="357" t="str">
        <f>IF(OR(AND($C36=4,NOT($K36=""),NOT($K36=0),NOT($K36="PHA Oper Sub"),$B36=50,NOT($N36="Common Space")),AND($C36=4,NOT($K36=""),NOT($K36=0),NOT($K36="PHA Oper Sub"),$B36="HOME 50",NOT($N36="Common Space"))),$E36,"")</f>
        <v/>
      </c>
      <c r="CF36" s="357" t="str">
        <f>IF(OR(AND($C36="Efficiency",NOT($K36=""),NOT($K36=0),NOT($K36="PHA Oper Sub"),$B36=60,NOT($N36="Common Space")),AND($C36="Efficiency",NOT($K36=""),NOT($K36=0),NOT($K36="PHA Oper Sub"),$B36="HOME 60",NOT($N36="Common Space"))),$E36,"")</f>
        <v/>
      </c>
      <c r="CG36" s="357" t="str">
        <f>IF(OR(AND($C36=1,NOT($K36=""),NOT($K36=0),NOT($K36="PHA Oper Sub"),$B36=60,NOT($N36="Common Space")),AND($C36=1,NOT($K36=""),NOT($K36=0),NOT($K36="PHA Oper Sub"),$B36="HOME 60",NOT($N36="Common Space"))),$E36,"")</f>
        <v/>
      </c>
      <c r="CH36" s="357" t="str">
        <f>IF(OR(AND($C36=2,NOT($K36=""),NOT($K36=0),NOT($K36="PHA Oper Sub"),$B36=60,NOT($N36="Common Space")),AND($C36=2,NOT($K36=""),NOT($K36=0),NOT($K36="PHA Oper Sub"),$B36="HOME 60",NOT($N36="Common Space"))),$E36,"")</f>
        <v/>
      </c>
      <c r="CI36" s="357" t="str">
        <f>IF(OR(AND($C36=3,NOT($K36=""),NOT($K36=0),NOT($K36="PHA Oper Sub"),$B36=60,NOT($N36="Common Space")),AND($C36=3,NOT($K36=""),NOT($K36=0),NOT($K36="PHA Oper Sub"),$B36="HOME 60",NOT($N36="Common Space"))),$E36,"")</f>
        <v/>
      </c>
      <c r="CJ36" s="357" t="str">
        <f>IF(OR(AND($C36=4,NOT($K36=""),NOT($K36=0),NOT($K36="PHA Oper Sub"),$B36=60,NOT($N36="Common Space")),AND($C36=4,NOT($K36=""),NOT($K36=0),NOT($K36="PHA Oper Sub"),$B36="HOME 60",NOT($N36="Common Space"))),$E36,"")</f>
        <v/>
      </c>
      <c r="CK36" s="357" t="str">
        <f>IF(OR(AND($C36="Efficiency",NOT($K36=""),NOT($K36="PHA Oper Sub"),$B36=70,NOT($N36="Common Space")),AND($C36="Efficiency",NOT($K36=""),NOT($K36="PHA Oper Sub"),$B36="HOME 70",NOT($N36="Common Space"))),$E36,"")</f>
        <v/>
      </c>
      <c r="CL36" s="357" t="str">
        <f>IF(OR(AND($C36=1,NOT($K36=""),NOT($K36="PHA Oper Sub"),$B36=70,NOT($N36="Common Space")),AND($C36=1,NOT($K36=""),NOT($K36="PHA Oper Sub"),$B36="HOME 70",NOT($N36="Common Space"))),$E36,"")</f>
        <v/>
      </c>
      <c r="CM36" s="357" t="str">
        <f>IF(OR(AND($C36=2,NOT($K36=""),NOT($K36="PHA Oper Sub"),$B36=70,NOT($N36="Common Space")),AND($C36=2,NOT($K36=""),NOT($K36="PHA Oper Sub"),$B36="HOME 70",NOT($N36="Common Space"))),$E36,"")</f>
        <v/>
      </c>
      <c r="CN36" s="357" t="str">
        <f>IF(OR(AND($C36=3,NOT($K36=""),NOT($K36="PHA Oper Sub"),$B36=70,NOT($N36="Common Space")),AND($C36=3,NOT($K36=""),NOT($K36="PHA Oper Sub"),$B36="HOME 70",NOT($N36="Common Space"))),$E36,"")</f>
        <v/>
      </c>
      <c r="CO36" s="357" t="str">
        <f>IF(OR(AND($C36=4,NOT($K36=""),NOT($K36="PHA Oper Sub"),$B36=70,NOT($N36="Common Space")),AND($C36=4,NOT($K36=""),NOT($K36="PHA Oper Sub"),$B36="HOME 70",NOT($N36="Common Space"))),$E36,"")</f>
        <v/>
      </c>
      <c r="CP36" s="357" t="str">
        <f>IF(OR(AND($C36="Efficiency",NOT($K36=""),NOT($K36="PHA Oper Sub"),$B36=80,NOT($N36="Common Space")),AND($C36="Efficiency",NOT($K36=""),NOT($K36="PHA Oper Sub"),$B36="HOME 80",NOT($N36="Common Space"))),$E36,"")</f>
        <v/>
      </c>
      <c r="CQ36" s="357" t="str">
        <f>IF(OR(AND($C36=1,NOT($K36=""),NOT($K36="PHA Oper Sub"),$B36=80,NOT($N36="Common Space")),AND($C36=1,NOT($K36=""),NOT($K36="PHA Oper Sub"),$B36="HOME 80",NOT($N36="Common Space"))),$E36,"")</f>
        <v/>
      </c>
      <c r="CR36" s="357" t="str">
        <f>IF(OR(AND($C36=2,NOT($K36=""),NOT($K36="PHA Oper Sub"),$B36=80,NOT($N36="Common Space")),AND($C36=2,NOT($K36=""),NOT($K36="PHA Oper Sub"),$B36="HOME 80",NOT($N36="Common Space"))),$E36,"")</f>
        <v/>
      </c>
      <c r="CS36" s="357" t="str">
        <f>IF(OR(AND($C36=3,NOT($K36=""),NOT($K36="PHA Oper Sub"),$B36=80,NOT($N36="Common Space")),AND($C36=3,NOT($K36=""),NOT($K36="PHA Oper Sub"),$B36="HOME 80",NOT($N36="Common Space"))),$E36,"")</f>
        <v/>
      </c>
      <c r="CT36" s="357" t="str">
        <f>IF(OR(AND($C36=4,NOT($K36=""),NOT($K36="PHA Oper Sub"),$B36=80,NOT($N36="Common Space")),AND($C36=4,NOT($K36=""),NOT($K36="PHA Oper Sub"),$B36="HOME 80",NOT($N36="Common Space"))),$E36,"")</f>
        <v/>
      </c>
      <c r="CU36" s="357" t="str">
        <f>IF(OR(AND($C36="Efficiency",$K36="PHA Oper Sub",$B36=20,NOT($N36="Common Space")),AND($C36="Efficiency",$K36="PHA Oper Sub",$B36="HOME 20",NOT($N36="Common Space"))),$E36,"")</f>
        <v/>
      </c>
      <c r="CV36" s="357" t="str">
        <f>IF(OR(AND($C36=1,$K36="PHA Oper Sub",$B36=20,NOT($N36="Common Space")),AND($C36=1,$K36="PHA Oper Sub",$B36="HOME 20",NOT($N36="Common Space"))),$E36,"")</f>
        <v/>
      </c>
      <c r="CW36" s="357" t="str">
        <f>IF(OR(AND($C36=2,$K36="PHA Oper Sub",$B36=20,NOT($N36="Common Space")),AND($C36=2,$K36="PHA Oper Sub",$B36="HOME 20",NOT($N36="Common Space"))),$E36,"")</f>
        <v/>
      </c>
      <c r="CX36" s="357" t="str">
        <f>IF(OR(AND($C36=3,$K36="PHA Oper Sub",$B36=20,NOT($N36="Common Space")),AND($C36=3,$K36="PHA Oper Sub",$B36="HOME 20",NOT($N36="Common Space"))),$E36,"")</f>
        <v/>
      </c>
      <c r="CY36" s="357" t="str">
        <f>IF(OR(AND($C36=4,$K36="PHA Oper Sub",$B36=20,NOT($N36="Common Space")),AND($C36=4,$K36="PHA Oper Sub",$B36="HOME 20",NOT($N36="Common Space"))),$E36,"")</f>
        <v/>
      </c>
      <c r="CZ36" s="357" t="str">
        <f>IF(OR(AND($C36="Efficiency",$K36="PHA Oper Sub",$B36=30,NOT($N36="Common Space")),AND($C36="Efficiency",$K36="PHA Oper Sub",$B36="HOME 30",NOT($N36="Common Space"))),$E36,"")</f>
        <v/>
      </c>
      <c r="DA36" s="357" t="str">
        <f>IF(OR(AND($C36=1,$K36="PHA Oper Sub",$B36=30,NOT($N36="Common Space")),AND($C36=1,$K36="PHA Oper Sub",$B36="HOME 30",NOT($N36="Common Space"))),$E36,"")</f>
        <v/>
      </c>
      <c r="DB36" s="357" t="str">
        <f>IF(OR(AND($C36=2,$K36="PHA Oper Sub",$B36=30,NOT($N36="Common Space")),AND($C36=2,$K36="PHA Oper Sub",$B36="HOME 30",NOT($N36="Common Space"))),$E36,"")</f>
        <v/>
      </c>
      <c r="DC36" s="357" t="str">
        <f>IF(OR(AND($C36=3,$K36="PHA Oper Sub",$B36=30,NOT($N36="Common Space")),AND($C36=3,$K36="PHA Oper Sub",$B36="HOME 30",NOT($N36="Common Space"))),$E36,"")</f>
        <v/>
      </c>
      <c r="DD36" s="357" t="str">
        <f>IF(OR(AND($C36=4,$K36="PHA Oper Sub",$B36=30,NOT($N36="Common Space")),AND($C36=4,$K36="PHA Oper Sub",$B36="HOME 30",NOT($N36="Common Space"))),$E36,"")</f>
        <v/>
      </c>
      <c r="DE36" s="357" t="str">
        <f>IF(OR(AND($C36="Efficiency",$K36="PHA Oper Sub",$B36=40,NOT($N36="Common Space")),AND($C36="Efficiency",$K36="PHA Oper Sub",$B36="HOME 40",NOT($N36="Common Space"))),$E36,"")</f>
        <v/>
      </c>
      <c r="DF36" s="357" t="str">
        <f>IF(OR(AND($C36=1,$K36="PHA Oper Sub",$B36=40,NOT($N36="Common Space")),AND($C36=1,$K36="PHA Oper Sub",$B36="HOME 40",NOT($N36="Common Space"))),$E36,"")</f>
        <v/>
      </c>
      <c r="DG36" s="357" t="str">
        <f>IF(OR(AND($C36=2,$K36="PHA Oper Sub",$B36=40,NOT($N36="Common Space")),AND($C36=2,$K36="PHA Oper Sub",$B36="HOME 40",NOT($N36="Common Space"))),$E36,"")</f>
        <v/>
      </c>
      <c r="DH36" s="357" t="str">
        <f>IF(OR(AND($C36=3,$K36="PHA Oper Sub",$B36=40,NOT($N36="Common Space")),AND($C36=3,$K36="PHA Oper Sub",$B36="HOME 40",NOT($N36="Common Space"))),$E36,"")</f>
        <v/>
      </c>
      <c r="DI36" s="357" t="str">
        <f>IF(OR(AND($C36=4,$K36="PHA Oper Sub",$B36=40,NOT($N36="Common Space")),AND($C36=4,$K36="PHA Oper Sub",$B36="HOME 40",NOT($N36="Common Space"))),$E36,"")</f>
        <v/>
      </c>
      <c r="DJ36" s="357" t="str">
        <f>IF(OR(AND($C36="Efficiency",$K36="PHA Oper Sub",$B36=50,NOT($N36="Common Space")),AND($C36="Efficiency",$K36="PHA Oper Sub",$B36="HOME 50",NOT($N36="Common Space"))),$E36,"")</f>
        <v/>
      </c>
      <c r="DK36" s="357" t="str">
        <f>IF(OR(AND($C36=1,$K36="PHA Oper Sub",$B36=50,NOT($N36="Common Space")),AND($C36=1,$K36="PHA Oper Sub",$B36="HOME 50",NOT($N36="Common Space"))),$E36,"")</f>
        <v/>
      </c>
      <c r="DL36" s="357" t="str">
        <f>IF(OR(AND($C36=2,$K36="PHA Oper Sub",$B36=50,NOT($N36="Common Space")),AND($C36=2,$K36="PHA Oper Sub",$B36="HOME 50",NOT($N36="Common Space"))),$E36,"")</f>
        <v/>
      </c>
      <c r="DM36" s="357" t="str">
        <f>IF(OR(AND($C36=3,$K36="PHA Oper Sub",$B36=50,NOT($N36="Common Space")),AND($C36=3,$K36="PHA Oper Sub",$B36="HOME 50",NOT($N36="Common Space"))),$E36,"")</f>
        <v/>
      </c>
      <c r="DN36" s="357" t="str">
        <f>IF(OR(AND($C36=4,$K36="PHA Oper Sub",$B36=50,NOT($N36="Common Space")),AND($C36=4,$K36="PHA Oper Sub",$B36="HOME 50",NOT($N36="Common Space"))),$E36,"")</f>
        <v/>
      </c>
      <c r="DO36" s="357" t="str">
        <f>IF(OR(AND($C36="Efficiency",$K36="PHA Oper Sub",$B36=60,NOT($N36="Common Space")),AND($C36="Efficiency",$K36="PHA Oper Sub",$B36="HOME 60",NOT($N36="Common Space"))),$E36,"")</f>
        <v/>
      </c>
      <c r="DP36" s="357" t="str">
        <f>IF(OR(AND($C36=1,$K36="PHA Oper Sub",$B36=60,NOT($N36="Common Space")),AND($C36=1,$K36="PHA Oper Sub",$B36="HOME 60",NOT($N36="Common Space"))),$E36,"")</f>
        <v/>
      </c>
      <c r="DQ36" s="357" t="str">
        <f>IF(OR(AND($C36=2,$K36="PHA Oper Sub",$B36=60,NOT($N36="Common Space")),AND($C36=2,$K36="PHA Oper Sub",$B36="HOME 60",NOT($N36="Common Space"))),$E36,"")</f>
        <v/>
      </c>
      <c r="DR36" s="357" t="str">
        <f>IF(OR(AND($C36=3,$K36="PHA Oper Sub",$B36=60,NOT($N36="Common Space")),AND($C36=3,$K36="PHA Oper Sub",$B36="HOME 60",NOT($N36="Common Space"))),$E36,"")</f>
        <v/>
      </c>
      <c r="DS36" s="357" t="str">
        <f>IF(OR(AND($C36=4,$K36="PHA Oper Sub",$B36=60,NOT($N36="Common Space")),AND($C36=4,$K36="PHA Oper Sub",$B36="HOME 60",NOT($N36="Common Space"))),$E36,"")</f>
        <v/>
      </c>
      <c r="DT36" s="357" t="str">
        <f>IF(OR(AND($C36="Efficiency",$K36="PHA Oper Sub",$B36=70,NOT($N36="Common Space")),AND($C36="Efficiency",$K36="PHA Oper Sub",$B36="HOME 70",NOT($N36="Common Space"))),$E36,"")</f>
        <v/>
      </c>
      <c r="DU36" s="357" t="str">
        <f>IF(OR(AND($C36=1,$K36="PHA Oper Sub",$B36=70,NOT($N36="Common Space")),AND($C36=1,$K36="PHA Oper Sub",$B36="HOME 70",NOT($N36="Common Space"))),$E36,"")</f>
        <v/>
      </c>
      <c r="DV36" s="357" t="str">
        <f>IF(OR(AND($C36=2,$K36="PHA Oper Sub",$B36=70,NOT($N36="Common Space")),AND($C36=2,$K36="PHA Oper Sub",$B36="HOME 70",NOT($N36="Common Space"))),$E36,"")</f>
        <v/>
      </c>
      <c r="DW36" s="357" t="str">
        <f>IF(OR(AND($C36=3,$K36="PHA Oper Sub",$B36=70,NOT($N36="Common Space")),AND($C36=3,$K36="PHA Oper Sub",$B36="HOME 70",NOT($N36="Common Space"))),$E36,"")</f>
        <v/>
      </c>
      <c r="DX36" s="357" t="str">
        <f>IF(OR(AND($C36=4,$K36="PHA Oper Sub",$B36=70,NOT($N36="Common Space")),AND($C36=4,$K36="PHA Oper Sub",$B36="HOME 70",NOT($N36="Common Space"))),$E36,"")</f>
        <v/>
      </c>
      <c r="DY36" s="357" t="str">
        <f>IF(OR(AND($C36="Efficiency",$K36="PHA Oper Sub",$B36=80,NOT($N36="Common Space")),AND($C36="Efficiency",$K36="PHA Oper Sub",$B36="HOME 80",NOT($N36="Common Space"))),$E36,"")</f>
        <v/>
      </c>
      <c r="DZ36" s="357" t="str">
        <f>IF(OR(AND($C36=1,$K36="PHA Oper Sub",$B36=80,NOT($N36="Common Space")),AND($C36=1,$K36="PHA Oper Sub",$B36="HOME 80",NOT($N36="Common Space"))),$E36,"")</f>
        <v/>
      </c>
      <c r="EA36" s="357" t="str">
        <f>IF(OR(AND($C36=2,$K36="PHA Oper Sub",$B36=80,NOT($N36="Common Space")),AND($C36=2,$K36="PHA Oper Sub",$B36="HOME 80",NOT($N36="Common Space"))),$E36,"")</f>
        <v/>
      </c>
      <c r="EB36" s="357" t="str">
        <f>IF(OR(AND($C36=3,$K36="PHA Oper Sub",$B36=80,NOT($N36="Common Space")),AND($C36=3,$K36="PHA Oper Sub",$B36="HOME 80",NOT($N36="Common Space"))),$E36,"")</f>
        <v/>
      </c>
      <c r="EC36" s="357" t="str">
        <f>IF(OR(AND($C36=4,$K36="PHA Oper Sub",$B36=80,NOT($N36="Common Space")),AND($C36=4,$K36="PHA Oper Sub",$B36="HOME 80",NOT($N36="Common Space"))),$E36,"")</f>
        <v/>
      </c>
      <c r="ED36" s="357" t="str">
        <f>IF(AND(C36="Efficiency",N36="Common Space"),E36,"")</f>
        <v/>
      </c>
      <c r="EE36" s="357" t="str">
        <f>IF(AND(C36=1,N36="Common Space"),E36,"")</f>
        <v/>
      </c>
      <c r="EF36" s="357" t="str">
        <f>IF(AND(C36=2,N36="Common Space"),E36,"")</f>
        <v/>
      </c>
      <c r="EG36" s="357" t="str">
        <f>IF(AND(C36=3,N36="Common Space"),E36,"")</f>
        <v/>
      </c>
      <c r="EH36" s="357" t="str">
        <f>IF(AND(C36=4,N36="Common Space"),E36,"")</f>
        <v/>
      </c>
      <c r="EI36" s="357" t="str">
        <f>IF(OR(AND($C36="Efficiency",$B36=80,NOT($N36="Common Space")),AND($C36="Efficiency",$B36="HOME 80",NOT($N36="Common Space"))),$E36*$F36,"")</f>
        <v/>
      </c>
      <c r="EJ36" s="357" t="str">
        <f>IF(OR(AND($C36=1,$B36=80,NOT($N36="Common Space")),AND($C36=1,$B36="HOME 80",NOT($N36="Common Space"))),$E36*$F36,"")</f>
        <v/>
      </c>
      <c r="EK36" s="357" t="str">
        <f>IF(OR(AND($C36=2,$B36=80,NOT($N36="Common Space")),AND($C36=2,$B36="HOME 80",NOT($N36="Common Space"))),$E36*$F36,"")</f>
        <v/>
      </c>
      <c r="EL36" s="357" t="str">
        <f>IF(OR(AND($C36=3,$B36=80,NOT($N36="Common Space")),AND($C36=3,$B36="HOME 80",NOT($N36="Common Space"))),$E36*$F36,"")</f>
        <v/>
      </c>
      <c r="EM36" s="357" t="str">
        <f>IF(OR(AND($C36=4,$B36=80,NOT($N36="Common Space")),AND($C36=4,$B36="HOME 80",NOT($N36="Common Space"))),$E36*$F36,"")</f>
        <v/>
      </c>
      <c r="EN36" s="357" t="str">
        <f>IF(OR(AND($C36="Efficiency",$B36=70,NOT($N36="Common Space")),AND($C36="Efficiency",$B36="HOME 70",NOT($N36="Common Space"))),$E36*$F36,"")</f>
        <v/>
      </c>
      <c r="EO36" s="357" t="str">
        <f>IF(OR(AND($C36=1,$B36=70,NOT($N36="Common Space")),AND($C36=1,$B36="HOME 70",NOT($N36="Common Space"))),$E36*$F36,"")</f>
        <v/>
      </c>
      <c r="EP36" s="357" t="str">
        <f>IF(OR(AND($C36=2,$B36=70,NOT($N36="Common Space")),AND($C36=2,$B36="HOME 70",NOT($N36="Common Space"))),$E36*$F36,"")</f>
        <v/>
      </c>
      <c r="EQ36" s="357" t="str">
        <f>IF(OR(AND($C36=3,$B36=70,NOT($N36="Common Space")),AND($C36=3,$B36="HOME 70",NOT($N36="Common Space"))),$E36*$F36,"")</f>
        <v/>
      </c>
      <c r="ER36" s="357" t="str">
        <f>IF(OR(AND($C36=4,$B36=70,NOT($N36="Common Space")),AND($C36=4,$B36="HOME 70",NOT($N36="Common Space"))),$E36*$F36,"")</f>
        <v/>
      </c>
      <c r="ES36" s="357" t="str">
        <f>IF(OR(AND($C36="Efficiency",$B36=60,NOT($N36="Common Space")),AND($C36="Efficiency",$B36="HOME 60",NOT($N36="Common Space"))),$E36*$F36,"")</f>
        <v/>
      </c>
      <c r="ET36" s="357" t="str">
        <f>IF(OR(AND($C36=1,$B36=60,NOT($N36="Common Space")),AND($C36=1,$B36="HOME 60",NOT($N36="Common Space"))),$E36*$F36,"")</f>
        <v/>
      </c>
      <c r="EU36" s="357" t="str">
        <f>IF(OR(AND($C36=2,$B36=60,NOT($N36="Common Space")),AND($C36=2,$B36="HOME 60",NOT($N36="Common Space"))),$E36*$F36,"")</f>
        <v/>
      </c>
      <c r="EV36" s="357" t="str">
        <f>IF(OR(AND($C36=3,$B36=60,NOT($N36="Common Space")),AND($C36=3,$B36="HOME 60",NOT($N36="Common Space"))),$E36*$F36,"")</f>
        <v/>
      </c>
      <c r="EW36" s="357" t="str">
        <f>IF(OR(AND($C36=4,$B36=60,NOT($N36="Common Space")),AND($C36=4,$B36="HOME 60",NOT($N36="Common Space"))),$E36*$F36,"")</f>
        <v/>
      </c>
      <c r="EX36" s="357" t="str">
        <f>IF(OR(AND($C36="Efficiency",$B36=50,NOT($N36="Common Space")),AND($C36="Efficiency",$B36="HOME 50",NOT($N36="Common Space"))),$E36*$F36,"")</f>
        <v/>
      </c>
      <c r="EY36" s="357" t="str">
        <f>IF(OR(AND($C36=1,$B36=50,NOT($N36="Common Space")),AND($C36=1,$B36="HOME 50",NOT($N36="Common Space"))),$E36*$F36,"")</f>
        <v/>
      </c>
      <c r="EZ36" s="357" t="str">
        <f>IF(OR(AND($C36=2,$B36=50,NOT($N36="Common Space")),AND($C36=2,$B36="HOME 50",NOT($N36="Common Space"))),$E36*$F36,"")</f>
        <v/>
      </c>
      <c r="FA36" s="357" t="str">
        <f>IF(OR(AND($C36=3,$B36=50,NOT($N36="Common Space")),AND($C36=3,$B36="HOME 50",NOT($N36="Common Space"))),$E36*$F36,"")</f>
        <v/>
      </c>
      <c r="FB36" s="357" t="str">
        <f>IF(OR(AND($C36=4,$B36=50,NOT($N36="Common Space")),AND($C36=4,$B36="HOME 50",NOT($N36="Common Space"))),$E36*$F36,"")</f>
        <v/>
      </c>
      <c r="FC36" s="357" t="str">
        <f>IF(OR(AND($C36="Efficiency",$B36=40,NOT($N36="Common Space")),AND($C36="Efficiency",$B36="HOME 40",NOT($N36="Common Space"))),$E36*$F36,"")</f>
        <v/>
      </c>
      <c r="FD36" s="357" t="str">
        <f>IF(OR(AND($C36=1,$B36=40,NOT($N36="Common Space")),AND($C36=1,$B36="HOME 40",NOT($N36="Common Space"))),$E36*$F36,"")</f>
        <v/>
      </c>
      <c r="FE36" s="357" t="str">
        <f>IF(OR(AND($C36=2,$B36=40,NOT($N36="Common Space")),AND($C36=2,$B36="HOME 40",NOT($N36="Common Space"))),$E36*$F36,"")</f>
        <v/>
      </c>
      <c r="FF36" s="357" t="str">
        <f>IF(OR(AND($C36=3,$B36=40,NOT($N36="Common Space")),AND($C36=3,$B36="HOME 40",NOT($N36="Common Space"))),$E36*$F36,"")</f>
        <v/>
      </c>
      <c r="FG36" s="357" t="str">
        <f>IF(OR(AND($C36=4,$B36=40,NOT($N36="Common Space")),AND($C36=4,$B36="HOME 40",NOT($N36="Common Space"))),$E36*$F36,"")</f>
        <v/>
      </c>
      <c r="FH36" s="357" t="str">
        <f>IF(OR(AND($C36="Efficiency",$B36=30,NOT($N36="Common Space")),AND($C36="Efficiency",$B36="HOME 30",NOT($N36="Common Space"))),$E36*$F36,"")</f>
        <v/>
      </c>
      <c r="FI36" s="357" t="str">
        <f>IF(OR(AND($C36=1,$B36=30,NOT($N36="Common Space")),AND($C36=1,$B36="HOME 30",NOT($N36="Common Space"))),$E36*$F36,"")</f>
        <v/>
      </c>
      <c r="FJ36" s="357" t="str">
        <f>IF(OR(AND($C36=2,$B36=30,NOT($N36="Common Space")),AND($C36=2,$B36="HOME 30",NOT($N36="Common Space"))),$E36*$F36,"")</f>
        <v/>
      </c>
      <c r="FK36" s="357" t="str">
        <f>IF(OR(AND($C36=3,$B36=30,NOT($N36="Common Space")),AND($C36=3,$B36="HOME 30",NOT($N36="Common Space"))),$E36*$F36,"")</f>
        <v/>
      </c>
      <c r="FL36" s="357" t="str">
        <f>IF(OR(AND($C36=4,$B36=30,NOT($N36="Common Space")),AND($C36=4,$B36="HOME 30",NOT($N36="Common Space"))),$E36*$F36,"")</f>
        <v/>
      </c>
      <c r="FM36" s="357" t="str">
        <f>IF(OR(AND($C36="Efficiency",$B36=20,NOT($N36="Common Space")),AND($C36="Efficiency",$B36="HOME 20",NOT($N36="Common Space"))),$E36*$F36,"")</f>
        <v/>
      </c>
      <c r="FN36" s="357" t="str">
        <f>IF(OR(AND($C36=1,$B36=20,NOT($N36="Common Space")),AND($C36=1,$B36="HOME 20",NOT($N36="Common Space"))),$E36*$F36,"")</f>
        <v/>
      </c>
      <c r="FO36" s="357" t="str">
        <f>IF(OR(AND($C36=2,$B36=20,NOT($N36="Common Space")),AND($C36=2,$B36="HOME 20",NOT($N36="Common Space"))),$E36*$F36,"")</f>
        <v/>
      </c>
      <c r="FP36" s="357" t="str">
        <f>IF(OR(AND($C36=3,$B36=20,NOT($N36="Common Space")),AND($C36=3,$B36="HOME 20",NOT($N36="Common Space"))),$E36*$F36,"")</f>
        <v/>
      </c>
      <c r="FQ36" s="357" t="str">
        <f>IF(OR(AND($C36=4,$B36=20,NOT($N36="Common Space")),AND($C36=4,$B36="HOME 20",NOT($N36="Common Space"))),$E36*$F36,"")</f>
        <v/>
      </c>
      <c r="FR36" s="357" t="str">
        <f>IF(AND(C36="Efficiency",B36="Unrestricted",NOT(N36="Common Space")),E36*F36,"")</f>
        <v/>
      </c>
      <c r="FS36" s="357" t="str">
        <f>IF(AND(C36=1,B36="Unrestricted",NOT(N36="Common Space")),E36*F36,"")</f>
        <v/>
      </c>
      <c r="FT36" s="357" t="str">
        <f>IF(AND(C36=2,B36="Unrestricted",NOT(N36="Common Space")),E36*F36,"")</f>
        <v/>
      </c>
      <c r="FU36" s="357" t="str">
        <f>IF(AND(C36=3,B36="Unrestricted",NOT(N36="Common Space")),E36*F36,"")</f>
        <v/>
      </c>
      <c r="FV36" s="357" t="str">
        <f>IF(AND(C36=4,B36="Unrestricted",NOT(N36="Common Space")),E36*F36,"")</f>
        <v/>
      </c>
      <c r="FW36" s="357" t="str">
        <f>IF(AND(C36="Efficiency",NOT(K36=""),NOT($K36=0),NOT(N36="Common Space")),E36*F36,"")</f>
        <v/>
      </c>
      <c r="FX36" s="357" t="str">
        <f>IF(AND(C36=1,NOT(K36=""),NOT($K36=0),NOT(N36="Common Space")),E36*F36,"")</f>
        <v/>
      </c>
      <c r="FY36" s="357" t="str">
        <f>IF(AND(C36=2,NOT(K36=""),NOT($K36=0),NOT(N36="Common Space")),E36*F36,"")</f>
        <v/>
      </c>
      <c r="FZ36" s="357" t="str">
        <f>IF(AND(C36=3,NOT(K36=""),NOT($K36=0),NOT(N36="Common Space")),E36*F36,"")</f>
        <v/>
      </c>
      <c r="GA36" s="357" t="str">
        <f>IF(AND(C36=4,NOT(K36=""),NOT($K36=0),NOT(N36="Common Space")),E36*F36,"")</f>
        <v/>
      </c>
      <c r="GB36" s="357" t="str">
        <f>IF(AND(C36="Efficiency",N36="Common Space"),E36*F36,"")</f>
        <v/>
      </c>
      <c r="GC36" s="357" t="str">
        <f>IF(AND(C36=1,N36="Common Space"),E36*F36,"")</f>
        <v/>
      </c>
      <c r="GD36" s="357" t="str">
        <f>IF(AND(C36=2,N36="Common Space"),E36*F36,"")</f>
        <v/>
      </c>
      <c r="GE36" s="357" t="str">
        <f>IF(AND(C36=3,N36="Common Space"),E36*F36,"")</f>
        <v/>
      </c>
      <c r="GF36" s="357" t="str">
        <f>IF(AND(C36=4,N36="Common Space"),E36*F36,"")</f>
        <v/>
      </c>
      <c r="GG36" s="357" t="str">
        <f>IF(AND($C36="Efficiency", $P36="New Construction",NOT($B36="Unrestricted"),NOT($B36="NSP 120"),NOT($B36="N/A-CS"),NOT($N36="Common Space")),$E36,"")</f>
        <v/>
      </c>
      <c r="GH36" s="357" t="str">
        <f>IF(AND($C36=1, $P36="New Construction",NOT($B36="Unrestricted"),NOT($B36="NSP 120"),NOT($B36="N/A-CS"),NOT($N36="Common Space")),$E36,"")</f>
        <v/>
      </c>
      <c r="GI36" s="357" t="str">
        <f>IF(AND($C36=2, $P36="New Construction",NOT($B36="Unrestricted"),NOT($B36="NSP 120"),NOT($B36="N/A-CS"),NOT($N36="Common Space")),$E36,"")</f>
        <v/>
      </c>
      <c r="GJ36" s="357" t="str">
        <f>IF(AND($C36=3, $P36="New Construction",NOT($B36="Unrestricted"),NOT($B36="NSP 120"),NOT($B36="N/A-CS"),NOT($N36="Common Space")),$E36,"")</f>
        <v/>
      </c>
      <c r="GK36" s="357" t="str">
        <f>IF(AND($C36=4, $P36="New Construction",NOT($B36="Unrestricted"),NOT($B36="NSP 120"),NOT($B36="N/A-CS"),NOT($N36="Common Space")),$E36,"")</f>
        <v/>
      </c>
      <c r="GL36" s="357" t="str">
        <f>IF(AND($C36="Efficiency", $P36="New Construction",$B36="Unrestricted",NOT($B36="N/A-CS"),NOT($N36="Common Space")),$E36,"")</f>
        <v/>
      </c>
      <c r="GM36" s="357" t="str">
        <f>IF(AND($C36=1, $P36="New Construction",$B36="Unrestricted",NOT($B36="N/A-CS"),NOT($N36="Common Space")),$E36,"")</f>
        <v/>
      </c>
      <c r="GN36" s="357" t="str">
        <f>IF(AND($C36=2, $P36="New Construction",$B36="Unrestricted",NOT($B36="N/A-CS"),NOT($N36="Common Space")),$E36,"")</f>
        <v/>
      </c>
      <c r="GO36" s="357" t="str">
        <f>IF(AND($C36=3, $P36="New Construction",$B36="Unrestricted",NOT($B36="N/A-CS"),NOT($N36="Common Space")),$E36,"")</f>
        <v/>
      </c>
      <c r="GP36" s="357" t="str">
        <f>IF(AND($C36=4, $P36="New Construction",$B36="Unrestricted",NOT($B36="N/A-CS"),NOT($N36="Common Space")),$E36,"")</f>
        <v/>
      </c>
      <c r="GQ36" s="357" t="str">
        <f>IF(AND($C36="Efficiency", $P36="New Construction",$B36="N/A-CS",$N36="Common Space"),$E36,"")</f>
        <v/>
      </c>
      <c r="GR36" s="357" t="str">
        <f>IF(AND($C36=1, $P36="New Construction",$B36="N/A-CS",$N36="Common Space"),$E36,"")</f>
        <v/>
      </c>
      <c r="GS36" s="357" t="str">
        <f>IF(AND($C36=2, $P36="New Construction",$B36="N/A-CS",$N36="Common Space"),$E36,"")</f>
        <v/>
      </c>
      <c r="GT36" s="357" t="str">
        <f>IF(AND($C36=3, $P36="New Construction",$B36="N/A-CS",$N36="Common Space"),$E36,"")</f>
        <v/>
      </c>
      <c r="GU36" s="357" t="str">
        <f>IF(AND($C36=4, $P36="New Construction",$B36="N/A-CS",$N36="Common Space"),$E36,"")</f>
        <v/>
      </c>
      <c r="GV36" s="357" t="str">
        <f>IF(AND($C36="Efficiency", $P36="Acquisition/Rehab",NOT($B36="Unrestricted"),NOT($B36="NSP 120"),NOT($B36="N/A-CS"),NOT($N36="Common Space")),$E36,"")</f>
        <v/>
      </c>
      <c r="GW36" s="357" t="str">
        <f>IF(AND($C36=1, $P36="Acquisition/Rehab",NOT($B36="Unrestricted"),NOT($B36="NSP 120"),NOT($B36="N/A-CS"),NOT($N36="Common Space")),$E36,"")</f>
        <v/>
      </c>
      <c r="GX36" s="357" t="str">
        <f>IF(AND($C36=2, $P36="Acquisition/Rehab",NOT($B36="Unrestricted"),NOT($B36="NSP 120"),NOT($B36="N/A-CS"),NOT($N36="Common Space")),$E36,"")</f>
        <v/>
      </c>
      <c r="GY36" s="357" t="str">
        <f>IF(AND($C36=3, $P36="Acquisition/Rehab",NOT($B36="Unrestricted"),NOT($B36="NSP 120"),NOT($B36="N/A-CS"),NOT($N36="Common Space")),$E36,"")</f>
        <v/>
      </c>
      <c r="GZ36" s="357" t="str">
        <f>IF(AND($C36=4, $P36="Acquisition/Rehab",NOT($B36="Unrestricted"),NOT($B36="NSP 120"),NOT($B36="N/A-CS"),NOT($N36="Common Space")),$E36,"")</f>
        <v/>
      </c>
      <c r="HA36" s="357" t="str">
        <f>IF(AND($C36="Efficiency", $P36="Acquisition/Rehab",$B36="Unrestricted",NOT($B36="N/A-CS"),NOT($N36="Common Space")),$E36,"")</f>
        <v/>
      </c>
      <c r="HB36" s="357" t="str">
        <f>IF(AND($C36=1, $P36="Acquisition/Rehab",$B36="Unrestricted",NOT($B36="N/A-CS"),NOT($N36="Common Space")),$E36,"")</f>
        <v/>
      </c>
      <c r="HC36" s="357" t="str">
        <f>IF(AND($C36=2, $P36="Acquisition/Rehab",$B36="Unrestricted",NOT($B36="N/A-CS"),NOT($N36="Common Space")),$E36,"")</f>
        <v/>
      </c>
      <c r="HD36" s="357" t="str">
        <f>IF(AND($C36=3, $P36="Acquisition/Rehab",$B36="Unrestricted",NOT($B36="N/A-CS"),NOT($N36="Common Space")),$E36,"")</f>
        <v/>
      </c>
      <c r="HE36" s="357" t="str">
        <f>IF(AND($C36=4, $P36="Acquisition/Rehab",$B36="Unrestricted",NOT($B36="N/A-CS"),NOT($N36="Common Space")),$E36,"")</f>
        <v/>
      </c>
      <c r="HF36" s="357" t="str">
        <f>IF(AND($C36="Efficiency", $P36="Acquisition/Rehab",$B36="N/A-CS",$N36="Common Space"),$E36,"")</f>
        <v/>
      </c>
      <c r="HG36" s="357" t="str">
        <f>IF(AND($C36=1, $P36="Acquisition/Rehab",$B36="N/A-CS",$N36="Common Space"),$E36,"")</f>
        <v/>
      </c>
      <c r="HH36" s="357" t="str">
        <f>IF(AND($C36=2, $P36="Acquisition/Rehab",$B36="N/A-CS",$N36="Common Space"),$E36,"")</f>
        <v/>
      </c>
      <c r="HI36" s="357" t="str">
        <f>IF(AND($C36=3, $P36="Acquisition/Rehab",$B36="N/A-CS",$N36="Common Space"),$E36,"")</f>
        <v/>
      </c>
      <c r="HJ36" s="357" t="str">
        <f>IF(AND($C36=4, $P36="Acquisition/Rehab",$B36="N/A-CS",$N36="Common Space"),$E36,"")</f>
        <v/>
      </c>
      <c r="HK36" s="357" t="str">
        <f>IF(AND($C36="Efficiency", $P36="Rehabilitation",NOT($B36="Unrestricted"),NOT($B36="NSP 120"),NOT($B36="N/A-CS"),NOT($N36="Common Space")),$E36,"")</f>
        <v/>
      </c>
      <c r="HL36" s="357" t="str">
        <f>IF(AND($C36=1, $P36="Rehabilitation",NOT($B36="Unrestricted"),NOT($B36="NSP 120"),NOT($B36="N/A-CS"),NOT($N36="Common Space")),$E36,"")</f>
        <v/>
      </c>
      <c r="HM36" s="357" t="str">
        <f>IF(AND($C36=2, $P36="Rehabilitation",NOT($B36="Unrestricted"),NOT($B36="NSP 120"),NOT($B36="N/A-CS"),NOT($N36="Common Space")),$E36,"")</f>
        <v/>
      </c>
      <c r="HN36" s="357" t="str">
        <f>IF(AND($C36=3, $P36="Rehabilitation",NOT($B36="Unrestricted"),NOT($B36="NSP 120"),NOT($B36="N/A-CS"),NOT($N36="Common Space")),$E36,"")</f>
        <v/>
      </c>
      <c r="HO36" s="357" t="str">
        <f>IF(AND($C36=4, $P36="Rehabilitation",NOT($B36="Unrestricted"),NOT($B36="NSP 120"),NOT($B36="N/A-CS"),NOT($N36="Common Space")),$E36,"")</f>
        <v/>
      </c>
      <c r="HP36" s="357" t="str">
        <f>IF(AND($C36="Efficiency", $P36="Rehabilitation",$B36="Unrestricted",NOT($B36="N/A-CS"),NOT($N36="Common Space")),$E36,"")</f>
        <v/>
      </c>
      <c r="HQ36" s="357" t="str">
        <f>IF(AND($C36=1, $P36="Rehabilitation",$B36="Unrestricted",NOT($B36="N/A-CS"),NOT($N36="Common Space")),$E36,"")</f>
        <v/>
      </c>
      <c r="HR36" s="357" t="str">
        <f>IF(AND($C36=2, $P36="Rehabilitation",$B36="Unrestricted",NOT($B36="N/A-CS"),NOT($N36="Common Space")),$E36,"")</f>
        <v/>
      </c>
      <c r="HS36" s="357" t="str">
        <f>IF(AND($C36=3, $P36="Rehabilitation",$B36="Unrestricted",NOT($B36="N/A-CS"),NOT($N36="Common Space")),$E36,"")</f>
        <v/>
      </c>
      <c r="HT36" s="357" t="str">
        <f>IF(AND($C36=4, $P36="Rehabilitation",$B36="Unrestricted",NOT($B36="N/A-CS"),NOT($N36="Common Space")),$E36,"")</f>
        <v/>
      </c>
      <c r="HU36" s="357" t="str">
        <f>IF(AND($C36="Efficiency", $P36="Rehabilitation",$B36="N/A-CS",$N36="Common Space"),$E36,"")</f>
        <v/>
      </c>
      <c r="HV36" s="357" t="str">
        <f>IF(AND($C36=1, $P36="Rehabilitation",$B36="N/A-CS",$N36="Common Space"),$E36,"")</f>
        <v/>
      </c>
      <c r="HW36" s="357" t="str">
        <f>IF(AND($C36=2, $P36="Rehabilitation",$B36="N/A-CS",$N36="Common Space"),$E36,"")</f>
        <v/>
      </c>
      <c r="HX36" s="357" t="str">
        <f>IF(AND($C36=3, $P36="Rehabilitation",$B36="N/A-CS",$N36="Common Space"),$E36,"")</f>
        <v/>
      </c>
      <c r="HY36" s="357" t="str">
        <f>IF(AND($C36=4, $P36="Rehabilitation",$B36="N/A-CS",$N36="Common Space"),$E36,"")</f>
        <v/>
      </c>
      <c r="HZ36" s="1896" t="str">
        <f>IF(AND($C36="Efficiency", NOT(OR($O36="SF Detached",$O36="Mfd Home",$O36="Semi-Detached",$O36="Row House/TH"))),$E36,"")</f>
        <v/>
      </c>
      <c r="IA36" s="1896" t="str">
        <f>IF(AND($C36=1, NOT(OR($O36="SF Detached",$O36="Mfd Home",$O36="Semi-Detached",$O36="Row House/TH"))),$E36,"")</f>
        <v/>
      </c>
      <c r="IB36" s="1896" t="str">
        <f>IF(AND($C36=2, NOT(OR($O36="SF Detached",$O36="Mfd Home",$O36="Semi-Detached",$O36="Row House/TH"))),$E36,"")</f>
        <v/>
      </c>
      <c r="IC36" s="1896" t="str">
        <f>IF(AND($C36=3, NOT(OR($O36="SF Detached",$O36="Mfd Home",$O36="Semi-Detached",$O36="Row House/TH"))),$E36,"")</f>
        <v/>
      </c>
      <c r="ID36" s="1896" t="str">
        <f>IF(AND($C36=4, NOT(OR($O36="SF Detached",$O36="Mfd Home",$O36="Semi-Detached",$O36="Row House/TH"))),$E36,"")</f>
        <v/>
      </c>
      <c r="IE36" s="1896" t="str">
        <f>IF(AND($C36="Efficiency", $O36="SF Detached",NOT($Q36="Yes")),$E36,"")</f>
        <v/>
      </c>
      <c r="IF36" s="1896" t="str">
        <f>IF(AND($C36=1, $O36="SF Detached",NOT($Q36="Yes")),$E36,"")</f>
        <v/>
      </c>
      <c r="IG36" s="1896" t="str">
        <f>IF(AND($C36=2, $O36="SF Detached",NOT($Q36="Yes")),$E36,"")</f>
        <v/>
      </c>
      <c r="IH36" s="1896" t="str">
        <f>IF(AND($C36=3, $O36="SF Detached",NOT($Q36="Yes")),$E36,"")</f>
        <v/>
      </c>
      <c r="II36" s="1896" t="str">
        <f>IF(AND($C36=4, $O36="SF Detached",NOT($Q36="Yes")),$E36,"")</f>
        <v/>
      </c>
      <c r="IJ36" s="1896" t="str">
        <f>IF(AND($C36="Efficiency", $O36="SF Detached",$Q36="Yes"),$E36,"")</f>
        <v/>
      </c>
      <c r="IK36" s="1896" t="str">
        <f>IF(AND($C36=1, $O36="SF Detached",$Q36="Yes"),$E36,"")</f>
        <v/>
      </c>
      <c r="IL36" s="1896" t="str">
        <f>IF(AND($C36=2, $O36="SF Detached",$Q36="Yes"),$E36,"")</f>
        <v/>
      </c>
      <c r="IM36" s="1896" t="str">
        <f>IF(AND($C36=3, $O36="SF Detached",$Q36="Yes"),$E36,"")</f>
        <v/>
      </c>
      <c r="IN36" s="1896" t="str">
        <f>IF(AND($C36=4, $O36="SF Detached",$Q36="Yes"),$E36,"")</f>
        <v/>
      </c>
      <c r="IO36" s="1896" t="str">
        <f>IF(AND($C36="Efficiency", $O36="Mfd Home",NOT($Q36="Yes")),$E36,"")</f>
        <v/>
      </c>
      <c r="IP36" s="1896" t="str">
        <f>IF(AND($C36=1, $O36="Mfd Home",NOT($Q36="Yes")),$E36,"")</f>
        <v/>
      </c>
      <c r="IQ36" s="1896" t="str">
        <f>IF(AND($C36=2, $O36="Mfd Home",NOT($Q36="Yes")),$E36,"")</f>
        <v/>
      </c>
      <c r="IR36" s="1896" t="str">
        <f>IF(AND($C36=3, $O36="Mfd Home",NOT($Q36="Yes")),$E36,"")</f>
        <v/>
      </c>
      <c r="IS36" s="1896" t="str">
        <f>IF(AND($C36=4, $O36="Mfd Home",NOT($Q36="Yes")),$E36,"")</f>
        <v/>
      </c>
      <c r="IT36" s="1896" t="str">
        <f>IF(AND($C36="Efficiency", $O36="Mfd Home",$Q36="Yes"),$E36,"")</f>
        <v/>
      </c>
      <c r="IU36" s="1896" t="str">
        <f>IF(AND($C36=1, $O36="Mfd Home",$Q36="Yes"),$E36,"")</f>
        <v/>
      </c>
      <c r="IV36" s="1896" t="str">
        <f>IF(AND($C36=2, $O36="Mfd Home",$Q36="Yes"),$E36,"")</f>
        <v/>
      </c>
      <c r="IW36" s="1896" t="str">
        <f>IF(AND($C36=3, $O36="Mfd Home",$Q36="Yes"),$E36,"")</f>
        <v/>
      </c>
      <c r="IX36" s="1896" t="str">
        <f>IF(AND($C36=4, $O36="Mfd Home",$Q36="Yes"),$E36,"")</f>
        <v/>
      </c>
      <c r="IY36" s="1896" t="str">
        <f>IF(AND($C36="Efficiency", $O36="Semi-Detached",NOT($Q36="Yes")),$E36,"")</f>
        <v/>
      </c>
      <c r="IZ36" s="1896" t="str">
        <f>IF(AND($C36=1, $O36="Semi-Detached",NOT($Q36="Yes")),$E36,"")</f>
        <v/>
      </c>
      <c r="JA36" s="1896" t="str">
        <f>IF(AND($C36=2, $O36="Semi-Detached",NOT($Q36="Yes")),$E36,"")</f>
        <v/>
      </c>
      <c r="JB36" s="1896" t="str">
        <f>IF(AND($C36=3, $O36="Semi-Detached",NOT($Q36="Yes")),$E36,"")</f>
        <v/>
      </c>
      <c r="JC36" s="1896" t="str">
        <f>IF(AND($C36=4, $O36="Semi-Detached",NOT($Q36="Yes")),$E36,"")</f>
        <v/>
      </c>
      <c r="JD36" s="1896" t="str">
        <f>IF(AND($C36="Efficiency", $O36="Semi-Detached",$Q36="Yes"),$E36,"")</f>
        <v/>
      </c>
      <c r="JE36" s="1896" t="str">
        <f>IF(AND($C36=1, $O36="Semi-Detached",$Q36="Yes"),$E36,"")</f>
        <v/>
      </c>
      <c r="JF36" s="1896" t="str">
        <f>IF(AND($C36=2, $O36="Semi-Detached",$Q36="Yes"),$E36,"")</f>
        <v/>
      </c>
      <c r="JG36" s="1896" t="str">
        <f>IF(AND($C36=3, $O36="Semi-Detached",$Q36="Yes"),$E36,"")</f>
        <v/>
      </c>
      <c r="JH36" s="1896" t="str">
        <f>IF(AND($C36=4, $O36="Semi-Detached",$Q36="Yes"),$E36,"")</f>
        <v/>
      </c>
      <c r="JI36" s="1896" t="str">
        <f>IF(AND($C36="Efficiency", $O36="Row House/TH",NOT($Q36="Yes")),$E36,"")</f>
        <v/>
      </c>
      <c r="JJ36" s="1896" t="str">
        <f>IF(AND($C36=1, $O36="Row House/TH",NOT($Q36="Yes")),$E36,"")</f>
        <v/>
      </c>
      <c r="JK36" s="1896" t="str">
        <f>IF(AND($C36=2, $O36="Row House/TH",NOT($Q36="Yes")),$E36,"")</f>
        <v/>
      </c>
      <c r="JL36" s="1896" t="str">
        <f>IF(AND($C36=3, $O36="Row House/TH",NOT($Q36="Yes")),$E36,"")</f>
        <v/>
      </c>
      <c r="JM36" s="1896" t="str">
        <f>IF(AND($C36=4, $O36="Row House/TH",NOT($Q36="Yes")),$E36,"")</f>
        <v/>
      </c>
      <c r="JN36" s="1896" t="str">
        <f>IF(AND($C36="Efficiency", $O36="Row House/TH",$Q36="Yes"),$E36,"")</f>
        <v/>
      </c>
      <c r="JO36" s="1896" t="str">
        <f>IF(AND($C36=1, $O36="Row House/TH",$Q36="Yes"),$E36,"")</f>
        <v/>
      </c>
      <c r="JP36" s="1896" t="str">
        <f>IF(AND($C36=2, $O36="Row House/TH",$Q36="Yes"),$E36,"")</f>
        <v/>
      </c>
      <c r="JQ36" s="1896" t="str">
        <f>IF(AND($C36=3, $O36="Row House/TH",$Q36="Yes"),$E36,"")</f>
        <v/>
      </c>
      <c r="JR36" s="1896" t="str">
        <f>IF(AND($C36=4, $O36="Row House/TH",$Q36="Yes"),$E36,"")</f>
        <v/>
      </c>
      <c r="JS36" s="1896" t="str">
        <f>IF(AND($C36="Efficiency", $O36="Low-Rise Apt",NOT($Q36="Yes")),$E36,"")</f>
        <v/>
      </c>
      <c r="JT36" s="1896" t="str">
        <f>IF(AND($C36=1, $O36="Low-Rise Apt",NOT($Q36="Yes")),$E36,"")</f>
        <v/>
      </c>
      <c r="JU36" s="1896" t="str">
        <f>IF(AND($C36=2, $O36="Low-Rise Apt",NOT($Q36="Yes")),$E36,"")</f>
        <v/>
      </c>
      <c r="JV36" s="1896" t="str">
        <f>IF(AND($C36=3, $O36="Low-Rise Apt",NOT($Q36="Yes")),$E36,"")</f>
        <v/>
      </c>
      <c r="JW36" s="1896" t="str">
        <f>IF(AND($C36=4, $O36="Low-Rise Apt",NOT($Q36="Yes")),$E36,"")</f>
        <v/>
      </c>
      <c r="JX36" s="1896" t="str">
        <f>IF(AND($C36="Efficiency", $O36="Low-Rise Elevator",NOT($Q36="Yes")),$E36,"")</f>
        <v/>
      </c>
      <c r="JY36" s="1896" t="str">
        <f>IF(AND($C36=1, $O36="Low-Rise Elevator",NOT($Q36="Yes")),$E36,"")</f>
        <v/>
      </c>
      <c r="JZ36" s="1896" t="str">
        <f>IF(AND($C36=2, $O36="Low-Rise Elevator",NOT($Q36="Yes")),$E36,"")</f>
        <v/>
      </c>
      <c r="KA36" s="1896" t="str">
        <f>IF(AND($C36=3, $O36="Low-Rise Elevator",NOT($Q36="Yes")),$E36,"")</f>
        <v/>
      </c>
      <c r="KB36" s="1896" t="str">
        <f>IF(AND($C36=4, $O36="Low-Rise Elevator",NOT($Q36="Yes")),$E36,"")</f>
        <v/>
      </c>
      <c r="KC36" s="1896" t="str">
        <f>IF(AND($C36="Efficiency", $O36="Low-Rise Apt",$Q36="Yes"),$E36,"")</f>
        <v/>
      </c>
      <c r="KD36" s="1896" t="str">
        <f>IF(AND($C36=1, $O36="Low-Rise Apt",$Q36="Yes"),$E36,"")</f>
        <v/>
      </c>
      <c r="KE36" s="1896" t="str">
        <f>IF(AND($C36=2, $O36="Low-Rise Apt",$Q36="Yes"),$E36,"")</f>
        <v/>
      </c>
      <c r="KF36" s="1896" t="str">
        <f>IF(AND($C36=3, $O36="Low-Rise Apt",$Q36="Yes"),$E36,"")</f>
        <v/>
      </c>
      <c r="KG36" s="1896" t="str">
        <f>IF(AND($C36=4, $O36="Low-Rise Apt",$Q36="Yes"),$E36,"")</f>
        <v/>
      </c>
      <c r="KH36" s="1896" t="str">
        <f>IF(AND($C36="Efficiency", $O36="Low-Rise Elevator",$Q36="Yes"),$E36,"")</f>
        <v/>
      </c>
      <c r="KI36" s="1896" t="str">
        <f>IF(AND($C36=1, $O36="Low-Rise Elevator",$Q36="Yes"),$E36,"")</f>
        <v/>
      </c>
      <c r="KJ36" s="1896" t="str">
        <f>IF(AND($C36=2, $O36="Low-Rise Elevator",$Q36="Yes"),$E36,"")</f>
        <v/>
      </c>
      <c r="KK36" s="1896" t="str">
        <f>IF(AND($C36=3, $O36="Low-Rise Elevator",$Q36="Yes"),$E36,"")</f>
        <v/>
      </c>
      <c r="KL36" s="1896" t="str">
        <f>IF(AND($C36=4, $O36="Low-Rise Elevator",$Q36="Yes"),$E36,"")</f>
        <v/>
      </c>
      <c r="KM36" s="1896" t="str">
        <f>IF(AND($C36="Efficiency", $O36="High-Rise Apt",NOT($Q36="Yes")),$E36,"")</f>
        <v/>
      </c>
      <c r="KN36" s="1896" t="str">
        <f>IF(AND($C36=1, $O36="High-Rise Apt",NOT($Q36="Yes")),$E36,"")</f>
        <v/>
      </c>
      <c r="KO36" s="1896" t="str">
        <f>IF(AND($C36=2, $O36="High-Rise Apt",NOT($Q36="Yes")),$E36,"")</f>
        <v/>
      </c>
      <c r="KP36" s="1896" t="str">
        <f>IF(AND($C36=3, $O36="High-Rise Apt",NOT($Q36="Yes")),$E36,"")</f>
        <v/>
      </c>
      <c r="KQ36" s="1896" t="str">
        <f>IF(AND($C36=4, $O36="High-Rise Apt",NOT($Q36="Yes")),$E36,"")</f>
        <v/>
      </c>
      <c r="KR36" s="1896" t="str">
        <f>IF(AND($C36="Efficiency", $O36="High-Rise Elevator",NOT($Q36="Yes")),$E36,"")</f>
        <v/>
      </c>
      <c r="KS36" s="1896" t="str">
        <f>IF(AND($C36=1, $O36="High-Rise Elevator",NOT($Q36="Yes")),$E36,"")</f>
        <v/>
      </c>
      <c r="KT36" s="1896" t="str">
        <f>IF(AND($C36=2, $O36="High-Rise Elevator",NOT($Q36="Yes")),$E36,"")</f>
        <v/>
      </c>
      <c r="KU36" s="1896" t="str">
        <f>IF(AND($C36=3, $O36="High-Rise Elevator",NOT($Q36="Yes")),$E36,"")</f>
        <v/>
      </c>
      <c r="KV36" s="1896" t="str">
        <f>IF(AND($C36=4, $O36="High-Rise Elevator",NOT($Q36="Yes")),$E36,"")</f>
        <v/>
      </c>
      <c r="KW36" s="1896" t="str">
        <f>IF(AND($C36="Efficiency", $O36="High-Rise Apt",$Q36="Yes"),$E36,"")</f>
        <v/>
      </c>
      <c r="KX36" s="1896" t="str">
        <f>IF(AND($C36=1, $O36="High-Rise Apt",$Q36="Yes"),$E36,"")</f>
        <v/>
      </c>
      <c r="KY36" s="1896" t="str">
        <f>IF(AND($C36=2, $O36="High-Rise Apt",$Q36="Yes"),$E36,"")</f>
        <v/>
      </c>
      <c r="KZ36" s="1896" t="str">
        <f>IF(AND($C36=3, $O36="High-Rise Apt",$Q36="Yes"),$E36,"")</f>
        <v/>
      </c>
      <c r="LA36" s="1896" t="str">
        <f>IF(AND($C36=4, $O36="High-Rise Apt",$Q36="Yes"),$E36,"")</f>
        <v/>
      </c>
      <c r="LB36" s="1896" t="str">
        <f>IF(AND($C36="Efficiency", $O36="High-Rise Elevator",$Q36="Yes"),$E36,"")</f>
        <v/>
      </c>
      <c r="LC36" s="1896" t="str">
        <f>IF(AND($C36=1, $O36="High-Rise Elevator",$Q36="Yes"),$E36,"")</f>
        <v/>
      </c>
      <c r="LD36" s="1896" t="str">
        <f>IF(AND($C36=2, $O36="High-Rise Elevator",$Q36="Yes"),$E36,"")</f>
        <v/>
      </c>
      <c r="LE36" s="1896" t="str">
        <f>IF(AND($C36=3, $O36="High-Rise Elevator",$Q36="Yes"),$E36,"")</f>
        <v/>
      </c>
      <c r="LF36" s="1896" t="str">
        <f>IF(AND($C36=4, $O36="High-Rise Elevator",$Q36="Yes"),$E36,"")</f>
        <v/>
      </c>
      <c r="LG36" s="1885" t="str">
        <f>IF(AND($B36="NSP 120% AMI",$C36="Efficiency", NOT($N36="Common Space")),$E36,"")</f>
        <v/>
      </c>
      <c r="LH36" s="1885" t="str">
        <f>IF(AND($B36="NSP 120% AMI",$C36=1,NOT($N36="Common Space")),$E36,"")</f>
        <v/>
      </c>
      <c r="LI36" s="1885" t="str">
        <f>IF(AND($B36="NSP 120% AMI",$C36=2,NOT($N36="Common Space")),$E36,"")</f>
        <v/>
      </c>
      <c r="LJ36" s="1885" t="str">
        <f>IF(AND($B36="NSP 120% AMI",$C36=3,NOT($N36="Common Space")),$E36,"")</f>
        <v/>
      </c>
      <c r="LK36" s="1885" t="str">
        <f>IF(AND($B36="NSP 120% AMI",$C36=4,NOT($N36="Common Space")),$E36,"")</f>
        <v/>
      </c>
      <c r="LL36" s="357" t="str">
        <f>IF(AND(C36="Efficiency",B36="NSP 120% AMI",NOT(N36="Common Space")),E36*F36,"")</f>
        <v/>
      </c>
      <c r="LM36" s="357" t="str">
        <f>IF(AND(C36=1,B36="NSP 120% AMI",NOT(N36="Common Space")),E36*F36,"")</f>
        <v/>
      </c>
      <c r="LN36" s="357" t="str">
        <f>IF(AND(C36=2,B36="NSP 120% AMI",NOT(N36="Common Space")),E36*F36,"")</f>
        <v/>
      </c>
      <c r="LO36" s="357" t="str">
        <f>IF(AND(C36=3,B36="NSP 120% AMI",NOT(N36="Common Space")),E36*F36,"")</f>
        <v/>
      </c>
      <c r="LP36" s="357" t="str">
        <f>IF(AND(C36=4,B36="NSP 120% AMI",NOT(N36="Common Space")),E36*F36,"")</f>
        <v/>
      </c>
      <c r="LQ36" s="357" t="str">
        <f>IF(AND($C36="Efficiency", $P36="New Construction",$B36="NSP 120% AMI",NOT($N36="Common Space")),$E36,"")</f>
        <v/>
      </c>
      <c r="LR36" s="357" t="str">
        <f>IF(AND($C36=1, $P36="New Construction",$B36="NSP 120% AMI",NOT($N36="Common Space")),$E36,"")</f>
        <v/>
      </c>
      <c r="LS36" s="357" t="str">
        <f>IF(AND($C36=2, $P36="New Construction",$B36="NSP 120% AMI",NOT($N36="Common Space")),$E36,"")</f>
        <v/>
      </c>
      <c r="LT36" s="357" t="str">
        <f>IF(AND($C36=3, $P36="New Construction",$B36="NSP 120% AMI",NOT($N36="Common Space")),$E36,"")</f>
        <v/>
      </c>
      <c r="LU36" s="357" t="str">
        <f>IF(AND($C36=4, $P36="New Construction",$B36="NSP 120% AMI",NOT($N36="Common Space")),$E36,"")</f>
        <v/>
      </c>
      <c r="LV36" s="357" t="str">
        <f>IF(AND($C36="Efficiency", $P36="Acquisition/Rehab",$B36="NSP 120% AMI",NOT($N36="Common Space")),$E36,"")</f>
        <v/>
      </c>
      <c r="LW36" s="357" t="str">
        <f>IF(AND($C36=1, $P36="Acquisition/Rehab",$B36="NSP 120% AMI",NOT($N36="Common Space")),$E36,"")</f>
        <v/>
      </c>
      <c r="LX36" s="357" t="str">
        <f>IF(AND($C36=2, $P36="Acquisition/Rehab",$B36="NSP 120% AMI",NOT($N36="Common Space")),$E36,"")</f>
        <v/>
      </c>
      <c r="LY36" s="357" t="str">
        <f>IF(AND($C36=3, $P36="Acquisition/Rehab",$B36="NSP 120% AMI",NOT($N36="Common Space")),$E36,"")</f>
        <v/>
      </c>
      <c r="LZ36" s="357" t="str">
        <f>IF(AND($C36=4, $P36="Acquisition/Rehab",$B36="NSP 120% AMI",NOT($N36="Common Space")),$E36,"")</f>
        <v/>
      </c>
      <c r="MA36" s="357" t="str">
        <f>IF(AND($C36="Efficiency", $P36="Rehabilitation",$B36="NSP 120% AMI",NOT($N36="Common Space")),$E36,"")</f>
        <v/>
      </c>
      <c r="MB36" s="357" t="str">
        <f>IF(AND($C36=1, $P36="Rehabilitation",$B36="NSP 120% AMI",NOT($N36="Common Space")),$E36,"")</f>
        <v/>
      </c>
      <c r="MC36" s="357" t="str">
        <f>IF(AND($C36=2, $P36="Rehabilitation",$B36="NSP 120% AMI",NOT($N36="Common Space")),$E36,"")</f>
        <v/>
      </c>
      <c r="MD36" s="357" t="str">
        <f>IF(AND($C36=3, $P36="Rehabilitation",$B36="NSP 120% AMI",NOT($N36="Common Space")),$E36,"")</f>
        <v/>
      </c>
      <c r="ME36" s="357" t="str">
        <f>IF(AND($C36=4, $P36="Rehabilitation",$B36="NSP 120% AMI",NOT($N36="Common Space")),$E36,"")</f>
        <v/>
      </c>
      <c r="MF36" s="1748">
        <f>IF(AND($C36="Efficiency",$E36&gt;0,OR($O36="Low-Rise Apt",$O36="Low-Rise Elevator",$O36="High-Rise Apt",$O36="High-Rise Elevator",$O36="Row House/TH"),OR($P36="Acquisition/Rehab",$P36="Rehabilitation"),NOT($Q36="Yes")),$E36,0)</f>
        <v>0</v>
      </c>
      <c r="MG36" s="1748">
        <f>IF(AND($C36=1,$E36&gt;0,OR($O36="Low-Rise Apt",$O36="Low-Rise Elevator",$O36="High-Rise Apt",$O36="High-Rise Elevator",$O36="Row House/TH"),OR($P36="Acquisition/Rehab",$P36="Rehabilitation"),NOT($Q36="Yes")),$E36,0)</f>
        <v>0</v>
      </c>
      <c r="MH36" s="1748">
        <f>IF(AND($C36=2,$E36&gt;0,OR($O36="Low-Rise Apt",$O36="Low-Rise Elevator",$O36="High-Rise Apt",$O36="High-Rise Elevator",$O36="Row House/TH"),OR($P36="Acquisition/Rehab",$P36="Rehabilitation"),NOT($Q36="Yes")),$E36,0)</f>
        <v>0</v>
      </c>
      <c r="MI36" s="1748">
        <f>IF(AND($C36=3,$E36&gt;0,OR($O36="Low-Rise Apt",$O36="Low-Rise Elevator",$O36="High-Rise Apt",$O36="High-Rise Elevator",$O36="Row House/TH"),OR($P36="Acquisition/Rehab",$P36="Rehabilitation"),NOT($Q36="Yes")),$E36,0)</f>
        <v>0</v>
      </c>
      <c r="MJ36" s="1748">
        <f>IF(AND($C36=4,$E36&gt;0,OR($O36="Low-Rise Apt",$O36="Low-Rise Elevator",$O36="High-Rise Apt",$O36="High-Rise Elevator",$O36="Row House/TH"),OR($P36="Acquisition/Rehab",$P36="Rehabilitation"),NOT($Q36="Yes")),$E36,0)</f>
        <v>0</v>
      </c>
      <c r="MK36" s="1748">
        <f>IF(AND($C36="Efficiency",$E36&gt;0,OR($O36="Low-Rise Apt",$O36="Low-Rise Elevator",$O36="High-Rise Apt",$O36="High-Rise Elevator",$O36="Row House/TH"),$P36="New Construction"),$E36,0)</f>
        <v>0</v>
      </c>
      <c r="ML36" s="1748">
        <f>IF(AND($C36=1,$E36&gt;0,OR($O36="Low-Rise Apt",$O36="Low-Rise Elevator",$O36="High-Rise Apt",$O36="High-Rise Elevator",$O36="Row House/TH"),$P36="New Construction"),$E36,0)</f>
        <v>0</v>
      </c>
      <c r="MM36" s="1748">
        <f>IF(AND($C36=2,$E36&gt;0,OR($O36="Low-Rise Apt",$O36="Low-Rise Elevator",$O36="High-Rise Apt",$O36="High-Rise Elevator",$O36="Row House/TH"),$P36="New Construction"),$E36,0)</f>
        <v>0</v>
      </c>
      <c r="MN36" s="1748">
        <f>IF(AND($C36=3,$E36&gt;0,OR($O36="Low-Rise Apt",$O36="Low-Rise Elevator",$O36="High-Rise Apt",$O36="High-Rise Elevator",$O36="Row House/TH"),$P36="New Construction"),$E36,0)</f>
        <v>0</v>
      </c>
      <c r="MO36" s="1748">
        <f>IF(AND($C36=4,$E36&gt;0,OR($O36="Low-Rise Apt",$O36="Low-Rise Elevator",$O36="High-Rise Apt",$O36="High-Rise Elevator",$O36="Row House/TH"),$P36="New Construction"),$E36,0)</f>
        <v>0</v>
      </c>
      <c r="MP36" s="1748">
        <f>IF(AND($C36="Efficiency",$E36&gt;0,OR($O36="SF Detached",$O36="Semi-Detached",$O36="Mfd Home"),NOT($Q36="Yes")),$E36,0)</f>
        <v>0</v>
      </c>
      <c r="MQ36" s="1748">
        <f>IF(AND($C36=1,$E36&gt;0,OR($O36="SF Detached",$O36="Semi-Detached",$O36="Mfd Home"),NOT($Q36="Yes")),$E36,0)</f>
        <v>0</v>
      </c>
      <c r="MR36" s="1748">
        <f>IF(AND($C36=2,$E36&gt;0,OR($O36="SF Detached",$O36="Semi-Detached",$O36="Mfd Home"),NOT($Q36="Yes")),$E36,0)</f>
        <v>0</v>
      </c>
      <c r="MS36" s="1748">
        <f>IF(AND($C36=3,$E36&gt;0,OR($O36="SF Detached",$O36="Semi-Detached",$O36="Mfd Home"),NOT($Q36="Yes")),$E36,0)</f>
        <v>0</v>
      </c>
      <c r="MT36" s="1748">
        <f>IF(AND($C36=4,$E36&gt;0,OR($O36="SF Detached",$O36="Semi-Detached",$O36="Mfd Home"),NOT($Q36="Yes")),$E36,0)</f>
        <v>0</v>
      </c>
      <c r="NP36" s="1719" t="s">
        <v>6429</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IF(AND(E46&gt;0,OR(B46="",C46="",D46="",F46="",G46="", H46="",I46="",N46="",O46="",P46="",Q46="")),1,"")</f>
        <v/>
      </c>
      <c r="B46" s="1119"/>
      <c r="C46" s="132"/>
      <c r="D46" s="1751"/>
      <c r="E46" s="133"/>
      <c r="F46" s="133"/>
      <c r="G46" s="133"/>
      <c r="H46" s="133"/>
      <c r="I46" s="133"/>
      <c r="J46" s="756">
        <f>IF(C46="",0,HLOOKUP(C46,'Part IV-Utility Allowances'!$I$11:$M$22,12))</f>
        <v>0</v>
      </c>
      <c r="K46" s="644"/>
      <c r="L46" s="461">
        <f>MAX(0,H46-I46-J46)</f>
        <v>0</v>
      </c>
      <c r="M46" s="461">
        <f>MAX(0,E46*L46)</f>
        <v>0</v>
      </c>
      <c r="N46" s="695"/>
      <c r="O46" s="1683"/>
      <c r="P46" s="695"/>
      <c r="Q46" s="134"/>
      <c r="R46" s="739"/>
      <c r="S46" s="740"/>
      <c r="T46" s="3558"/>
      <c r="U46" s="3559"/>
      <c r="V46" s="3559"/>
      <c r="W46" s="3560"/>
      <c r="X46" s="357" t="str">
        <f>IF(AND(C46="Efficiency",B46=80,NOT(N46="Common Space")),E46,"")</f>
        <v/>
      </c>
      <c r="Y46" s="357" t="str">
        <f>IF(AND(C46=1,B46=80,NOT(N46="Common Space")),E46,"")</f>
        <v/>
      </c>
      <c r="Z46" s="357" t="str">
        <f>IF(AND(C46=2,B46=80,NOT(N46="Common Space")),E46,"")</f>
        <v/>
      </c>
      <c r="AA46" s="357" t="str">
        <f>IF(AND(C46=3,B46=80,NOT(N46="Common Space")),E46,"")</f>
        <v/>
      </c>
      <c r="AB46" s="357" t="str">
        <f>IF(AND(C46=4,B46=80,NOT(N46="Common Space")),E46,"")</f>
        <v/>
      </c>
      <c r="AC46" s="357" t="str">
        <f>IF(AND(C46="Efficiency",B46=70,NOT(N46="Common Space")),E46,"")</f>
        <v/>
      </c>
      <c r="AD46" s="357" t="str">
        <f>IF(AND(C46=1,B46=70,NOT(N46="Common Space")),E46,"")</f>
        <v/>
      </c>
      <c r="AE46" s="357" t="str">
        <f>IF(AND(C46=2,B46=70,NOT(N46="Common Space")),E46,"")</f>
        <v/>
      </c>
      <c r="AF46" s="357" t="str">
        <f>IF(AND(C46=3,B46=70,NOT(N46="Common Space")),E46,"")</f>
        <v/>
      </c>
      <c r="AG46" s="357" t="str">
        <f>IF(AND(C46=4,B46=70,NOT(N46="Common Space")),E46,"")</f>
        <v/>
      </c>
      <c r="AH46" s="357" t="str">
        <f>IF(AND(C46="Efficiency",B46=60,NOT(N46="Common Space")),E46,"")</f>
        <v/>
      </c>
      <c r="AI46" s="357" t="str">
        <f>IF(AND(C46=1,B46=60,NOT(N46="Common Space")),E46,"")</f>
        <v/>
      </c>
      <c r="AJ46" s="357" t="str">
        <f>IF(AND(C46=2,B46=60,NOT(N46="Common Space")),E46,"")</f>
        <v/>
      </c>
      <c r="AK46" s="357" t="str">
        <f>IF(AND(C46=3,B46=60,NOT(N46="Common Space")),E46,"")</f>
        <v/>
      </c>
      <c r="AL46" s="357" t="str">
        <f>IF(AND(C46=4,B46=60,NOT(N46="Common Space")),E46,"")</f>
        <v/>
      </c>
      <c r="AM46" s="357" t="str">
        <f>IF(AND(C46="Efficiency",B46=50,NOT(N46="Common Space")),E46,"")</f>
        <v/>
      </c>
      <c r="AN46" s="357" t="str">
        <f>IF(AND(C46=1,B46=50,NOT(N46="Common Space")),E46,"")</f>
        <v/>
      </c>
      <c r="AO46" s="357" t="str">
        <f>IF(AND(C46=2,B46=50,NOT(N46="Common Space")),E46,"")</f>
        <v/>
      </c>
      <c r="AP46" s="357" t="str">
        <f>IF(AND(C46=3,B46=50,NOT(N46="Common Space")),E46,"")</f>
        <v/>
      </c>
      <c r="AQ46" s="357" t="str">
        <f>IF(AND(C46=4,B46=50,NOT(N46="Common Space")),E46,"")</f>
        <v/>
      </c>
      <c r="AR46" s="357" t="str">
        <f>IF(AND(C46="Efficiency",B46=40,NOT(N46="Common Space")),E46,"")</f>
        <v/>
      </c>
      <c r="AS46" s="357" t="str">
        <f>IF(AND(C46=1,B46=40,NOT(N46="Common Space")),E46,"")</f>
        <v/>
      </c>
      <c r="AT46" s="357" t="str">
        <f>IF(AND(C46=2,B46=40,NOT(N46="Common Space")),E46,"")</f>
        <v/>
      </c>
      <c r="AU46" s="357" t="str">
        <f>IF(AND(C46=3,B46=40,NOT(N46="Common Space")),E46,"")</f>
        <v/>
      </c>
      <c r="AV46" s="357" t="str">
        <f>IF(AND(C46=4,B46=40,NOT(N46="Common Space")),E46,"")</f>
        <v/>
      </c>
      <c r="AW46" s="357" t="str">
        <f>IF(AND(C46="Efficiency",B46=30,NOT(N46="Common Space")),E46,"")</f>
        <v/>
      </c>
      <c r="AX46" s="357" t="str">
        <f>IF(AND(C46=1,B46=30,NOT(N46="Common Space")),E46,"")</f>
        <v/>
      </c>
      <c r="AY46" s="357" t="str">
        <f>IF(AND(C46=2,B46=30,NOT(N46="Common Space")),E46,"")</f>
        <v/>
      </c>
      <c r="AZ46" s="357" t="str">
        <f>IF(AND(C46=3,B46=30,NOT(N46="Common Space")),E46,"")</f>
        <v/>
      </c>
      <c r="BA46" s="357" t="str">
        <f>IF(AND(C46=4,B46=30,NOT(N46="Common Space")),E46,"")</f>
        <v/>
      </c>
      <c r="BB46" s="357" t="str">
        <f>IF(AND(C46="Efficiency",B46=20,NOT(N46="Common Space")),E46,"")</f>
        <v/>
      </c>
      <c r="BC46" s="357" t="str">
        <f>IF(AND(C46=1,B46=20,NOT(N46="Common Space")),E46,"")</f>
        <v/>
      </c>
      <c r="BD46" s="357" t="str">
        <f>IF(AND(C46=2,B46=20,NOT(N46="Common Space")),E46,"")</f>
        <v/>
      </c>
      <c r="BE46" s="357" t="str">
        <f>IF(AND(C46=3,B46=20,NOT(N46="Common Space")),E46,"")</f>
        <v/>
      </c>
      <c r="BF46" s="357" t="str">
        <f>IF(AND(C46=4,B46=20,NOT(N46="Common Space")),E46,"")</f>
        <v/>
      </c>
      <c r="BG46" s="357" t="str">
        <f>IF(AND(C46="Efficiency",B46="Unrestricted",NOT(N46="Common Space")),E46,"")</f>
        <v/>
      </c>
      <c r="BH46" s="357" t="str">
        <f>IF(AND(C46=1,B46="Unrestricted",NOT(N46="Common Space")),E46,"")</f>
        <v/>
      </c>
      <c r="BI46" s="357" t="str">
        <f>IF(AND(C46=2,B46="Unrestricted",NOT(N46="Common Space")),E46,"")</f>
        <v/>
      </c>
      <c r="BJ46" s="357" t="str">
        <f>IF(AND(C46=3,B46="Unrestricted",NOT(N46="Common Space")),E46,"")</f>
        <v/>
      </c>
      <c r="BK46" s="357" t="str">
        <f>IF(AND(C46=4,B46="Unrestricted",NOT(N46="Common Space")),E46,"")</f>
        <v/>
      </c>
      <c r="BL46" s="357" t="str">
        <f>IF(OR(AND($C46="Efficiency",NOT($K46=""),NOT($K46="PHA Oper Sub"),$B46=20,NOT($N46="Common Space")),AND($C46="Efficiency",NOT($K46=""),NOT($K46="PHA Oper Sub"),$B46="HOME 20",NOT($N46="Common Space"))),$E46,"")</f>
        <v/>
      </c>
      <c r="BM46" s="357" t="str">
        <f>IF(OR(AND($C46=1,NOT($K46=""),NOT($K46="PHA Oper Sub"),$B46=20,NOT($N46="Common Space")),AND($C46=1,NOT($K46=""),NOT($K46="PHA Oper Sub"),$B46="HOME 20",NOT($N46="Common Space"))),$E46,"")</f>
        <v/>
      </c>
      <c r="BN46" s="357" t="str">
        <f>IF(OR(AND($C46=2,NOT($K46=""),NOT($K46="PHA Oper Sub"),$B46=20,NOT($N46="Common Space")),AND($C46=2,NOT($K46=""),NOT($K46="PHA Oper Sub"),$B46="HOME 20",NOT($N46="Common Space"))),$E46,"")</f>
        <v/>
      </c>
      <c r="BO46" s="357" t="str">
        <f>IF(OR(AND($C46=3,NOT($K46=""),NOT($K46="PHA Oper Sub"),$B46=20,NOT($N46="Common Space")),AND($C46=3,NOT($K46=""),NOT($K46="PHA Oper Sub"),$B46="HOME 20",NOT($N46="Common Space"))),$E46,"")</f>
        <v/>
      </c>
      <c r="BP46" s="357" t="str">
        <f>IF(OR(AND($C46=4,NOT($K46=""),NOT($K46="PHA Oper Sub"),$B46=20,NOT($N46="Common Space")),AND($C46=4,NOT($K46=""),NOT($K46="PHA Oper Sub"),$B46="HOME 20",NOT($N46="Common Space"))),$E46,"")</f>
        <v/>
      </c>
      <c r="BQ46" s="357" t="str">
        <f>IF(OR(AND($C46="Efficiency",NOT($K46=""),NOT($K46="PHA Oper Sub"),$B46=30,NOT($N46="Common Space")),AND($C46="Efficiency",NOT($K46=""),NOT($K46="PHA Oper Sub"),$B46="HOME 30",NOT($N46="Common Space"))),$E46,"")</f>
        <v/>
      </c>
      <c r="BR46" s="357" t="str">
        <f>IF(OR(AND($C46=1,NOT($K46=""),NOT($K46="PHA Oper Sub"),$B46=30,NOT($N46="Common Space")),AND($C46=1,NOT($K46=""),NOT($K46="PHA Oper Sub"),$B46="HOME 30",NOT($N46="Common Space"))),$E46,"")</f>
        <v/>
      </c>
      <c r="BS46" s="357" t="str">
        <f>IF(OR(AND($C46=2,NOT($K46=""),NOT($K46="PHA Oper Sub"),$B46=30,NOT($N46="Common Space")),AND($C46=2,NOT($K46=""),NOT($K46="PHA Oper Sub"),$B46="HOME 30",NOT($N46="Common Space"))),$E46,"")</f>
        <v/>
      </c>
      <c r="BT46" s="357" t="str">
        <f>IF(OR(AND($C46=3,NOT($K46=""),NOT($K46="PHA Oper Sub"),$B46=30,NOT($N46="Common Space")),AND($C46=3,NOT($K46=""),NOT($K46="PHA Oper Sub"),$B46="HOME 30",NOT($N46="Common Space"))),$E46,"")</f>
        <v/>
      </c>
      <c r="BU46" s="357" t="str">
        <f>IF(OR(AND($C46=4,NOT($K46=""),NOT($K46="PHA Oper Sub"),$B46=30,NOT($N46="Common Space")),AND($C46=4,NOT($K46=""),NOT($K46="PHA Oper Sub"),$B46="HOME 30",NOT($N46="Common Space"))),$E46,"")</f>
        <v/>
      </c>
      <c r="BV46" s="357" t="str">
        <f>IF(OR(AND($C46="Efficiency",NOT($K46=""),NOT($K46="PHA Oper Sub"),$B46=40,NOT($N46="Common Space")),AND($C46="Efficiency",NOT($K46=""),NOT($K46="PHA Oper Sub"),$B46="HOME 40",NOT($N46="Common Space"))),$E46,"")</f>
        <v/>
      </c>
      <c r="BW46" s="357" t="str">
        <f>IF(OR(AND($C46=1,NOT($K46=""),NOT($K46="PHA Oper Sub"),$B46=40,NOT($N46="Common Space")),AND($C46=1,NOT($K46=""),NOT($K46="PHA Oper Sub"),$B46="HOME 40",NOT($N46="Common Space"))),$E46,"")</f>
        <v/>
      </c>
      <c r="BX46" s="357" t="str">
        <f>IF(OR(AND($C46=2,NOT($K46=""),NOT($K46="PHA Oper Sub"),$B46=40,NOT($N46="Common Space")),AND($C46=2,NOT($K46=""),NOT($K46="PHA Oper Sub"),$B46="HOME 40",NOT($N46="Common Space"))),$E46,"")</f>
        <v/>
      </c>
      <c r="BY46" s="357" t="str">
        <f>IF(OR(AND($C46=3,NOT($K46=""),NOT($K46="PHA Oper Sub"),$B46=40,NOT($N46="Common Space")),AND($C46=3,NOT($K46=""),NOT($K46="PHA Oper Sub"),$B46="HOME 40",NOT($N46="Common Space"))),$E46,"")</f>
        <v/>
      </c>
      <c r="BZ46" s="357" t="str">
        <f>IF(OR(AND($C46=4,NOT($K46=""),NOT($K46="PHA Oper Sub"),$B46=40,NOT($N46="Common Space")),AND($C46=4,NOT($K46=""),NOT($K46="PHA Oper Sub"),$B46="HOME 40",NOT($N46="Common Space"))),$E46,"")</f>
        <v/>
      </c>
      <c r="CA46" s="357" t="str">
        <f>IF(OR(AND($C46="Efficiency",NOT($K46=""),NOT($K46="PHA Oper Sub"),NOT($K46=0),$B46=50,NOT($N46="Common Space")),AND($C46="Efficiency",NOT($K46=""),NOT($K46=0),NOT($K46="PHA Oper Sub"),$B46="HOME 50",NOT($N46="Common Space"))),$E46,"")</f>
        <v/>
      </c>
      <c r="CB46" s="357" t="str">
        <f>IF(OR(AND($C46=1,NOT($K46=""),NOT($K46=0),NOT($K46="PHA Oper Sub"),$B46=50,NOT($N46="Common Space")),AND($C46=1,NOT($K46=""),NOT($K46=0),NOT($K46="PHA Oper Sub"),$B46="HOME 50",NOT($N46="Common Space"))),$E46,"")</f>
        <v/>
      </c>
      <c r="CC46" s="357" t="str">
        <f>IF(OR(AND($C46=2,NOT($K46=""),NOT($K46=0),NOT($K46="PHA Oper Sub"),$B46=50,NOT($N46="Common Space")),AND($C46=2,NOT($K46=""),NOT($K46=0),NOT($K46="PHA Oper Sub"),$B46="HOME 50",NOT($N46="Common Space"))),$E46,"")</f>
        <v/>
      </c>
      <c r="CD46" s="357" t="str">
        <f>IF(OR(AND($C46=3,NOT($K46=""),NOT($K46=0),NOT($K46="PHA Oper Sub"),$B46=50,NOT($N46="Common Space")),AND($C46=3,NOT($K46=""),NOT($K46=0),NOT($K46="PHA Oper Sub"),$B46="HOME 50",NOT($N46="Common Space"))),$E46,"")</f>
        <v/>
      </c>
      <c r="CE46" s="357" t="str">
        <f>IF(OR(AND($C46=4,NOT($K46=""),NOT($K46=0),NOT($K46="PHA Oper Sub"),$B46=50,NOT($N46="Common Space")),AND($C46=4,NOT($K46=""),NOT($K46=0),NOT($K46="PHA Oper Sub"),$B46="HOME 50",NOT($N46="Common Space"))),$E46,"")</f>
        <v/>
      </c>
      <c r="CF46" s="357" t="str">
        <f>IF(OR(AND($C46="Efficiency",NOT($K46=""),NOT($K46=0),NOT($K46="PHA Oper Sub"),$B46=60,NOT($N46="Common Space")),AND($C46="Efficiency",NOT($K46=""),NOT($K46=0),NOT($K46="PHA Oper Sub"),$B46="HOME 60",NOT($N46="Common Space"))),$E46,"")</f>
        <v/>
      </c>
      <c r="CG46" s="357" t="str">
        <f>IF(OR(AND($C46=1,NOT($K46=""),NOT($K46=0),NOT($K46="PHA Oper Sub"),$B46=60,NOT($N46="Common Space")),AND($C46=1,NOT($K46=""),NOT($K46=0),NOT($K46="PHA Oper Sub"),$B46="HOME 60",NOT($N46="Common Space"))),$E46,"")</f>
        <v/>
      </c>
      <c r="CH46" s="357" t="str">
        <f>IF(OR(AND($C46=2,NOT($K46=""),NOT($K46=0),NOT($K46="PHA Oper Sub"),$B46=60,NOT($N46="Common Space")),AND($C46=2,NOT($K46=""),NOT($K46=0),NOT($K46="PHA Oper Sub"),$B46="HOME 60",NOT($N46="Common Space"))),$E46,"")</f>
        <v/>
      </c>
      <c r="CI46" s="357" t="str">
        <f>IF(OR(AND($C46=3,NOT($K46=""),NOT($K46=0),NOT($K46="PHA Oper Sub"),$B46=60,NOT($N46="Common Space")),AND($C46=3,NOT($K46=""),NOT($K46=0),NOT($K46="PHA Oper Sub"),$B46="HOME 60",NOT($N46="Common Space"))),$E46,"")</f>
        <v/>
      </c>
      <c r="CJ46" s="357" t="str">
        <f>IF(OR(AND($C46=4,NOT($K46=""),NOT($K46=0),NOT($K46="PHA Oper Sub"),$B46=60,NOT($N46="Common Space")),AND($C46=4,NOT($K46=""),NOT($K46=0),NOT($K46="PHA Oper Sub"),$B46="HOME 60",NOT($N46="Common Space"))),$E46,"")</f>
        <v/>
      </c>
      <c r="CK46" s="357" t="str">
        <f>IF(OR(AND($C46="Efficiency",NOT($K46=""),NOT($K46="PHA Oper Sub"),$B46=70,NOT($N46="Common Space")),AND($C46="Efficiency",NOT($K46=""),NOT($K46="PHA Oper Sub"),$B46="HOME 70",NOT($N46="Common Space"))),$E46,"")</f>
        <v/>
      </c>
      <c r="CL46" s="357" t="str">
        <f>IF(OR(AND($C46=1,NOT($K46=""),NOT($K46="PHA Oper Sub"),$B46=70,NOT($N46="Common Space")),AND($C46=1,NOT($K46=""),NOT($K46="PHA Oper Sub"),$B46="HOME 70",NOT($N46="Common Space"))),$E46,"")</f>
        <v/>
      </c>
      <c r="CM46" s="357" t="str">
        <f>IF(OR(AND($C46=2,NOT($K46=""),NOT($K46="PHA Oper Sub"),$B46=70,NOT($N46="Common Space")),AND($C46=2,NOT($K46=""),NOT($K46="PHA Oper Sub"),$B46="HOME 70",NOT($N46="Common Space"))),$E46,"")</f>
        <v/>
      </c>
      <c r="CN46" s="357" t="str">
        <f>IF(OR(AND($C46=3,NOT($K46=""),NOT($K46="PHA Oper Sub"),$B46=70,NOT($N46="Common Space")),AND($C46=3,NOT($K46=""),NOT($K46="PHA Oper Sub"),$B46="HOME 70",NOT($N46="Common Space"))),$E46,"")</f>
        <v/>
      </c>
      <c r="CO46" s="357" t="str">
        <f>IF(OR(AND($C46=4,NOT($K46=""),NOT($K46="PHA Oper Sub"),$B46=70,NOT($N46="Common Space")),AND($C46=4,NOT($K46=""),NOT($K46="PHA Oper Sub"),$B46="HOME 70",NOT($N46="Common Space"))),$E46,"")</f>
        <v/>
      </c>
      <c r="CP46" s="357" t="str">
        <f>IF(OR(AND($C46="Efficiency",NOT($K46=""),NOT($K46="PHA Oper Sub"),$B46=80,NOT($N46="Common Space")),AND($C46="Efficiency",NOT($K46=""),NOT($K46="PHA Oper Sub"),$B46="HOME 80",NOT($N46="Common Space"))),$E46,"")</f>
        <v/>
      </c>
      <c r="CQ46" s="357" t="str">
        <f>IF(OR(AND($C46=1,NOT($K46=""),NOT($K46="PHA Oper Sub"),$B46=80,NOT($N46="Common Space")),AND($C46=1,NOT($K46=""),NOT($K46="PHA Oper Sub"),$B46="HOME 80",NOT($N46="Common Space"))),$E46,"")</f>
        <v/>
      </c>
      <c r="CR46" s="357" t="str">
        <f>IF(OR(AND($C46=2,NOT($K46=""),NOT($K46="PHA Oper Sub"),$B46=80,NOT($N46="Common Space")),AND($C46=2,NOT($K46=""),NOT($K46="PHA Oper Sub"),$B46="HOME 80",NOT($N46="Common Space"))),$E46,"")</f>
        <v/>
      </c>
      <c r="CS46" s="357" t="str">
        <f>IF(OR(AND($C46=3,NOT($K46=""),NOT($K46="PHA Oper Sub"),$B46=80,NOT($N46="Common Space")),AND($C46=3,NOT($K46=""),NOT($K46="PHA Oper Sub"),$B46="HOME 80",NOT($N46="Common Space"))),$E46,"")</f>
        <v/>
      </c>
      <c r="CT46" s="357" t="str">
        <f>IF(OR(AND($C46=4,NOT($K46=""),NOT($K46="PHA Oper Sub"),$B46=80,NOT($N46="Common Space")),AND($C46=4,NOT($K46=""),NOT($K46="PHA Oper Sub"),$B46="HOME 80",NOT($N46="Common Space"))),$E46,"")</f>
        <v/>
      </c>
      <c r="CU46" s="357" t="str">
        <f>IF(OR(AND($C46="Efficiency",$K46="PHA Oper Sub",$B46=20,NOT($N46="Common Space")),AND($C46="Efficiency",$K46="PHA Oper Sub",$B46="HOME 20",NOT($N46="Common Space"))),$E46,"")</f>
        <v/>
      </c>
      <c r="CV46" s="357" t="str">
        <f>IF(OR(AND($C46=1,$K46="PHA Oper Sub",$B46=20,NOT($N46="Common Space")),AND($C46=1,$K46="PHA Oper Sub",$B46="HOME 20",NOT($N46="Common Space"))),$E46,"")</f>
        <v/>
      </c>
      <c r="CW46" s="357" t="str">
        <f>IF(OR(AND($C46=2,$K46="PHA Oper Sub",$B46=20,NOT($N46="Common Space")),AND($C46=2,$K46="PHA Oper Sub",$B46="HOME 20",NOT($N46="Common Space"))),$E46,"")</f>
        <v/>
      </c>
      <c r="CX46" s="357" t="str">
        <f>IF(OR(AND($C46=3,$K46="PHA Oper Sub",$B46=20,NOT($N46="Common Space")),AND($C46=3,$K46="PHA Oper Sub",$B46="HOME 20",NOT($N46="Common Space"))),$E46,"")</f>
        <v/>
      </c>
      <c r="CY46" s="357" t="str">
        <f>IF(OR(AND($C46=4,$K46="PHA Oper Sub",$B46=20,NOT($N46="Common Space")),AND($C46=4,$K46="PHA Oper Sub",$B46="HOME 20",NOT($N46="Common Space"))),$E46,"")</f>
        <v/>
      </c>
      <c r="CZ46" s="357" t="str">
        <f>IF(OR(AND($C46="Efficiency",$K46="PHA Oper Sub",$B46=30,NOT($N46="Common Space")),AND($C46="Efficiency",$K46="PHA Oper Sub",$B46="HOME 30",NOT($N46="Common Space"))),$E46,"")</f>
        <v/>
      </c>
      <c r="DA46" s="357" t="str">
        <f>IF(OR(AND($C46=1,$K46="PHA Oper Sub",$B46=30,NOT($N46="Common Space")),AND($C46=1,$K46="PHA Oper Sub",$B46="HOME 30",NOT($N46="Common Space"))),$E46,"")</f>
        <v/>
      </c>
      <c r="DB46" s="357" t="str">
        <f>IF(OR(AND($C46=2,$K46="PHA Oper Sub",$B46=30,NOT($N46="Common Space")),AND($C46=2,$K46="PHA Oper Sub",$B46="HOME 30",NOT($N46="Common Space"))),$E46,"")</f>
        <v/>
      </c>
      <c r="DC46" s="357" t="str">
        <f>IF(OR(AND($C46=3,$K46="PHA Oper Sub",$B46=30,NOT($N46="Common Space")),AND($C46=3,$K46="PHA Oper Sub",$B46="HOME 30",NOT($N46="Common Space"))),$E46,"")</f>
        <v/>
      </c>
      <c r="DD46" s="357" t="str">
        <f>IF(OR(AND($C46=4,$K46="PHA Oper Sub",$B46=30,NOT($N46="Common Space")),AND($C46=4,$K46="PHA Oper Sub",$B46="HOME 30",NOT($N46="Common Space"))),$E46,"")</f>
        <v/>
      </c>
      <c r="DE46" s="357" t="str">
        <f>IF(OR(AND($C46="Efficiency",$K46="PHA Oper Sub",$B46=40,NOT($N46="Common Space")),AND($C46="Efficiency",$K46="PHA Oper Sub",$B46="HOME 40",NOT($N46="Common Space"))),$E46,"")</f>
        <v/>
      </c>
      <c r="DF46" s="357" t="str">
        <f>IF(OR(AND($C46=1,$K46="PHA Oper Sub",$B46=40,NOT($N46="Common Space")),AND($C46=1,$K46="PHA Oper Sub",$B46="HOME 40",NOT($N46="Common Space"))),$E46,"")</f>
        <v/>
      </c>
      <c r="DG46" s="357" t="str">
        <f>IF(OR(AND($C46=2,$K46="PHA Oper Sub",$B46=40,NOT($N46="Common Space")),AND($C46=2,$K46="PHA Oper Sub",$B46="HOME 40",NOT($N46="Common Space"))),$E46,"")</f>
        <v/>
      </c>
      <c r="DH46" s="357" t="str">
        <f>IF(OR(AND($C46=3,$K46="PHA Oper Sub",$B46=40,NOT($N46="Common Space")),AND($C46=3,$K46="PHA Oper Sub",$B46="HOME 40",NOT($N46="Common Space"))),$E46,"")</f>
        <v/>
      </c>
      <c r="DI46" s="357" t="str">
        <f>IF(OR(AND($C46=4,$K46="PHA Oper Sub",$B46=40,NOT($N46="Common Space")),AND($C46=4,$K46="PHA Oper Sub",$B46="HOME 40",NOT($N46="Common Space"))),$E46,"")</f>
        <v/>
      </c>
      <c r="DJ46" s="357" t="str">
        <f>IF(OR(AND($C46="Efficiency",$K46="PHA Oper Sub",$B46=50,NOT($N46="Common Space")),AND($C46="Efficiency",$K46="PHA Oper Sub",$B46="HOME 50",NOT($N46="Common Space"))),$E46,"")</f>
        <v/>
      </c>
      <c r="DK46" s="357" t="str">
        <f>IF(OR(AND($C46=1,$K46="PHA Oper Sub",$B46=50,NOT($N46="Common Space")),AND($C46=1,$K46="PHA Oper Sub",$B46="HOME 50",NOT($N46="Common Space"))),$E46,"")</f>
        <v/>
      </c>
      <c r="DL46" s="357" t="str">
        <f>IF(OR(AND($C46=2,$K46="PHA Oper Sub",$B46=50,NOT($N46="Common Space")),AND($C46=2,$K46="PHA Oper Sub",$B46="HOME 50",NOT($N46="Common Space"))),$E46,"")</f>
        <v/>
      </c>
      <c r="DM46" s="357" t="str">
        <f>IF(OR(AND($C46=3,$K46="PHA Oper Sub",$B46=50,NOT($N46="Common Space")),AND($C46=3,$K46="PHA Oper Sub",$B46="HOME 50",NOT($N46="Common Space"))),$E46,"")</f>
        <v/>
      </c>
      <c r="DN46" s="357" t="str">
        <f>IF(OR(AND($C46=4,$K46="PHA Oper Sub",$B46=50,NOT($N46="Common Space")),AND($C46=4,$K46="PHA Oper Sub",$B46="HOME 50",NOT($N46="Common Space"))),$E46,"")</f>
        <v/>
      </c>
      <c r="DO46" s="357" t="str">
        <f>IF(OR(AND($C46="Efficiency",$K46="PHA Oper Sub",$B46=60,NOT($N46="Common Space")),AND($C46="Efficiency",$K46="PHA Oper Sub",$B46="HOME 60",NOT($N46="Common Space"))),$E46,"")</f>
        <v/>
      </c>
      <c r="DP46" s="357" t="str">
        <f>IF(OR(AND($C46=1,$K46="PHA Oper Sub",$B46=60,NOT($N46="Common Space")),AND($C46=1,$K46="PHA Oper Sub",$B46="HOME 60",NOT($N46="Common Space"))),$E46,"")</f>
        <v/>
      </c>
      <c r="DQ46" s="357" t="str">
        <f>IF(OR(AND($C46=2,$K46="PHA Oper Sub",$B46=60,NOT($N46="Common Space")),AND($C46=2,$K46="PHA Oper Sub",$B46="HOME 60",NOT($N46="Common Space"))),$E46,"")</f>
        <v/>
      </c>
      <c r="DR46" s="357" t="str">
        <f>IF(OR(AND($C46=3,$K46="PHA Oper Sub",$B46=60,NOT($N46="Common Space")),AND($C46=3,$K46="PHA Oper Sub",$B46="HOME 60",NOT($N46="Common Space"))),$E46,"")</f>
        <v/>
      </c>
      <c r="DS46" s="357" t="str">
        <f>IF(OR(AND($C46=4,$K46="PHA Oper Sub",$B46=60,NOT($N46="Common Space")),AND($C46=4,$K46="PHA Oper Sub",$B46="HOME 60",NOT($N46="Common Space"))),$E46,"")</f>
        <v/>
      </c>
      <c r="DT46" s="357" t="str">
        <f>IF(OR(AND($C46="Efficiency",$K46="PHA Oper Sub",$B46=70,NOT($N46="Common Space")),AND($C46="Efficiency",$K46="PHA Oper Sub",$B46="HOME 70",NOT($N46="Common Space"))),$E46,"")</f>
        <v/>
      </c>
      <c r="DU46" s="357" t="str">
        <f>IF(OR(AND($C46=1,$K46="PHA Oper Sub",$B46=70,NOT($N46="Common Space")),AND($C46=1,$K46="PHA Oper Sub",$B46="HOME 70",NOT($N46="Common Space"))),$E46,"")</f>
        <v/>
      </c>
      <c r="DV46" s="357" t="str">
        <f>IF(OR(AND($C46=2,$K46="PHA Oper Sub",$B46=70,NOT($N46="Common Space")),AND($C46=2,$K46="PHA Oper Sub",$B46="HOME 70",NOT($N46="Common Space"))),$E46,"")</f>
        <v/>
      </c>
      <c r="DW46" s="357" t="str">
        <f>IF(OR(AND($C46=3,$K46="PHA Oper Sub",$B46=70,NOT($N46="Common Space")),AND($C46=3,$K46="PHA Oper Sub",$B46="HOME 70",NOT($N46="Common Space"))),$E46,"")</f>
        <v/>
      </c>
      <c r="DX46" s="357" t="str">
        <f>IF(OR(AND($C46=4,$K46="PHA Oper Sub",$B46=70,NOT($N46="Common Space")),AND($C46=4,$K46="PHA Oper Sub",$B46="HOME 70",NOT($N46="Common Space"))),$E46,"")</f>
        <v/>
      </c>
      <c r="DY46" s="357" t="str">
        <f>IF(OR(AND($C46="Efficiency",$K46="PHA Oper Sub",$B46=80,NOT($N46="Common Space")),AND($C46="Efficiency",$K46="PHA Oper Sub",$B46="HOME 80",NOT($N46="Common Space"))),$E46,"")</f>
        <v/>
      </c>
      <c r="DZ46" s="357" t="str">
        <f>IF(OR(AND($C46=1,$K46="PHA Oper Sub",$B46=80,NOT($N46="Common Space")),AND($C46=1,$K46="PHA Oper Sub",$B46="HOME 80",NOT($N46="Common Space"))),$E46,"")</f>
        <v/>
      </c>
      <c r="EA46" s="357" t="str">
        <f>IF(OR(AND($C46=2,$K46="PHA Oper Sub",$B46=80,NOT($N46="Common Space")),AND($C46=2,$K46="PHA Oper Sub",$B46="HOME 80",NOT($N46="Common Space"))),$E46,"")</f>
        <v/>
      </c>
      <c r="EB46" s="357" t="str">
        <f>IF(OR(AND($C46=3,$K46="PHA Oper Sub",$B46=80,NOT($N46="Common Space")),AND($C46=3,$K46="PHA Oper Sub",$B46="HOME 80",NOT($N46="Common Space"))),$E46,"")</f>
        <v/>
      </c>
      <c r="EC46" s="357" t="str">
        <f>IF(OR(AND($C46=4,$K46="PHA Oper Sub",$B46=80,NOT($N46="Common Space")),AND($C46=4,$K46="PHA Oper Sub",$B46="HOME 80",NOT($N46="Common Space"))),$E46,"")</f>
        <v/>
      </c>
      <c r="ED46" s="357" t="str">
        <f>IF(AND(C46="Efficiency",N46="Common Space"),E46,"")</f>
        <v/>
      </c>
      <c r="EE46" s="357" t="str">
        <f>IF(AND(C46=1,N46="Common Space"),E46,"")</f>
        <v/>
      </c>
      <c r="EF46" s="357" t="str">
        <f>IF(AND(C46=2,N46="Common Space"),E46,"")</f>
        <v/>
      </c>
      <c r="EG46" s="357" t="str">
        <f>IF(AND(C46=3,N46="Common Space"),E46,"")</f>
        <v/>
      </c>
      <c r="EH46" s="357" t="str">
        <f>IF(AND(C46=4,N46="Common Space"),E46,"")</f>
        <v/>
      </c>
      <c r="EI46" s="357" t="str">
        <f>IF(OR(AND($C46="Efficiency",$B46=80,NOT($N46="Common Space")),AND($C46="Efficiency",$B46="HOME 80",NOT($N46="Common Space"))),$E46*$F46,"")</f>
        <v/>
      </c>
      <c r="EJ46" s="357" t="str">
        <f>IF(OR(AND($C46=1,$B46=80,NOT($N46="Common Space")),AND($C46=1,$B46="HOME 80",NOT($N46="Common Space"))),$E46*$F46,"")</f>
        <v/>
      </c>
      <c r="EK46" s="357" t="str">
        <f>IF(OR(AND($C46=2,$B46=80,NOT($N46="Common Space")),AND($C46=2,$B46="HOME 80",NOT($N46="Common Space"))),$E46*$F46,"")</f>
        <v/>
      </c>
      <c r="EL46" s="357" t="str">
        <f>IF(OR(AND($C46=3,$B46=80,NOT($N46="Common Space")),AND($C46=3,$B46="HOME 80",NOT($N46="Common Space"))),$E46*$F46,"")</f>
        <v/>
      </c>
      <c r="EM46" s="357" t="str">
        <f>IF(OR(AND($C46=4,$B46=80,NOT($N46="Common Space")),AND($C46=4,$B46="HOME 80",NOT($N46="Common Space"))),$E46*$F46,"")</f>
        <v/>
      </c>
      <c r="EN46" s="357" t="str">
        <f>IF(OR(AND($C46="Efficiency",$B46=70,NOT($N46="Common Space")),AND($C46="Efficiency",$B46="HOME 70",NOT($N46="Common Space"))),$E46*$F46,"")</f>
        <v/>
      </c>
      <c r="EO46" s="357" t="str">
        <f>IF(OR(AND($C46=1,$B46=70,NOT($N46="Common Space")),AND($C46=1,$B46="HOME 70",NOT($N46="Common Space"))),$E46*$F46,"")</f>
        <v/>
      </c>
      <c r="EP46" s="357" t="str">
        <f>IF(OR(AND($C46=2,$B46=70,NOT($N46="Common Space")),AND($C46=2,$B46="HOME 70",NOT($N46="Common Space"))),$E46*$F46,"")</f>
        <v/>
      </c>
      <c r="EQ46" s="357" t="str">
        <f>IF(OR(AND($C46=3,$B46=70,NOT($N46="Common Space")),AND($C46=3,$B46="HOME 70",NOT($N46="Common Space"))),$E46*$F46,"")</f>
        <v/>
      </c>
      <c r="ER46" s="357" t="str">
        <f>IF(OR(AND($C46=4,$B46=70,NOT($N46="Common Space")),AND($C46=4,$B46="HOME 70",NOT($N46="Common Space"))),$E46*$F46,"")</f>
        <v/>
      </c>
      <c r="ES46" s="357" t="str">
        <f>IF(OR(AND($C46="Efficiency",$B46=60,NOT($N46="Common Space")),AND($C46="Efficiency",$B46="HOME 60",NOT($N46="Common Space"))),$E46*$F46,"")</f>
        <v/>
      </c>
      <c r="ET46" s="357" t="str">
        <f>IF(OR(AND($C46=1,$B46=60,NOT($N46="Common Space")),AND($C46=1,$B46="HOME 60",NOT($N46="Common Space"))),$E46*$F46,"")</f>
        <v/>
      </c>
      <c r="EU46" s="357" t="str">
        <f>IF(OR(AND($C46=2,$B46=60,NOT($N46="Common Space")),AND($C46=2,$B46="HOME 60",NOT($N46="Common Space"))),$E46*$F46,"")</f>
        <v/>
      </c>
      <c r="EV46" s="357" t="str">
        <f>IF(OR(AND($C46=3,$B46=60,NOT($N46="Common Space")),AND($C46=3,$B46="HOME 60",NOT($N46="Common Space"))),$E46*$F46,"")</f>
        <v/>
      </c>
      <c r="EW46" s="357" t="str">
        <f>IF(OR(AND($C46=4,$B46=60,NOT($N46="Common Space")),AND($C46=4,$B46="HOME 60",NOT($N46="Common Space"))),$E46*$F46,"")</f>
        <v/>
      </c>
      <c r="EX46" s="357" t="str">
        <f>IF(OR(AND($C46="Efficiency",$B46=50,NOT($N46="Common Space")),AND($C46="Efficiency",$B46="HOME 50",NOT($N46="Common Space"))),$E46*$F46,"")</f>
        <v/>
      </c>
      <c r="EY46" s="357" t="str">
        <f>IF(OR(AND($C46=1,$B46=50,NOT($N46="Common Space")),AND($C46=1,$B46="HOME 50",NOT($N46="Common Space"))),$E46*$F46,"")</f>
        <v/>
      </c>
      <c r="EZ46" s="357" t="str">
        <f>IF(OR(AND($C46=2,$B46=50,NOT($N46="Common Space")),AND($C46=2,$B46="HOME 50",NOT($N46="Common Space"))),$E46*$F46,"")</f>
        <v/>
      </c>
      <c r="FA46" s="357" t="str">
        <f>IF(OR(AND($C46=3,$B46=50,NOT($N46="Common Space")),AND($C46=3,$B46="HOME 50",NOT($N46="Common Space"))),$E46*$F46,"")</f>
        <v/>
      </c>
      <c r="FB46" s="357" t="str">
        <f>IF(OR(AND($C46=4,$B46=50,NOT($N46="Common Space")),AND($C46=4,$B46="HOME 50",NOT($N46="Common Space"))),$E46*$F46,"")</f>
        <v/>
      </c>
      <c r="FC46" s="357" t="str">
        <f>IF(OR(AND($C46="Efficiency",$B46=40,NOT($N46="Common Space")),AND($C46="Efficiency",$B46="HOME 40",NOT($N46="Common Space"))),$E46*$F46,"")</f>
        <v/>
      </c>
      <c r="FD46" s="357" t="str">
        <f>IF(OR(AND($C46=1,$B46=40,NOT($N46="Common Space")),AND($C46=1,$B46="HOME 40",NOT($N46="Common Space"))),$E46*$F46,"")</f>
        <v/>
      </c>
      <c r="FE46" s="357" t="str">
        <f>IF(OR(AND($C46=2,$B46=40,NOT($N46="Common Space")),AND($C46=2,$B46="HOME 40",NOT($N46="Common Space"))),$E46*$F46,"")</f>
        <v/>
      </c>
      <c r="FF46" s="357" t="str">
        <f>IF(OR(AND($C46=3,$B46=40,NOT($N46="Common Space")),AND($C46=3,$B46="HOME 40",NOT($N46="Common Space"))),$E46*$F46,"")</f>
        <v/>
      </c>
      <c r="FG46" s="357" t="str">
        <f>IF(OR(AND($C46=4,$B46=40,NOT($N46="Common Space")),AND($C46=4,$B46="HOME 40",NOT($N46="Common Space"))),$E46*$F46,"")</f>
        <v/>
      </c>
      <c r="FH46" s="357" t="str">
        <f>IF(OR(AND($C46="Efficiency",$B46=30,NOT($N46="Common Space")),AND($C46="Efficiency",$B46="HOME 30",NOT($N46="Common Space"))),$E46*$F46,"")</f>
        <v/>
      </c>
      <c r="FI46" s="357" t="str">
        <f>IF(OR(AND($C46=1,$B46=30,NOT($N46="Common Space")),AND($C46=1,$B46="HOME 30",NOT($N46="Common Space"))),$E46*$F46,"")</f>
        <v/>
      </c>
      <c r="FJ46" s="357" t="str">
        <f>IF(OR(AND($C46=2,$B46=30,NOT($N46="Common Space")),AND($C46=2,$B46="HOME 30",NOT($N46="Common Space"))),$E46*$F46,"")</f>
        <v/>
      </c>
      <c r="FK46" s="357" t="str">
        <f>IF(OR(AND($C46=3,$B46=30,NOT($N46="Common Space")),AND($C46=3,$B46="HOME 30",NOT($N46="Common Space"))),$E46*$F46,"")</f>
        <v/>
      </c>
      <c r="FL46" s="357" t="str">
        <f>IF(OR(AND($C46=4,$B46=30,NOT($N46="Common Space")),AND($C46=4,$B46="HOME 30",NOT($N46="Common Space"))),$E46*$F46,"")</f>
        <v/>
      </c>
      <c r="FM46" s="357" t="str">
        <f>IF(OR(AND($C46="Efficiency",$B46=20,NOT($N46="Common Space")),AND($C46="Efficiency",$B46="HOME 20",NOT($N46="Common Space"))),$E46*$F46,"")</f>
        <v/>
      </c>
      <c r="FN46" s="357" t="str">
        <f>IF(OR(AND($C46=1,$B46=20,NOT($N46="Common Space")),AND($C46=1,$B46="HOME 20",NOT($N46="Common Space"))),$E46*$F46,"")</f>
        <v/>
      </c>
      <c r="FO46" s="357" t="str">
        <f>IF(OR(AND($C46=2,$B46=20,NOT($N46="Common Space")),AND($C46=2,$B46="HOME 20",NOT($N46="Common Space"))),$E46*$F46,"")</f>
        <v/>
      </c>
      <c r="FP46" s="357" t="str">
        <f>IF(OR(AND($C46=3,$B46=20,NOT($N46="Common Space")),AND($C46=3,$B46="HOME 20",NOT($N46="Common Space"))),$E46*$F46,"")</f>
        <v/>
      </c>
      <c r="FQ46" s="357" t="str">
        <f>IF(OR(AND($C46=4,$B46=20,NOT($N46="Common Space")),AND($C46=4,$B46="HOME 20",NOT($N46="Common Space"))),$E46*$F46,"")</f>
        <v/>
      </c>
      <c r="FR46" s="357" t="str">
        <f>IF(AND(C46="Efficiency",B46="Unrestricted",NOT(N46="Common Space")),E46*F46,"")</f>
        <v/>
      </c>
      <c r="FS46" s="357" t="str">
        <f>IF(AND(C46=1,B46="Unrestricted",NOT(N46="Common Space")),E46*F46,"")</f>
        <v/>
      </c>
      <c r="FT46" s="357" t="str">
        <f>IF(AND(C46=2,B46="Unrestricted",NOT(N46="Common Space")),E46*F46,"")</f>
        <v/>
      </c>
      <c r="FU46" s="357" t="str">
        <f>IF(AND(C46=3,B46="Unrestricted",NOT(N46="Common Space")),E46*F46,"")</f>
        <v/>
      </c>
      <c r="FV46" s="357" t="str">
        <f>IF(AND(C46=4,B46="Unrestricted",NOT(N46="Common Space")),E46*F46,"")</f>
        <v/>
      </c>
      <c r="FW46" s="357" t="str">
        <f>IF(AND(C46="Efficiency",NOT(K46=""),NOT($K46=0),NOT(N46="Common Space")),E46*F46,"")</f>
        <v/>
      </c>
      <c r="FX46" s="357" t="str">
        <f>IF(AND(C46=1,NOT(K46=""),NOT($K46=0),NOT(N46="Common Space")),E46*F46,"")</f>
        <v/>
      </c>
      <c r="FY46" s="357" t="str">
        <f>IF(AND(C46=2,NOT(K46=""),NOT($K46=0),NOT(N46="Common Space")),E46*F46,"")</f>
        <v/>
      </c>
      <c r="FZ46" s="357" t="str">
        <f>IF(AND(C46=3,NOT(K46=""),NOT($K46=0),NOT(N46="Common Space")),E46*F46,"")</f>
        <v/>
      </c>
      <c r="GA46" s="357" t="str">
        <f>IF(AND(C46=4,NOT(K46=""),NOT($K46=0),NOT(N46="Common Space")),E46*F46,"")</f>
        <v/>
      </c>
      <c r="GB46" s="357" t="str">
        <f>IF(AND(C46="Efficiency",N46="Common Space"),E46*F46,"")</f>
        <v/>
      </c>
      <c r="GC46" s="357" t="str">
        <f>IF(AND(C46=1,N46="Common Space"),E46*F46,"")</f>
        <v/>
      </c>
      <c r="GD46" s="357" t="str">
        <f>IF(AND(C46=2,N46="Common Space"),E46*F46,"")</f>
        <v/>
      </c>
      <c r="GE46" s="357" t="str">
        <f>IF(AND(C46=3,N46="Common Space"),E46*F46,"")</f>
        <v/>
      </c>
      <c r="GF46" s="357" t="str">
        <f>IF(AND(C46=4,N46="Common Space"),E46*F46,"")</f>
        <v/>
      </c>
      <c r="GG46" s="357" t="str">
        <f>IF(AND($C46="Efficiency", $P46="New Construction",NOT($B46="Unrestricted"),NOT($B46="NSP 120"),NOT($B46="N/A-CS"),NOT($N46="Common Space")),$E46,"")</f>
        <v/>
      </c>
      <c r="GH46" s="357" t="str">
        <f>IF(AND($C46=1, $P46="New Construction",NOT($B46="Unrestricted"),NOT($B46="NSP 120"),NOT($B46="N/A-CS"),NOT($N46="Common Space")),$E46,"")</f>
        <v/>
      </c>
      <c r="GI46" s="357" t="str">
        <f>IF(AND($C46=2, $P46="New Construction",NOT($B46="Unrestricted"),NOT($B46="NSP 120"),NOT($B46="N/A-CS"),NOT($N46="Common Space")),$E46,"")</f>
        <v/>
      </c>
      <c r="GJ46" s="357" t="str">
        <f>IF(AND($C46=3, $P46="New Construction",NOT($B46="Unrestricted"),NOT($B46="NSP 120"),NOT($B46="N/A-CS"),NOT($N46="Common Space")),$E46,"")</f>
        <v/>
      </c>
      <c r="GK46" s="357" t="str">
        <f>IF(AND($C46=4, $P46="New Construction",NOT($B46="Unrestricted"),NOT($B46="NSP 120"),NOT($B46="N/A-CS"),NOT($N46="Common Space")),$E46,"")</f>
        <v/>
      </c>
      <c r="GL46" s="357" t="str">
        <f>IF(AND($C46="Efficiency", $P46="New Construction",$B46="Unrestricted",NOT($B46="N/A-CS"),NOT($N46="Common Space")),$E46,"")</f>
        <v/>
      </c>
      <c r="GM46" s="357" t="str">
        <f>IF(AND($C46=1, $P46="New Construction",$B46="Unrestricted",NOT($B46="N/A-CS"),NOT($N46="Common Space")),$E46,"")</f>
        <v/>
      </c>
      <c r="GN46" s="357" t="str">
        <f>IF(AND($C46=2, $P46="New Construction",$B46="Unrestricted",NOT($B46="N/A-CS"),NOT($N46="Common Space")),$E46,"")</f>
        <v/>
      </c>
      <c r="GO46" s="357" t="str">
        <f>IF(AND($C46=3, $P46="New Construction",$B46="Unrestricted",NOT($B46="N/A-CS"),NOT($N46="Common Space")),$E46,"")</f>
        <v/>
      </c>
      <c r="GP46" s="357" t="str">
        <f>IF(AND($C46=4, $P46="New Construction",$B46="Unrestricted",NOT($B46="N/A-CS"),NOT($N46="Common Space")),$E46,"")</f>
        <v/>
      </c>
      <c r="GQ46" s="357" t="str">
        <f>IF(AND($C46="Efficiency", $P46="New Construction",$B46="N/A-CS",$N46="Common Space"),$E46,"")</f>
        <v/>
      </c>
      <c r="GR46" s="357" t="str">
        <f>IF(AND($C46=1, $P46="New Construction",$B46="N/A-CS",$N46="Common Space"),$E46,"")</f>
        <v/>
      </c>
      <c r="GS46" s="357" t="str">
        <f>IF(AND($C46=2, $P46="New Construction",$B46="N/A-CS",$N46="Common Space"),$E46,"")</f>
        <v/>
      </c>
      <c r="GT46" s="357" t="str">
        <f>IF(AND($C46=3, $P46="New Construction",$B46="N/A-CS",$N46="Common Space"),$E46,"")</f>
        <v/>
      </c>
      <c r="GU46" s="357" t="str">
        <f>IF(AND($C46=4, $P46="New Construction",$B46="N/A-CS",$N46="Common Space"),$E46,"")</f>
        <v/>
      </c>
      <c r="GV46" s="357" t="str">
        <f>IF(AND($C46="Efficiency", $P46="Acquisition/Rehab",NOT($B46="Unrestricted"),NOT($B46="NSP 120"),NOT($B46="N/A-CS"),NOT($N46="Common Space")),$E46,"")</f>
        <v/>
      </c>
      <c r="GW46" s="357" t="str">
        <f>IF(AND($C46=1, $P46="Acquisition/Rehab",NOT($B46="Unrestricted"),NOT($B46="NSP 120"),NOT($B46="N/A-CS"),NOT($N46="Common Space")),$E46,"")</f>
        <v/>
      </c>
      <c r="GX46" s="357" t="str">
        <f>IF(AND($C46=2, $P46="Acquisition/Rehab",NOT($B46="Unrestricted"),NOT($B46="NSP 120"),NOT($B46="N/A-CS"),NOT($N46="Common Space")),$E46,"")</f>
        <v/>
      </c>
      <c r="GY46" s="357" t="str">
        <f>IF(AND($C46=3, $P46="Acquisition/Rehab",NOT($B46="Unrestricted"),NOT($B46="NSP 120"),NOT($B46="N/A-CS"),NOT($N46="Common Space")),$E46,"")</f>
        <v/>
      </c>
      <c r="GZ46" s="357" t="str">
        <f>IF(AND($C46=4, $P46="Acquisition/Rehab",NOT($B46="Unrestricted"),NOT($B46="NSP 120"),NOT($B46="N/A-CS"),NOT($N46="Common Space")),$E46,"")</f>
        <v/>
      </c>
      <c r="HA46" s="357" t="str">
        <f>IF(AND($C46="Efficiency", $P46="Acquisition/Rehab",$B46="Unrestricted",NOT($B46="N/A-CS"),NOT($N46="Common Space")),$E46,"")</f>
        <v/>
      </c>
      <c r="HB46" s="357" t="str">
        <f>IF(AND($C46=1, $P46="Acquisition/Rehab",$B46="Unrestricted",NOT($B46="N/A-CS"),NOT($N46="Common Space")),$E46,"")</f>
        <v/>
      </c>
      <c r="HC46" s="357" t="str">
        <f>IF(AND($C46=2, $P46="Acquisition/Rehab",$B46="Unrestricted",NOT($B46="N/A-CS"),NOT($N46="Common Space")),$E46,"")</f>
        <v/>
      </c>
      <c r="HD46" s="357" t="str">
        <f>IF(AND($C46=3, $P46="Acquisition/Rehab",$B46="Unrestricted",NOT($B46="N/A-CS"),NOT($N46="Common Space")),$E46,"")</f>
        <v/>
      </c>
      <c r="HE46" s="357" t="str">
        <f>IF(AND($C46=4, $P46="Acquisition/Rehab",$B46="Unrestricted",NOT($B46="N/A-CS"),NOT($N46="Common Space")),$E46,"")</f>
        <v/>
      </c>
      <c r="HF46" s="357" t="str">
        <f>IF(AND($C46="Efficiency", $P46="Acquisition/Rehab",$B46="N/A-CS",$N46="Common Space"),$E46,"")</f>
        <v/>
      </c>
      <c r="HG46" s="357" t="str">
        <f>IF(AND($C46=1, $P46="Acquisition/Rehab",$B46="N/A-CS",$N46="Common Space"),$E46,"")</f>
        <v/>
      </c>
      <c r="HH46" s="357" t="str">
        <f>IF(AND($C46=2, $P46="Acquisition/Rehab",$B46="N/A-CS",$N46="Common Space"),$E46,"")</f>
        <v/>
      </c>
      <c r="HI46" s="357" t="str">
        <f>IF(AND($C46=3, $P46="Acquisition/Rehab",$B46="N/A-CS",$N46="Common Space"),$E46,"")</f>
        <v/>
      </c>
      <c r="HJ46" s="357" t="str">
        <f>IF(AND($C46=4, $P46="Acquisition/Rehab",$B46="N/A-CS",$N46="Common Space"),$E46,"")</f>
        <v/>
      </c>
      <c r="HK46" s="357" t="str">
        <f>IF(AND($C46="Efficiency", $P46="Rehabilitation",NOT($B46="Unrestricted"),NOT($B46="NSP 120"),NOT($B46="N/A-CS"),NOT($N46="Common Space")),$E46,"")</f>
        <v/>
      </c>
      <c r="HL46" s="357" t="str">
        <f>IF(AND($C46=1, $P46="Rehabilitation",NOT($B46="Unrestricted"),NOT($B46="NSP 120"),NOT($B46="N/A-CS"),NOT($N46="Common Space")),$E46,"")</f>
        <v/>
      </c>
      <c r="HM46" s="357" t="str">
        <f>IF(AND($C46=2, $P46="Rehabilitation",NOT($B46="Unrestricted"),NOT($B46="NSP 120"),NOT($B46="N/A-CS"),NOT($N46="Common Space")),$E46,"")</f>
        <v/>
      </c>
      <c r="HN46" s="357" t="str">
        <f>IF(AND($C46=3, $P46="Rehabilitation",NOT($B46="Unrestricted"),NOT($B46="NSP 120"),NOT($B46="N/A-CS"),NOT($N46="Common Space")),$E46,"")</f>
        <v/>
      </c>
      <c r="HO46" s="357" t="str">
        <f>IF(AND($C46=4, $P46="Rehabilitation",NOT($B46="Unrestricted"),NOT($B46="NSP 120"),NOT($B46="N/A-CS"),NOT($N46="Common Space")),$E46,"")</f>
        <v/>
      </c>
      <c r="HP46" s="357" t="str">
        <f>IF(AND($C46="Efficiency", $P46="Rehabilitation",$B46="Unrestricted",NOT($B46="N/A-CS"),NOT($N46="Common Space")),$E46,"")</f>
        <v/>
      </c>
      <c r="HQ46" s="357" t="str">
        <f>IF(AND($C46=1, $P46="Rehabilitation",$B46="Unrestricted",NOT($B46="N/A-CS"),NOT($N46="Common Space")),$E46,"")</f>
        <v/>
      </c>
      <c r="HR46" s="357" t="str">
        <f>IF(AND($C46=2, $P46="Rehabilitation",$B46="Unrestricted",NOT($B46="N/A-CS"),NOT($N46="Common Space")),$E46,"")</f>
        <v/>
      </c>
      <c r="HS46" s="357" t="str">
        <f>IF(AND($C46=3, $P46="Rehabilitation",$B46="Unrestricted",NOT($B46="N/A-CS"),NOT($N46="Common Space")),$E46,"")</f>
        <v/>
      </c>
      <c r="HT46" s="357" t="str">
        <f>IF(AND($C46=4, $P46="Rehabilitation",$B46="Unrestricted",NOT($B46="N/A-CS"),NOT($N46="Common Space")),$E46,"")</f>
        <v/>
      </c>
      <c r="HU46" s="357" t="str">
        <f>IF(AND($C46="Efficiency", $P46="Rehabilitation",$B46="N/A-CS",$N46="Common Space"),$E46,"")</f>
        <v/>
      </c>
      <c r="HV46" s="357" t="str">
        <f>IF(AND($C46=1, $P46="Rehabilitation",$B46="N/A-CS",$N46="Common Space"),$E46,"")</f>
        <v/>
      </c>
      <c r="HW46" s="357" t="str">
        <f>IF(AND($C46=2, $P46="Rehabilitation",$B46="N/A-CS",$N46="Common Space"),$E46,"")</f>
        <v/>
      </c>
      <c r="HX46" s="357" t="str">
        <f>IF(AND($C46=3, $P46="Rehabilitation",$B46="N/A-CS",$N46="Common Space"),$E46,"")</f>
        <v/>
      </c>
      <c r="HY46" s="357" t="str">
        <f>IF(AND($C46=4, $P46="Rehabilitation",$B46="N/A-CS",$N46="Common Space"),$E46,"")</f>
        <v/>
      </c>
      <c r="HZ46" s="1896" t="str">
        <f>IF(AND($C46="Efficiency", NOT(OR($O46="SF Detached",$O46="Mfd Home",$O46="Semi-Detached",$O46="Row House/TH"))),$E46,"")</f>
        <v/>
      </c>
      <c r="IA46" s="1896" t="str">
        <f>IF(AND($C46=1, NOT(OR($O46="SF Detached",$O46="Mfd Home",$O46="Semi-Detached",$O46="Row House/TH"))),$E46,"")</f>
        <v/>
      </c>
      <c r="IB46" s="1896" t="str">
        <f>IF(AND($C46=2, NOT(OR($O46="SF Detached",$O46="Mfd Home",$O46="Semi-Detached",$O46="Row House/TH"))),$E46,"")</f>
        <v/>
      </c>
      <c r="IC46" s="1896" t="str">
        <f>IF(AND($C46=3, NOT(OR($O46="SF Detached",$O46="Mfd Home",$O46="Semi-Detached",$O46="Row House/TH"))),$E46,"")</f>
        <v/>
      </c>
      <c r="ID46" s="1896" t="str">
        <f>IF(AND($C46=4, NOT(OR($O46="SF Detached",$O46="Mfd Home",$O46="Semi-Detached",$O46="Row House/TH"))),$E46,"")</f>
        <v/>
      </c>
      <c r="IE46" s="1896" t="str">
        <f>IF(AND($C46="Efficiency", $O46="SF Detached",NOT($Q46="Yes")),$E46,"")</f>
        <v/>
      </c>
      <c r="IF46" s="1896" t="str">
        <f>IF(AND($C46=1, $O46="SF Detached",NOT($Q46="Yes")),$E46,"")</f>
        <v/>
      </c>
      <c r="IG46" s="1896" t="str">
        <f>IF(AND($C46=2, $O46="SF Detached",NOT($Q46="Yes")),$E46,"")</f>
        <v/>
      </c>
      <c r="IH46" s="1896" t="str">
        <f>IF(AND($C46=3, $O46="SF Detached",NOT($Q46="Yes")),$E46,"")</f>
        <v/>
      </c>
      <c r="II46" s="1896" t="str">
        <f>IF(AND($C46=4, $O46="SF Detached",NOT($Q46="Yes")),$E46,"")</f>
        <v/>
      </c>
      <c r="IJ46" s="1896" t="str">
        <f>IF(AND($C46="Efficiency", $O46="SF Detached",$Q46="Yes"),$E46,"")</f>
        <v/>
      </c>
      <c r="IK46" s="1896" t="str">
        <f>IF(AND($C46=1, $O46="SF Detached",$Q46="Yes"),$E46,"")</f>
        <v/>
      </c>
      <c r="IL46" s="1896" t="str">
        <f>IF(AND($C46=2, $O46="SF Detached",$Q46="Yes"),$E46,"")</f>
        <v/>
      </c>
      <c r="IM46" s="1896" t="str">
        <f>IF(AND($C46=3, $O46="SF Detached",$Q46="Yes"),$E46,"")</f>
        <v/>
      </c>
      <c r="IN46" s="1896" t="str">
        <f>IF(AND($C46=4, $O46="SF Detached",$Q46="Yes"),$E46,"")</f>
        <v/>
      </c>
      <c r="IO46" s="1896" t="str">
        <f>IF(AND($C46="Efficiency", $O46="Mfd Home",NOT($Q46="Yes")),$E46,"")</f>
        <v/>
      </c>
      <c r="IP46" s="1896" t="str">
        <f>IF(AND($C46=1, $O46="Mfd Home",NOT($Q46="Yes")),$E46,"")</f>
        <v/>
      </c>
      <c r="IQ46" s="1896" t="str">
        <f>IF(AND($C46=2, $O46="Mfd Home",NOT($Q46="Yes")),$E46,"")</f>
        <v/>
      </c>
      <c r="IR46" s="1896" t="str">
        <f>IF(AND($C46=3, $O46="Mfd Home",NOT($Q46="Yes")),$E46,"")</f>
        <v/>
      </c>
      <c r="IS46" s="1896" t="str">
        <f>IF(AND($C46=4, $O46="Mfd Home",NOT($Q46="Yes")),$E46,"")</f>
        <v/>
      </c>
      <c r="IT46" s="1896" t="str">
        <f>IF(AND($C46="Efficiency", $O46="Mfd Home",$Q46="Yes"),$E46,"")</f>
        <v/>
      </c>
      <c r="IU46" s="1896" t="str">
        <f>IF(AND($C46=1, $O46="Mfd Home",$Q46="Yes"),$E46,"")</f>
        <v/>
      </c>
      <c r="IV46" s="1896" t="str">
        <f>IF(AND($C46=2, $O46="Mfd Home",$Q46="Yes"),$E46,"")</f>
        <v/>
      </c>
      <c r="IW46" s="1896" t="str">
        <f>IF(AND($C46=3, $O46="Mfd Home",$Q46="Yes"),$E46,"")</f>
        <v/>
      </c>
      <c r="IX46" s="1896" t="str">
        <f>IF(AND($C46=4, $O46="Mfd Home",$Q46="Yes"),$E46,"")</f>
        <v/>
      </c>
      <c r="IY46" s="1896" t="str">
        <f>IF(AND($C46="Efficiency", $O46="Semi-Detached",NOT($Q46="Yes")),$E46,"")</f>
        <v/>
      </c>
      <c r="IZ46" s="1896" t="str">
        <f>IF(AND($C46=1, $O46="Semi-Detached",NOT($Q46="Yes")),$E46,"")</f>
        <v/>
      </c>
      <c r="JA46" s="1896" t="str">
        <f>IF(AND($C46=2, $O46="Semi-Detached",NOT($Q46="Yes")),$E46,"")</f>
        <v/>
      </c>
      <c r="JB46" s="1896" t="str">
        <f>IF(AND($C46=3, $O46="Semi-Detached",NOT($Q46="Yes")),$E46,"")</f>
        <v/>
      </c>
      <c r="JC46" s="1896" t="str">
        <f>IF(AND($C46=4, $O46="Semi-Detached",NOT($Q46="Yes")),$E46,"")</f>
        <v/>
      </c>
      <c r="JD46" s="1896" t="str">
        <f>IF(AND($C46="Efficiency", $O46="Semi-Detached",$Q46="Yes"),$E46,"")</f>
        <v/>
      </c>
      <c r="JE46" s="1896" t="str">
        <f>IF(AND($C46=1, $O46="Semi-Detached",$Q46="Yes"),$E46,"")</f>
        <v/>
      </c>
      <c r="JF46" s="1896" t="str">
        <f>IF(AND($C46=2, $O46="Semi-Detached",$Q46="Yes"),$E46,"")</f>
        <v/>
      </c>
      <c r="JG46" s="1896" t="str">
        <f>IF(AND($C46=3, $O46="Semi-Detached",$Q46="Yes"),$E46,"")</f>
        <v/>
      </c>
      <c r="JH46" s="1896" t="str">
        <f>IF(AND($C46=4, $O46="Semi-Detached",$Q46="Yes"),$E46,"")</f>
        <v/>
      </c>
      <c r="JI46" s="1896" t="str">
        <f>IF(AND($C46="Efficiency", $O46="Row House/TH",NOT($Q46="Yes")),$E46,"")</f>
        <v/>
      </c>
      <c r="JJ46" s="1896" t="str">
        <f>IF(AND($C46=1, $O46="Row House/TH",NOT($Q46="Yes")),$E46,"")</f>
        <v/>
      </c>
      <c r="JK46" s="1896" t="str">
        <f>IF(AND($C46=2, $O46="Row House/TH",NOT($Q46="Yes")),$E46,"")</f>
        <v/>
      </c>
      <c r="JL46" s="1896" t="str">
        <f>IF(AND($C46=3, $O46="Row House/TH",NOT($Q46="Yes")),$E46,"")</f>
        <v/>
      </c>
      <c r="JM46" s="1896" t="str">
        <f>IF(AND($C46=4, $O46="Row House/TH",NOT($Q46="Yes")),$E46,"")</f>
        <v/>
      </c>
      <c r="JN46" s="1896" t="str">
        <f>IF(AND($C46="Efficiency", $O46="Row House/TH",$Q46="Yes"),$E46,"")</f>
        <v/>
      </c>
      <c r="JO46" s="1896" t="str">
        <f>IF(AND($C46=1, $O46="Row House/TH",$Q46="Yes"),$E46,"")</f>
        <v/>
      </c>
      <c r="JP46" s="1896" t="str">
        <f>IF(AND($C46=2, $O46="Row House/TH",$Q46="Yes"),$E46,"")</f>
        <v/>
      </c>
      <c r="JQ46" s="1896" t="str">
        <f>IF(AND($C46=3, $O46="Row House/TH",$Q46="Yes"),$E46,"")</f>
        <v/>
      </c>
      <c r="JR46" s="1896" t="str">
        <f>IF(AND($C46=4, $O46="Row House/TH",$Q46="Yes"),$E46,"")</f>
        <v/>
      </c>
      <c r="JS46" s="1896" t="str">
        <f>IF(AND($C46="Efficiency", $O46="Low-Rise Apt",NOT($Q46="Yes")),$E46,"")</f>
        <v/>
      </c>
      <c r="JT46" s="1896" t="str">
        <f>IF(AND($C46=1, $O46="Low-Rise Apt",NOT($Q46="Yes")),$E46,"")</f>
        <v/>
      </c>
      <c r="JU46" s="1896" t="str">
        <f>IF(AND($C46=2, $O46="Low-Rise Apt",NOT($Q46="Yes")),$E46,"")</f>
        <v/>
      </c>
      <c r="JV46" s="1896" t="str">
        <f>IF(AND($C46=3, $O46="Low-Rise Apt",NOT($Q46="Yes")),$E46,"")</f>
        <v/>
      </c>
      <c r="JW46" s="1896" t="str">
        <f>IF(AND($C46=4, $O46="Low-Rise Apt",NOT($Q46="Yes")),$E46,"")</f>
        <v/>
      </c>
      <c r="JX46" s="1896" t="str">
        <f>IF(AND($C46="Efficiency", $O46="Low-Rise Elevator",NOT($Q46="Yes")),$E46,"")</f>
        <v/>
      </c>
      <c r="JY46" s="1896" t="str">
        <f>IF(AND($C46=1, $O46="Low-Rise Elevator",NOT($Q46="Yes")),$E46,"")</f>
        <v/>
      </c>
      <c r="JZ46" s="1896" t="str">
        <f>IF(AND($C46=2, $O46="Low-Rise Elevator",NOT($Q46="Yes")),$E46,"")</f>
        <v/>
      </c>
      <c r="KA46" s="1896" t="str">
        <f>IF(AND($C46=3, $O46="Low-Rise Elevator",NOT($Q46="Yes")),$E46,"")</f>
        <v/>
      </c>
      <c r="KB46" s="1896" t="str">
        <f>IF(AND($C46=4, $O46="Low-Rise Elevator",NOT($Q46="Yes")),$E46,"")</f>
        <v/>
      </c>
      <c r="KC46" s="1896" t="str">
        <f>IF(AND($C46="Efficiency", $O46="Low-Rise Apt",$Q46="Yes"),$E46,"")</f>
        <v/>
      </c>
      <c r="KD46" s="1896" t="str">
        <f>IF(AND($C46=1, $O46="Low-Rise Apt",$Q46="Yes"),$E46,"")</f>
        <v/>
      </c>
      <c r="KE46" s="1896" t="str">
        <f>IF(AND($C46=2, $O46="Low-Rise Apt",$Q46="Yes"),$E46,"")</f>
        <v/>
      </c>
      <c r="KF46" s="1896" t="str">
        <f>IF(AND($C46=3, $O46="Low-Rise Apt",$Q46="Yes"),$E46,"")</f>
        <v/>
      </c>
      <c r="KG46" s="1896" t="str">
        <f>IF(AND($C46=4, $O46="Low-Rise Apt",$Q46="Yes"),$E46,"")</f>
        <v/>
      </c>
      <c r="KH46" s="1896" t="str">
        <f>IF(AND($C46="Efficiency", $O46="Low-Rise Elevator",$Q46="Yes"),$E46,"")</f>
        <v/>
      </c>
      <c r="KI46" s="1896" t="str">
        <f>IF(AND($C46=1, $O46="Low-Rise Elevator",$Q46="Yes"),$E46,"")</f>
        <v/>
      </c>
      <c r="KJ46" s="1896" t="str">
        <f>IF(AND($C46=2, $O46="Low-Rise Elevator",$Q46="Yes"),$E46,"")</f>
        <v/>
      </c>
      <c r="KK46" s="1896" t="str">
        <f>IF(AND($C46=3, $O46="Low-Rise Elevator",$Q46="Yes"),$E46,"")</f>
        <v/>
      </c>
      <c r="KL46" s="1896" t="str">
        <f>IF(AND($C46=4, $O46="Low-Rise Elevator",$Q46="Yes"),$E46,"")</f>
        <v/>
      </c>
      <c r="KM46" s="1896" t="str">
        <f>IF(AND($C46="Efficiency", $O46="High-Rise Apt",NOT($Q46="Yes")),$E46,"")</f>
        <v/>
      </c>
      <c r="KN46" s="1896" t="str">
        <f>IF(AND($C46=1, $O46="High-Rise Apt",NOT($Q46="Yes")),$E46,"")</f>
        <v/>
      </c>
      <c r="KO46" s="1896" t="str">
        <f>IF(AND($C46=2, $O46="High-Rise Apt",NOT($Q46="Yes")),$E46,"")</f>
        <v/>
      </c>
      <c r="KP46" s="1896" t="str">
        <f>IF(AND($C46=3, $O46="High-Rise Apt",NOT($Q46="Yes")),$E46,"")</f>
        <v/>
      </c>
      <c r="KQ46" s="1896" t="str">
        <f>IF(AND($C46=4, $O46="High-Rise Apt",NOT($Q46="Yes")),$E46,"")</f>
        <v/>
      </c>
      <c r="KR46" s="1896" t="str">
        <f>IF(AND($C46="Efficiency", $O46="High-Rise Elevator",NOT($Q46="Yes")),$E46,"")</f>
        <v/>
      </c>
      <c r="KS46" s="1896" t="str">
        <f>IF(AND($C46=1, $O46="High-Rise Elevator",NOT($Q46="Yes")),$E46,"")</f>
        <v/>
      </c>
      <c r="KT46" s="1896" t="str">
        <f>IF(AND($C46=2, $O46="High-Rise Elevator",NOT($Q46="Yes")),$E46,"")</f>
        <v/>
      </c>
      <c r="KU46" s="1896" t="str">
        <f>IF(AND($C46=3, $O46="High-Rise Elevator",NOT($Q46="Yes")),$E46,"")</f>
        <v/>
      </c>
      <c r="KV46" s="1896" t="str">
        <f>IF(AND($C46=4, $O46="High-Rise Elevator",NOT($Q46="Yes")),$E46,"")</f>
        <v/>
      </c>
      <c r="KW46" s="1896" t="str">
        <f>IF(AND($C46="Efficiency", $O46="High-Rise Apt",$Q46="Yes"),$E46,"")</f>
        <v/>
      </c>
      <c r="KX46" s="1896" t="str">
        <f>IF(AND($C46=1, $O46="High-Rise Apt",$Q46="Yes"),$E46,"")</f>
        <v/>
      </c>
      <c r="KY46" s="1896" t="str">
        <f>IF(AND($C46=2, $O46="High-Rise Apt",$Q46="Yes"),$E46,"")</f>
        <v/>
      </c>
      <c r="KZ46" s="1896" t="str">
        <f>IF(AND($C46=3, $O46="High-Rise Apt",$Q46="Yes"),$E46,"")</f>
        <v/>
      </c>
      <c r="LA46" s="1896" t="str">
        <f>IF(AND($C46=4, $O46="High-Rise Apt",$Q46="Yes"),$E46,"")</f>
        <v/>
      </c>
      <c r="LB46" s="1896" t="str">
        <f>IF(AND($C46="Efficiency", $O46="High-Rise Elevator",$Q46="Yes"),$E46,"")</f>
        <v/>
      </c>
      <c r="LC46" s="1896" t="str">
        <f>IF(AND($C46=1, $O46="High-Rise Elevator",$Q46="Yes"),$E46,"")</f>
        <v/>
      </c>
      <c r="LD46" s="1896" t="str">
        <f>IF(AND($C46=2, $O46="High-Rise Elevator",$Q46="Yes"),$E46,"")</f>
        <v/>
      </c>
      <c r="LE46" s="1896" t="str">
        <f>IF(AND($C46=3, $O46="High-Rise Elevator",$Q46="Yes"),$E46,"")</f>
        <v/>
      </c>
      <c r="LF46" s="1896" t="str">
        <f>IF(AND($C46=4, $O46="High-Rise Elevator",$Q46="Yes"),$E46,"")</f>
        <v/>
      </c>
      <c r="LG46" s="1885" t="str">
        <f>IF(AND($B46="NSP 120% AMI",$C46="Efficiency", NOT($N46="Common Space")),$E46,"")</f>
        <v/>
      </c>
      <c r="LH46" s="1885" t="str">
        <f>IF(AND($B46="NSP 120% AMI",$C46=1,NOT($N46="Common Space")),$E46,"")</f>
        <v/>
      </c>
      <c r="LI46" s="1885" t="str">
        <f>IF(AND($B46="NSP 120% AMI",$C46=2,NOT($N46="Common Space")),$E46,"")</f>
        <v/>
      </c>
      <c r="LJ46" s="1885" t="str">
        <f>IF(AND($B46="NSP 120% AMI",$C46=3,NOT($N46="Common Space")),$E46,"")</f>
        <v/>
      </c>
      <c r="LK46" s="1885" t="str">
        <f>IF(AND($B46="NSP 120% AMI",$C46=4,NOT($N46="Common Space")),$E46,"")</f>
        <v/>
      </c>
      <c r="LL46" s="357" t="str">
        <f>IF(AND(C46="Efficiency",B46="NSP 120% AMI",NOT(N46="Common Space")),E46*F46,"")</f>
        <v/>
      </c>
      <c r="LM46" s="357" t="str">
        <f>IF(AND(C46=1,B46="NSP 120% AMI",NOT(N46="Common Space")),E46*F46,"")</f>
        <v/>
      </c>
      <c r="LN46" s="357" t="str">
        <f>IF(AND(C46=2,B46="NSP 120% AMI",NOT(N46="Common Space")),E46*F46,"")</f>
        <v/>
      </c>
      <c r="LO46" s="357" t="str">
        <f>IF(AND(C46=3,B46="NSP 120% AMI",NOT(N46="Common Space")),E46*F46,"")</f>
        <v/>
      </c>
      <c r="LP46" s="357" t="str">
        <f>IF(AND(C46=4,B46="NSP 120% AMI",NOT(N46="Common Space")),E46*F46,"")</f>
        <v/>
      </c>
      <c r="LQ46" s="357" t="str">
        <f>IF(AND($C46="Efficiency", $P46="New Construction",$B46="NSP 120% AMI",NOT($N46="Common Space")),$E46,"")</f>
        <v/>
      </c>
      <c r="LR46" s="357" t="str">
        <f>IF(AND($C46=1, $P46="New Construction",$B46="NSP 120% AMI",NOT($N46="Common Space")),$E46,"")</f>
        <v/>
      </c>
      <c r="LS46" s="357" t="str">
        <f>IF(AND($C46=2, $P46="New Construction",$B46="NSP 120% AMI",NOT($N46="Common Space")),$E46,"")</f>
        <v/>
      </c>
      <c r="LT46" s="357" t="str">
        <f>IF(AND($C46=3, $P46="New Construction",$B46="NSP 120% AMI",NOT($N46="Common Space")),$E46,"")</f>
        <v/>
      </c>
      <c r="LU46" s="357" t="str">
        <f>IF(AND($C46=4, $P46="New Construction",$B46="NSP 120% AMI",NOT($N46="Common Space")),$E46,"")</f>
        <v/>
      </c>
      <c r="LV46" s="357" t="str">
        <f>IF(AND($C46="Efficiency", $P46="Acquisition/Rehab",$B46="NSP 120% AMI",NOT($N46="Common Space")),$E46,"")</f>
        <v/>
      </c>
      <c r="LW46" s="357" t="str">
        <f>IF(AND($C46=1, $P46="Acquisition/Rehab",$B46="NSP 120% AMI",NOT($N46="Common Space")),$E46,"")</f>
        <v/>
      </c>
      <c r="LX46" s="357" t="str">
        <f>IF(AND($C46=2, $P46="Acquisition/Rehab",$B46="NSP 120% AMI",NOT($N46="Common Space")),$E46,"")</f>
        <v/>
      </c>
      <c r="LY46" s="357" t="str">
        <f>IF(AND($C46=3, $P46="Acquisition/Rehab",$B46="NSP 120% AMI",NOT($N46="Common Space")),$E46,"")</f>
        <v/>
      </c>
      <c r="LZ46" s="357" t="str">
        <f>IF(AND($C46=4, $P46="Acquisition/Rehab",$B46="NSP 120% AMI",NOT($N46="Common Space")),$E46,"")</f>
        <v/>
      </c>
      <c r="MA46" s="357" t="str">
        <f>IF(AND($C46="Efficiency", $P46="Rehabilitation",$B46="NSP 120% AMI",NOT($N46="Common Space")),$E46,"")</f>
        <v/>
      </c>
      <c r="MB46" s="357" t="str">
        <f>IF(AND($C46=1, $P46="Rehabilitation",$B46="NSP 120% AMI",NOT($N46="Common Space")),$E46,"")</f>
        <v/>
      </c>
      <c r="MC46" s="357" t="str">
        <f>IF(AND($C46=2, $P46="Rehabilitation",$B46="NSP 120% AMI",NOT($N46="Common Space")),$E46,"")</f>
        <v/>
      </c>
      <c r="MD46" s="357" t="str">
        <f>IF(AND($C46=3, $P46="Rehabilitation",$B46="NSP 120% AMI",NOT($N46="Common Space")),$E46,"")</f>
        <v/>
      </c>
      <c r="ME46" s="357" t="str">
        <f>IF(AND($C46=4, $P46="Rehabilitation",$B46="NSP 120% AMI",NOT($N46="Common Space")),$E46,"")</f>
        <v/>
      </c>
      <c r="MF46" s="1748">
        <f>IF(AND($C46="Efficiency",$E46&gt;0,OR($O46="Low-Rise Apt",$O46="Low-Rise Elevator",$O46="High-Rise Apt",$O46="High-Rise Elevator",$O46="Row House/TH"),OR($P46="Acquisition/Rehab",$P46="Rehabilitation"),NOT($Q46="Yes")),$E46,0)</f>
        <v>0</v>
      </c>
      <c r="MG46" s="1748">
        <f>IF(AND($C46=1,$E46&gt;0,OR($O46="Low-Rise Apt",$O46="Low-Rise Elevator",$O46="High-Rise Apt",$O46="High-Rise Elevator",$O46="Row House/TH"),OR($P46="Acquisition/Rehab",$P46="Rehabilitation"),NOT($Q46="Yes")),$E46,0)</f>
        <v>0</v>
      </c>
      <c r="MH46" s="1748">
        <f>IF(AND($C46=2,$E46&gt;0,OR($O46="Low-Rise Apt",$O46="Low-Rise Elevator",$O46="High-Rise Apt",$O46="High-Rise Elevator",$O46="Row House/TH"),OR($P46="Acquisition/Rehab",$P46="Rehabilitation"),NOT($Q46="Yes")),$E46,0)</f>
        <v>0</v>
      </c>
      <c r="MI46" s="1748">
        <f>IF(AND($C46=3,$E46&gt;0,OR($O46="Low-Rise Apt",$O46="Low-Rise Elevator",$O46="High-Rise Apt",$O46="High-Rise Elevator",$O46="Row House/TH"),OR($P46="Acquisition/Rehab",$P46="Rehabilitation"),NOT($Q46="Yes")),$E46,0)</f>
        <v>0</v>
      </c>
      <c r="MJ46" s="1748">
        <f>IF(AND($C46=4,$E46&gt;0,OR($O46="Low-Rise Apt",$O46="Low-Rise Elevator",$O46="High-Rise Apt",$O46="High-Rise Elevator",$O46="Row House/TH"),OR($P46="Acquisition/Rehab",$P46="Rehabilitation"),NOT($Q46="Yes")),$E46,0)</f>
        <v>0</v>
      </c>
      <c r="MK46" s="1748">
        <f>IF(AND($C46="Efficiency",$E46&gt;0,OR($O46="Low-Rise Apt",$O46="Low-Rise Elevator",$O46="High-Rise Apt",$O46="High-Rise Elevator",$O46="Row House/TH"),$P46="New Construction"),$E46,0)</f>
        <v>0</v>
      </c>
      <c r="ML46" s="1748">
        <f>IF(AND($C46=1,$E46&gt;0,OR($O46="Low-Rise Apt",$O46="Low-Rise Elevator",$O46="High-Rise Apt",$O46="High-Rise Elevator",$O46="Row House/TH"),$P46="New Construction"),$E46,0)</f>
        <v>0</v>
      </c>
      <c r="MM46" s="1748">
        <f>IF(AND($C46=2,$E46&gt;0,OR($O46="Low-Rise Apt",$O46="Low-Rise Elevator",$O46="High-Rise Apt",$O46="High-Rise Elevator",$O46="Row House/TH"),$P46="New Construction"),$E46,0)</f>
        <v>0</v>
      </c>
      <c r="MN46" s="1748">
        <f>IF(AND($C46=3,$E46&gt;0,OR($O46="Low-Rise Apt",$O46="Low-Rise Elevator",$O46="High-Rise Apt",$O46="High-Rise Elevator",$O46="Row House/TH"),$P46="New Construction"),$E46,0)</f>
        <v>0</v>
      </c>
      <c r="MO46" s="1748">
        <f>IF(AND($C46=4,$E46&gt;0,OR($O46="Low-Rise Apt",$O46="Low-Rise Elevator",$O46="High-Rise Apt",$O46="High-Rise Elevator",$O46="Row House/TH"),$P46="New Construction"),$E46,0)</f>
        <v>0</v>
      </c>
      <c r="MP46" s="1748">
        <f>IF(AND($C46="Efficiency",$E46&gt;0,OR($O46="SF Detached",$O46="Semi-Detached",$O46="Mfd Home"),NOT($Q46="Yes")),$E46,0)</f>
        <v>0</v>
      </c>
      <c r="MQ46" s="1748">
        <f>IF(AND($C46=1,$E46&gt;0,OR($O46="SF Detached",$O46="Semi-Detached",$O46="Mfd Home"),NOT($Q46="Yes")),$E46,0)</f>
        <v>0</v>
      </c>
      <c r="MR46" s="1748">
        <f>IF(AND($C46=2,$E46&gt;0,OR($O46="SF Detached",$O46="Semi-Detached",$O46="Mfd Home"),NOT($Q46="Yes")),$E46,0)</f>
        <v>0</v>
      </c>
      <c r="MS46" s="1748">
        <f>IF(AND($C46=3,$E46&gt;0,OR($O46="SF Detached",$O46="Semi-Detached",$O46="Mfd Home"),NOT($Q46="Yes")),$E46,0)</f>
        <v>0</v>
      </c>
      <c r="MT46" s="1748">
        <f>IF(AND($C46=4,$E46&gt;0,OR($O46="SF Detached",$O46="Semi-Detached",$O46="Mfd Home"),NOT($Q46="Yes")),$E46,0)</f>
        <v>0</v>
      </c>
      <c r="NP46" s="1719" t="s">
        <v>6439</v>
      </c>
    </row>
    <row r="47" spans="1:380" ht="13.9" customHeight="1">
      <c r="A47" s="86" t="str">
        <f>IF(AND(E47&gt;0,OR(B47="",C47="",D47="",F47="",G47="", H47="",I47="",N47="",O47="",P47="",Q47="")),1,"")</f>
        <v/>
      </c>
      <c r="B47" s="1119"/>
      <c r="C47" s="132"/>
      <c r="D47" s="1751"/>
      <c r="E47" s="133"/>
      <c r="F47" s="133"/>
      <c r="G47" s="133"/>
      <c r="H47" s="133"/>
      <c r="I47" s="133"/>
      <c r="J47" s="756">
        <f>IF(C47="",0,HLOOKUP(C47,'Part IV-Utility Allowances'!$I$11:$M$22,12))</f>
        <v>0</v>
      </c>
      <c r="K47" s="644"/>
      <c r="L47" s="461">
        <f>MAX(0,H47-I47-J47)</f>
        <v>0</v>
      </c>
      <c r="M47" s="461">
        <f>MAX(0,E47*L47)</f>
        <v>0</v>
      </c>
      <c r="N47" s="695"/>
      <c r="O47" s="1683"/>
      <c r="P47" s="695"/>
      <c r="Q47" s="134"/>
      <c r="R47" s="739"/>
      <c r="S47" s="740"/>
      <c r="T47" s="3558"/>
      <c r="U47" s="3559"/>
      <c r="V47" s="3559"/>
      <c r="W47" s="3560"/>
      <c r="X47" s="357" t="str">
        <f>IF(AND(C47="Efficiency",B47=80,NOT(N47="Common Space")),E47,"")</f>
        <v/>
      </c>
      <c r="Y47" s="357" t="str">
        <f>IF(AND(C47=1,B47=80,NOT(N47="Common Space")),E47,"")</f>
        <v/>
      </c>
      <c r="Z47" s="357" t="str">
        <f>IF(AND(C47=2,B47=80,NOT(N47="Common Space")),E47,"")</f>
        <v/>
      </c>
      <c r="AA47" s="357" t="str">
        <f>IF(AND(C47=3,B47=80,NOT(N47="Common Space")),E47,"")</f>
        <v/>
      </c>
      <c r="AB47" s="357" t="str">
        <f>IF(AND(C47=4,B47=80,NOT(N47="Common Space")),E47,"")</f>
        <v/>
      </c>
      <c r="AC47" s="357" t="str">
        <f>IF(AND(C47="Efficiency",B47=70,NOT(N47="Common Space")),E47,"")</f>
        <v/>
      </c>
      <c r="AD47" s="357" t="str">
        <f>IF(AND(C47=1,B47=70,NOT(N47="Common Space")),E47,"")</f>
        <v/>
      </c>
      <c r="AE47" s="357" t="str">
        <f>IF(AND(C47=2,B47=70,NOT(N47="Common Space")),E47,"")</f>
        <v/>
      </c>
      <c r="AF47" s="357" t="str">
        <f>IF(AND(C47=3,B47=70,NOT(N47="Common Space")),E47,"")</f>
        <v/>
      </c>
      <c r="AG47" s="357" t="str">
        <f>IF(AND(C47=4,B47=70,NOT(N47="Common Space")),E47,"")</f>
        <v/>
      </c>
      <c r="AH47" s="357" t="str">
        <f>IF(AND(C47="Efficiency",B47=60,NOT(N47="Common Space")),E47,"")</f>
        <v/>
      </c>
      <c r="AI47" s="357" t="str">
        <f>IF(AND(C47=1,B47=60,NOT(N47="Common Space")),E47,"")</f>
        <v/>
      </c>
      <c r="AJ47" s="357" t="str">
        <f>IF(AND(C47=2,B47=60,NOT(N47="Common Space")),E47,"")</f>
        <v/>
      </c>
      <c r="AK47" s="357" t="str">
        <f>IF(AND(C47=3,B47=60,NOT(N47="Common Space")),E47,"")</f>
        <v/>
      </c>
      <c r="AL47" s="357" t="str">
        <f>IF(AND(C47=4,B47=60,NOT(N47="Common Space")),E47,"")</f>
        <v/>
      </c>
      <c r="AM47" s="357" t="str">
        <f>IF(AND(C47="Efficiency",B47=50,NOT(N47="Common Space")),E47,"")</f>
        <v/>
      </c>
      <c r="AN47" s="357" t="str">
        <f>IF(AND(C47=1,B47=50,NOT(N47="Common Space")),E47,"")</f>
        <v/>
      </c>
      <c r="AO47" s="357" t="str">
        <f>IF(AND(C47=2,B47=50,NOT(N47="Common Space")),E47,"")</f>
        <v/>
      </c>
      <c r="AP47" s="357" t="str">
        <f>IF(AND(C47=3,B47=50,NOT(N47="Common Space")),E47,"")</f>
        <v/>
      </c>
      <c r="AQ47" s="357" t="str">
        <f>IF(AND(C47=4,B47=50,NOT(N47="Common Space")),E47,"")</f>
        <v/>
      </c>
      <c r="AR47" s="357" t="str">
        <f>IF(AND(C47="Efficiency",B47=40,NOT(N47="Common Space")),E47,"")</f>
        <v/>
      </c>
      <c r="AS47" s="357" t="str">
        <f>IF(AND(C47=1,B47=40,NOT(N47="Common Space")),E47,"")</f>
        <v/>
      </c>
      <c r="AT47" s="357" t="str">
        <f>IF(AND(C47=2,B47=40,NOT(N47="Common Space")),E47,"")</f>
        <v/>
      </c>
      <c r="AU47" s="357" t="str">
        <f>IF(AND(C47=3,B47=40,NOT(N47="Common Space")),E47,"")</f>
        <v/>
      </c>
      <c r="AV47" s="357" t="str">
        <f>IF(AND(C47=4,B47=40,NOT(N47="Common Space")),E47,"")</f>
        <v/>
      </c>
      <c r="AW47" s="357" t="str">
        <f>IF(AND(C47="Efficiency",B47=30,NOT(N47="Common Space")),E47,"")</f>
        <v/>
      </c>
      <c r="AX47" s="357" t="str">
        <f>IF(AND(C47=1,B47=30,NOT(N47="Common Space")),E47,"")</f>
        <v/>
      </c>
      <c r="AY47" s="357" t="str">
        <f>IF(AND(C47=2,B47=30,NOT(N47="Common Space")),E47,"")</f>
        <v/>
      </c>
      <c r="AZ47" s="357" t="str">
        <f>IF(AND(C47=3,B47=30,NOT(N47="Common Space")),E47,"")</f>
        <v/>
      </c>
      <c r="BA47" s="357" t="str">
        <f>IF(AND(C47=4,B47=30,NOT(N47="Common Space")),E47,"")</f>
        <v/>
      </c>
      <c r="BB47" s="357" t="str">
        <f>IF(AND(C47="Efficiency",B47=20,NOT(N47="Common Space")),E47,"")</f>
        <v/>
      </c>
      <c r="BC47" s="357" t="str">
        <f>IF(AND(C47=1,B47=20,NOT(N47="Common Space")),E47,"")</f>
        <v/>
      </c>
      <c r="BD47" s="357" t="str">
        <f>IF(AND(C47=2,B47=20,NOT(N47="Common Space")),E47,"")</f>
        <v/>
      </c>
      <c r="BE47" s="357" t="str">
        <f>IF(AND(C47=3,B47=20,NOT(N47="Common Space")),E47,"")</f>
        <v/>
      </c>
      <c r="BF47" s="357" t="str">
        <f>IF(AND(C47=4,B47=20,NOT(N47="Common Space")),E47,"")</f>
        <v/>
      </c>
      <c r="BG47" s="357" t="str">
        <f>IF(AND(C47="Efficiency",B47="Unrestricted",NOT(N47="Common Space")),E47,"")</f>
        <v/>
      </c>
      <c r="BH47" s="357" t="str">
        <f>IF(AND(C47=1,B47="Unrestricted",NOT(N47="Common Space")),E47,"")</f>
        <v/>
      </c>
      <c r="BI47" s="357" t="str">
        <f>IF(AND(C47=2,B47="Unrestricted",NOT(N47="Common Space")),E47,"")</f>
        <v/>
      </c>
      <c r="BJ47" s="357" t="str">
        <f>IF(AND(C47=3,B47="Unrestricted",NOT(N47="Common Space")),E47,"")</f>
        <v/>
      </c>
      <c r="BK47" s="357" t="str">
        <f>IF(AND(C47=4,B47="Unrestricted",NOT(N47="Common Space")),E47,"")</f>
        <v/>
      </c>
      <c r="BL47" s="357" t="str">
        <f>IF(OR(AND($C47="Efficiency",NOT($K47=""),NOT($K47="PHA Oper Sub"),$B47=20,NOT($N47="Common Space")),AND($C47="Efficiency",NOT($K47=""),NOT($K47="PHA Oper Sub"),$B47="HOME 20",NOT($N47="Common Space"))),$E47,"")</f>
        <v/>
      </c>
      <c r="BM47" s="357" t="str">
        <f>IF(OR(AND($C47=1,NOT($K47=""),NOT($K47="PHA Oper Sub"),$B47=20,NOT($N47="Common Space")),AND($C47=1,NOT($K47=""),NOT($K47="PHA Oper Sub"),$B47="HOME 20",NOT($N47="Common Space"))),$E47,"")</f>
        <v/>
      </c>
      <c r="BN47" s="357" t="str">
        <f>IF(OR(AND($C47=2,NOT($K47=""),NOT($K47="PHA Oper Sub"),$B47=20,NOT($N47="Common Space")),AND($C47=2,NOT($K47=""),NOT($K47="PHA Oper Sub"),$B47="HOME 20",NOT($N47="Common Space"))),$E47,"")</f>
        <v/>
      </c>
      <c r="BO47" s="357" t="str">
        <f>IF(OR(AND($C47=3,NOT($K47=""),NOT($K47="PHA Oper Sub"),$B47=20,NOT($N47="Common Space")),AND($C47=3,NOT($K47=""),NOT($K47="PHA Oper Sub"),$B47="HOME 20",NOT($N47="Common Space"))),$E47,"")</f>
        <v/>
      </c>
      <c r="BP47" s="357" t="str">
        <f>IF(OR(AND($C47=4,NOT($K47=""),NOT($K47="PHA Oper Sub"),$B47=20,NOT($N47="Common Space")),AND($C47=4,NOT($K47=""),NOT($K47="PHA Oper Sub"),$B47="HOME 20",NOT($N47="Common Space"))),$E47,"")</f>
        <v/>
      </c>
      <c r="BQ47" s="357" t="str">
        <f>IF(OR(AND($C47="Efficiency",NOT($K47=""),NOT($K47="PHA Oper Sub"),$B47=30,NOT($N47="Common Space")),AND($C47="Efficiency",NOT($K47=""),NOT($K47="PHA Oper Sub"),$B47="HOME 30",NOT($N47="Common Space"))),$E47,"")</f>
        <v/>
      </c>
      <c r="BR47" s="357" t="str">
        <f>IF(OR(AND($C47=1,NOT($K47=""),NOT($K47="PHA Oper Sub"),$B47=30,NOT($N47="Common Space")),AND($C47=1,NOT($K47=""),NOT($K47="PHA Oper Sub"),$B47="HOME 30",NOT($N47="Common Space"))),$E47,"")</f>
        <v/>
      </c>
      <c r="BS47" s="357" t="str">
        <f>IF(OR(AND($C47=2,NOT($K47=""),NOT($K47="PHA Oper Sub"),$B47=30,NOT($N47="Common Space")),AND($C47=2,NOT($K47=""),NOT($K47="PHA Oper Sub"),$B47="HOME 30",NOT($N47="Common Space"))),$E47,"")</f>
        <v/>
      </c>
      <c r="BT47" s="357" t="str">
        <f>IF(OR(AND($C47=3,NOT($K47=""),NOT($K47="PHA Oper Sub"),$B47=30,NOT($N47="Common Space")),AND($C47=3,NOT($K47=""),NOT($K47="PHA Oper Sub"),$B47="HOME 30",NOT($N47="Common Space"))),$E47,"")</f>
        <v/>
      </c>
      <c r="BU47" s="357" t="str">
        <f>IF(OR(AND($C47=4,NOT($K47=""),NOT($K47="PHA Oper Sub"),$B47=30,NOT($N47="Common Space")),AND($C47=4,NOT($K47=""),NOT($K47="PHA Oper Sub"),$B47="HOME 30",NOT($N47="Common Space"))),$E47,"")</f>
        <v/>
      </c>
      <c r="BV47" s="357" t="str">
        <f>IF(OR(AND($C47="Efficiency",NOT($K47=""),NOT($K47="PHA Oper Sub"),$B47=40,NOT($N47="Common Space")),AND($C47="Efficiency",NOT($K47=""),NOT($K47="PHA Oper Sub"),$B47="HOME 40",NOT($N47="Common Space"))),$E47,"")</f>
        <v/>
      </c>
      <c r="BW47" s="357" t="str">
        <f>IF(OR(AND($C47=1,NOT($K47=""),NOT($K47="PHA Oper Sub"),$B47=40,NOT($N47="Common Space")),AND($C47=1,NOT($K47=""),NOT($K47="PHA Oper Sub"),$B47="HOME 40",NOT($N47="Common Space"))),$E47,"")</f>
        <v/>
      </c>
      <c r="BX47" s="357" t="str">
        <f>IF(OR(AND($C47=2,NOT($K47=""),NOT($K47="PHA Oper Sub"),$B47=40,NOT($N47="Common Space")),AND($C47=2,NOT($K47=""),NOT($K47="PHA Oper Sub"),$B47="HOME 40",NOT($N47="Common Space"))),$E47,"")</f>
        <v/>
      </c>
      <c r="BY47" s="357" t="str">
        <f>IF(OR(AND($C47=3,NOT($K47=""),NOT($K47="PHA Oper Sub"),$B47=40,NOT($N47="Common Space")),AND($C47=3,NOT($K47=""),NOT($K47="PHA Oper Sub"),$B47="HOME 40",NOT($N47="Common Space"))),$E47,"")</f>
        <v/>
      </c>
      <c r="BZ47" s="357" t="str">
        <f>IF(OR(AND($C47=4,NOT($K47=""),NOT($K47="PHA Oper Sub"),$B47=40,NOT($N47="Common Space")),AND($C47=4,NOT($K47=""),NOT($K47="PHA Oper Sub"),$B47="HOME 40",NOT($N47="Common Space"))),$E47,"")</f>
        <v/>
      </c>
      <c r="CA47" s="357" t="str">
        <f>IF(OR(AND($C47="Efficiency",NOT($K47=""),NOT($K47="PHA Oper Sub"),NOT($K47=0),$B47=50,NOT($N47="Common Space")),AND($C47="Efficiency",NOT($K47=""),NOT($K47=0),NOT($K47="PHA Oper Sub"),$B47="HOME 50",NOT($N47="Common Space"))),$E47,"")</f>
        <v/>
      </c>
      <c r="CB47" s="357" t="str">
        <f>IF(OR(AND($C47=1,NOT($K47=""),NOT($K47=0),NOT($K47="PHA Oper Sub"),$B47=50,NOT($N47="Common Space")),AND($C47=1,NOT($K47=""),NOT($K47=0),NOT($K47="PHA Oper Sub"),$B47="HOME 50",NOT($N47="Common Space"))),$E47,"")</f>
        <v/>
      </c>
      <c r="CC47" s="357" t="str">
        <f>IF(OR(AND($C47=2,NOT($K47=""),NOT($K47=0),NOT($K47="PHA Oper Sub"),$B47=50,NOT($N47="Common Space")),AND($C47=2,NOT($K47=""),NOT($K47=0),NOT($K47="PHA Oper Sub"),$B47="HOME 50",NOT($N47="Common Space"))),$E47,"")</f>
        <v/>
      </c>
      <c r="CD47" s="357" t="str">
        <f>IF(OR(AND($C47=3,NOT($K47=""),NOT($K47=0),NOT($K47="PHA Oper Sub"),$B47=50,NOT($N47="Common Space")),AND($C47=3,NOT($K47=""),NOT($K47=0),NOT($K47="PHA Oper Sub"),$B47="HOME 50",NOT($N47="Common Space"))),$E47,"")</f>
        <v/>
      </c>
      <c r="CE47" s="357" t="str">
        <f>IF(OR(AND($C47=4,NOT($K47=""),NOT($K47=0),NOT($K47="PHA Oper Sub"),$B47=50,NOT($N47="Common Space")),AND($C47=4,NOT($K47=""),NOT($K47=0),NOT($K47="PHA Oper Sub"),$B47="HOME 50",NOT($N47="Common Space"))),$E47,"")</f>
        <v/>
      </c>
      <c r="CF47" s="357" t="str">
        <f>IF(OR(AND($C47="Efficiency",NOT($K47=""),NOT($K47=0),NOT($K47="PHA Oper Sub"),$B47=60,NOT($N47="Common Space")),AND($C47="Efficiency",NOT($K47=""),NOT($K47=0),NOT($K47="PHA Oper Sub"),$B47="HOME 60",NOT($N47="Common Space"))),$E47,"")</f>
        <v/>
      </c>
      <c r="CG47" s="357" t="str">
        <f>IF(OR(AND($C47=1,NOT($K47=""),NOT($K47=0),NOT($K47="PHA Oper Sub"),$B47=60,NOT($N47="Common Space")),AND($C47=1,NOT($K47=""),NOT($K47=0),NOT($K47="PHA Oper Sub"),$B47="HOME 60",NOT($N47="Common Space"))),$E47,"")</f>
        <v/>
      </c>
      <c r="CH47" s="357" t="str">
        <f>IF(OR(AND($C47=2,NOT($K47=""),NOT($K47=0),NOT($K47="PHA Oper Sub"),$B47=60,NOT($N47="Common Space")),AND($C47=2,NOT($K47=""),NOT($K47=0),NOT($K47="PHA Oper Sub"),$B47="HOME 60",NOT($N47="Common Space"))),$E47,"")</f>
        <v/>
      </c>
      <c r="CI47" s="357" t="str">
        <f>IF(OR(AND($C47=3,NOT($K47=""),NOT($K47=0),NOT($K47="PHA Oper Sub"),$B47=60,NOT($N47="Common Space")),AND($C47=3,NOT($K47=""),NOT($K47=0),NOT($K47="PHA Oper Sub"),$B47="HOME 60",NOT($N47="Common Space"))),$E47,"")</f>
        <v/>
      </c>
      <c r="CJ47" s="357" t="str">
        <f>IF(OR(AND($C47=4,NOT($K47=""),NOT($K47=0),NOT($K47="PHA Oper Sub"),$B47=60,NOT($N47="Common Space")),AND($C47=4,NOT($K47=""),NOT($K47=0),NOT($K47="PHA Oper Sub"),$B47="HOME 60",NOT($N47="Common Space"))),$E47,"")</f>
        <v/>
      </c>
      <c r="CK47" s="357" t="str">
        <f>IF(OR(AND($C47="Efficiency",NOT($K47=""),NOT($K47="PHA Oper Sub"),$B47=70,NOT($N47="Common Space")),AND($C47="Efficiency",NOT($K47=""),NOT($K47="PHA Oper Sub"),$B47="HOME 70",NOT($N47="Common Space"))),$E47,"")</f>
        <v/>
      </c>
      <c r="CL47" s="357" t="str">
        <f>IF(OR(AND($C47=1,NOT($K47=""),NOT($K47="PHA Oper Sub"),$B47=70,NOT($N47="Common Space")),AND($C47=1,NOT($K47=""),NOT($K47="PHA Oper Sub"),$B47="HOME 70",NOT($N47="Common Space"))),$E47,"")</f>
        <v/>
      </c>
      <c r="CM47" s="357" t="str">
        <f>IF(OR(AND($C47=2,NOT($K47=""),NOT($K47="PHA Oper Sub"),$B47=70,NOT($N47="Common Space")),AND($C47=2,NOT($K47=""),NOT($K47="PHA Oper Sub"),$B47="HOME 70",NOT($N47="Common Space"))),$E47,"")</f>
        <v/>
      </c>
      <c r="CN47" s="357" t="str">
        <f>IF(OR(AND($C47=3,NOT($K47=""),NOT($K47="PHA Oper Sub"),$B47=70,NOT($N47="Common Space")),AND($C47=3,NOT($K47=""),NOT($K47="PHA Oper Sub"),$B47="HOME 70",NOT($N47="Common Space"))),$E47,"")</f>
        <v/>
      </c>
      <c r="CO47" s="357" t="str">
        <f>IF(OR(AND($C47=4,NOT($K47=""),NOT($K47="PHA Oper Sub"),$B47=70,NOT($N47="Common Space")),AND($C47=4,NOT($K47=""),NOT($K47="PHA Oper Sub"),$B47="HOME 70",NOT($N47="Common Space"))),$E47,"")</f>
        <v/>
      </c>
      <c r="CP47" s="357" t="str">
        <f>IF(OR(AND($C47="Efficiency",NOT($K47=""),NOT($K47="PHA Oper Sub"),$B47=80,NOT($N47="Common Space")),AND($C47="Efficiency",NOT($K47=""),NOT($K47="PHA Oper Sub"),$B47="HOME 80",NOT($N47="Common Space"))),$E47,"")</f>
        <v/>
      </c>
      <c r="CQ47" s="357" t="str">
        <f>IF(OR(AND($C47=1,NOT($K47=""),NOT($K47="PHA Oper Sub"),$B47=80,NOT($N47="Common Space")),AND($C47=1,NOT($K47=""),NOT($K47="PHA Oper Sub"),$B47="HOME 80",NOT($N47="Common Space"))),$E47,"")</f>
        <v/>
      </c>
      <c r="CR47" s="357" t="str">
        <f>IF(OR(AND($C47=2,NOT($K47=""),NOT($K47="PHA Oper Sub"),$B47=80,NOT($N47="Common Space")),AND($C47=2,NOT($K47=""),NOT($K47="PHA Oper Sub"),$B47="HOME 80",NOT($N47="Common Space"))),$E47,"")</f>
        <v/>
      </c>
      <c r="CS47" s="357" t="str">
        <f>IF(OR(AND($C47=3,NOT($K47=""),NOT($K47="PHA Oper Sub"),$B47=80,NOT($N47="Common Space")),AND($C47=3,NOT($K47=""),NOT($K47="PHA Oper Sub"),$B47="HOME 80",NOT($N47="Common Space"))),$E47,"")</f>
        <v/>
      </c>
      <c r="CT47" s="357" t="str">
        <f>IF(OR(AND($C47=4,NOT($K47=""),NOT($K47="PHA Oper Sub"),$B47=80,NOT($N47="Common Space")),AND($C47=4,NOT($K47=""),NOT($K47="PHA Oper Sub"),$B47="HOME 80",NOT($N47="Common Space"))),$E47,"")</f>
        <v/>
      </c>
      <c r="CU47" s="357" t="str">
        <f>IF(OR(AND($C47="Efficiency",$K47="PHA Oper Sub",$B47=20,NOT($N47="Common Space")),AND($C47="Efficiency",$K47="PHA Oper Sub",$B47="HOME 20",NOT($N47="Common Space"))),$E47,"")</f>
        <v/>
      </c>
      <c r="CV47" s="357" t="str">
        <f>IF(OR(AND($C47=1,$K47="PHA Oper Sub",$B47=20,NOT($N47="Common Space")),AND($C47=1,$K47="PHA Oper Sub",$B47="HOME 20",NOT($N47="Common Space"))),$E47,"")</f>
        <v/>
      </c>
      <c r="CW47" s="357" t="str">
        <f>IF(OR(AND($C47=2,$K47="PHA Oper Sub",$B47=20,NOT($N47="Common Space")),AND($C47=2,$K47="PHA Oper Sub",$B47="HOME 20",NOT($N47="Common Space"))),$E47,"")</f>
        <v/>
      </c>
      <c r="CX47" s="357" t="str">
        <f>IF(OR(AND($C47=3,$K47="PHA Oper Sub",$B47=20,NOT($N47="Common Space")),AND($C47=3,$K47="PHA Oper Sub",$B47="HOME 20",NOT($N47="Common Space"))),$E47,"")</f>
        <v/>
      </c>
      <c r="CY47" s="357" t="str">
        <f>IF(OR(AND($C47=4,$K47="PHA Oper Sub",$B47=20,NOT($N47="Common Space")),AND($C47=4,$K47="PHA Oper Sub",$B47="HOME 20",NOT($N47="Common Space"))),$E47,"")</f>
        <v/>
      </c>
      <c r="CZ47" s="357" t="str">
        <f>IF(OR(AND($C47="Efficiency",$K47="PHA Oper Sub",$B47=30,NOT($N47="Common Space")),AND($C47="Efficiency",$K47="PHA Oper Sub",$B47="HOME 30",NOT($N47="Common Space"))),$E47,"")</f>
        <v/>
      </c>
      <c r="DA47" s="357" t="str">
        <f>IF(OR(AND($C47=1,$K47="PHA Oper Sub",$B47=30,NOT($N47="Common Space")),AND($C47=1,$K47="PHA Oper Sub",$B47="HOME 30",NOT($N47="Common Space"))),$E47,"")</f>
        <v/>
      </c>
      <c r="DB47" s="357" t="str">
        <f>IF(OR(AND($C47=2,$K47="PHA Oper Sub",$B47=30,NOT($N47="Common Space")),AND($C47=2,$K47="PHA Oper Sub",$B47="HOME 30",NOT($N47="Common Space"))),$E47,"")</f>
        <v/>
      </c>
      <c r="DC47" s="357" t="str">
        <f>IF(OR(AND($C47=3,$K47="PHA Oper Sub",$B47=30,NOT($N47="Common Space")),AND($C47=3,$K47="PHA Oper Sub",$B47="HOME 30",NOT($N47="Common Space"))),$E47,"")</f>
        <v/>
      </c>
      <c r="DD47" s="357" t="str">
        <f>IF(OR(AND($C47=4,$K47="PHA Oper Sub",$B47=30,NOT($N47="Common Space")),AND($C47=4,$K47="PHA Oper Sub",$B47="HOME 30",NOT($N47="Common Space"))),$E47,"")</f>
        <v/>
      </c>
      <c r="DE47" s="357" t="str">
        <f>IF(OR(AND($C47="Efficiency",$K47="PHA Oper Sub",$B47=40,NOT($N47="Common Space")),AND($C47="Efficiency",$K47="PHA Oper Sub",$B47="HOME 40",NOT($N47="Common Space"))),$E47,"")</f>
        <v/>
      </c>
      <c r="DF47" s="357" t="str">
        <f>IF(OR(AND($C47=1,$K47="PHA Oper Sub",$B47=40,NOT($N47="Common Space")),AND($C47=1,$K47="PHA Oper Sub",$B47="HOME 40",NOT($N47="Common Space"))),$E47,"")</f>
        <v/>
      </c>
      <c r="DG47" s="357" t="str">
        <f>IF(OR(AND($C47=2,$K47="PHA Oper Sub",$B47=40,NOT($N47="Common Space")),AND($C47=2,$K47="PHA Oper Sub",$B47="HOME 40",NOT($N47="Common Space"))),$E47,"")</f>
        <v/>
      </c>
      <c r="DH47" s="357" t="str">
        <f>IF(OR(AND($C47=3,$K47="PHA Oper Sub",$B47=40,NOT($N47="Common Space")),AND($C47=3,$K47="PHA Oper Sub",$B47="HOME 40",NOT($N47="Common Space"))),$E47,"")</f>
        <v/>
      </c>
      <c r="DI47" s="357" t="str">
        <f>IF(OR(AND($C47=4,$K47="PHA Oper Sub",$B47=40,NOT($N47="Common Space")),AND($C47=4,$K47="PHA Oper Sub",$B47="HOME 40",NOT($N47="Common Space"))),$E47,"")</f>
        <v/>
      </c>
      <c r="DJ47" s="357" t="str">
        <f>IF(OR(AND($C47="Efficiency",$K47="PHA Oper Sub",$B47=50,NOT($N47="Common Space")),AND($C47="Efficiency",$K47="PHA Oper Sub",$B47="HOME 50",NOT($N47="Common Space"))),$E47,"")</f>
        <v/>
      </c>
      <c r="DK47" s="357" t="str">
        <f>IF(OR(AND($C47=1,$K47="PHA Oper Sub",$B47=50,NOT($N47="Common Space")),AND($C47=1,$K47="PHA Oper Sub",$B47="HOME 50",NOT($N47="Common Space"))),$E47,"")</f>
        <v/>
      </c>
      <c r="DL47" s="357" t="str">
        <f>IF(OR(AND($C47=2,$K47="PHA Oper Sub",$B47=50,NOT($N47="Common Space")),AND($C47=2,$K47="PHA Oper Sub",$B47="HOME 50",NOT($N47="Common Space"))),$E47,"")</f>
        <v/>
      </c>
      <c r="DM47" s="357" t="str">
        <f>IF(OR(AND($C47=3,$K47="PHA Oper Sub",$B47=50,NOT($N47="Common Space")),AND($C47=3,$K47="PHA Oper Sub",$B47="HOME 50",NOT($N47="Common Space"))),$E47,"")</f>
        <v/>
      </c>
      <c r="DN47" s="357" t="str">
        <f>IF(OR(AND($C47=4,$K47="PHA Oper Sub",$B47=50,NOT($N47="Common Space")),AND($C47=4,$K47="PHA Oper Sub",$B47="HOME 50",NOT($N47="Common Space"))),$E47,"")</f>
        <v/>
      </c>
      <c r="DO47" s="357" t="str">
        <f>IF(OR(AND($C47="Efficiency",$K47="PHA Oper Sub",$B47=60,NOT($N47="Common Space")),AND($C47="Efficiency",$K47="PHA Oper Sub",$B47="HOME 60",NOT($N47="Common Space"))),$E47,"")</f>
        <v/>
      </c>
      <c r="DP47" s="357" t="str">
        <f>IF(OR(AND($C47=1,$K47="PHA Oper Sub",$B47=60,NOT($N47="Common Space")),AND($C47=1,$K47="PHA Oper Sub",$B47="HOME 60",NOT($N47="Common Space"))),$E47,"")</f>
        <v/>
      </c>
      <c r="DQ47" s="357" t="str">
        <f>IF(OR(AND($C47=2,$K47="PHA Oper Sub",$B47=60,NOT($N47="Common Space")),AND($C47=2,$K47="PHA Oper Sub",$B47="HOME 60",NOT($N47="Common Space"))),$E47,"")</f>
        <v/>
      </c>
      <c r="DR47" s="357" t="str">
        <f>IF(OR(AND($C47=3,$K47="PHA Oper Sub",$B47=60,NOT($N47="Common Space")),AND($C47=3,$K47="PHA Oper Sub",$B47="HOME 60",NOT($N47="Common Space"))),$E47,"")</f>
        <v/>
      </c>
      <c r="DS47" s="357" t="str">
        <f>IF(OR(AND($C47=4,$K47="PHA Oper Sub",$B47=60,NOT($N47="Common Space")),AND($C47=4,$K47="PHA Oper Sub",$B47="HOME 60",NOT($N47="Common Space"))),$E47,"")</f>
        <v/>
      </c>
      <c r="DT47" s="357" t="str">
        <f>IF(OR(AND($C47="Efficiency",$K47="PHA Oper Sub",$B47=70,NOT($N47="Common Space")),AND($C47="Efficiency",$K47="PHA Oper Sub",$B47="HOME 70",NOT($N47="Common Space"))),$E47,"")</f>
        <v/>
      </c>
      <c r="DU47" s="357" t="str">
        <f>IF(OR(AND($C47=1,$K47="PHA Oper Sub",$B47=70,NOT($N47="Common Space")),AND($C47=1,$K47="PHA Oper Sub",$B47="HOME 70",NOT($N47="Common Space"))),$E47,"")</f>
        <v/>
      </c>
      <c r="DV47" s="357" t="str">
        <f>IF(OR(AND($C47=2,$K47="PHA Oper Sub",$B47=70,NOT($N47="Common Space")),AND($C47=2,$K47="PHA Oper Sub",$B47="HOME 70",NOT($N47="Common Space"))),$E47,"")</f>
        <v/>
      </c>
      <c r="DW47" s="357" t="str">
        <f>IF(OR(AND($C47=3,$K47="PHA Oper Sub",$B47=70,NOT($N47="Common Space")),AND($C47=3,$K47="PHA Oper Sub",$B47="HOME 70",NOT($N47="Common Space"))),$E47,"")</f>
        <v/>
      </c>
      <c r="DX47" s="357" t="str">
        <f>IF(OR(AND($C47=4,$K47="PHA Oper Sub",$B47=70,NOT($N47="Common Space")),AND($C47=4,$K47="PHA Oper Sub",$B47="HOME 70",NOT($N47="Common Space"))),$E47,"")</f>
        <v/>
      </c>
      <c r="DY47" s="357" t="str">
        <f>IF(OR(AND($C47="Efficiency",$K47="PHA Oper Sub",$B47=80,NOT($N47="Common Space")),AND($C47="Efficiency",$K47="PHA Oper Sub",$B47="HOME 80",NOT($N47="Common Space"))),$E47,"")</f>
        <v/>
      </c>
      <c r="DZ47" s="357" t="str">
        <f>IF(OR(AND($C47=1,$K47="PHA Oper Sub",$B47=80,NOT($N47="Common Space")),AND($C47=1,$K47="PHA Oper Sub",$B47="HOME 80",NOT($N47="Common Space"))),$E47,"")</f>
        <v/>
      </c>
      <c r="EA47" s="357" t="str">
        <f>IF(OR(AND($C47=2,$K47="PHA Oper Sub",$B47=80,NOT($N47="Common Space")),AND($C47=2,$K47="PHA Oper Sub",$B47="HOME 80",NOT($N47="Common Space"))),$E47,"")</f>
        <v/>
      </c>
      <c r="EB47" s="357" t="str">
        <f>IF(OR(AND($C47=3,$K47="PHA Oper Sub",$B47=80,NOT($N47="Common Space")),AND($C47=3,$K47="PHA Oper Sub",$B47="HOME 80",NOT($N47="Common Space"))),$E47,"")</f>
        <v/>
      </c>
      <c r="EC47" s="357" t="str">
        <f>IF(OR(AND($C47=4,$K47="PHA Oper Sub",$B47=80,NOT($N47="Common Space")),AND($C47=4,$K47="PHA Oper Sub",$B47="HOME 80",NOT($N47="Common Space"))),$E47,"")</f>
        <v/>
      </c>
      <c r="ED47" s="357" t="str">
        <f>IF(AND(C47="Efficiency",N47="Common Space"),E47,"")</f>
        <v/>
      </c>
      <c r="EE47" s="357" t="str">
        <f>IF(AND(C47=1,N47="Common Space"),E47,"")</f>
        <v/>
      </c>
      <c r="EF47" s="357" t="str">
        <f>IF(AND(C47=2,N47="Common Space"),E47,"")</f>
        <v/>
      </c>
      <c r="EG47" s="357" t="str">
        <f>IF(AND(C47=3,N47="Common Space"),E47,"")</f>
        <v/>
      </c>
      <c r="EH47" s="357" t="str">
        <f>IF(AND(C47=4,N47="Common Space"),E47,"")</f>
        <v/>
      </c>
      <c r="EI47" s="357" t="str">
        <f>IF(OR(AND($C47="Efficiency",$B47=80,NOT($N47="Common Space")),AND($C47="Efficiency",$B47="HOME 80",NOT($N47="Common Space"))),$E47*$F47,"")</f>
        <v/>
      </c>
      <c r="EJ47" s="357" t="str">
        <f>IF(OR(AND($C47=1,$B47=80,NOT($N47="Common Space")),AND($C47=1,$B47="HOME 80",NOT($N47="Common Space"))),$E47*$F47,"")</f>
        <v/>
      </c>
      <c r="EK47" s="357" t="str">
        <f>IF(OR(AND($C47=2,$B47=80,NOT($N47="Common Space")),AND($C47=2,$B47="HOME 80",NOT($N47="Common Space"))),$E47*$F47,"")</f>
        <v/>
      </c>
      <c r="EL47" s="357" t="str">
        <f>IF(OR(AND($C47=3,$B47=80,NOT($N47="Common Space")),AND($C47=3,$B47="HOME 80",NOT($N47="Common Space"))),$E47*$F47,"")</f>
        <v/>
      </c>
      <c r="EM47" s="357" t="str">
        <f>IF(OR(AND($C47=4,$B47=80,NOT($N47="Common Space")),AND($C47=4,$B47="HOME 80",NOT($N47="Common Space"))),$E47*$F47,"")</f>
        <v/>
      </c>
      <c r="EN47" s="357" t="str">
        <f>IF(OR(AND($C47="Efficiency",$B47=70,NOT($N47="Common Space")),AND($C47="Efficiency",$B47="HOME 70",NOT($N47="Common Space"))),$E47*$F47,"")</f>
        <v/>
      </c>
      <c r="EO47" s="357" t="str">
        <f>IF(OR(AND($C47=1,$B47=70,NOT($N47="Common Space")),AND($C47=1,$B47="HOME 70",NOT($N47="Common Space"))),$E47*$F47,"")</f>
        <v/>
      </c>
      <c r="EP47" s="357" t="str">
        <f>IF(OR(AND($C47=2,$B47=70,NOT($N47="Common Space")),AND($C47=2,$B47="HOME 70",NOT($N47="Common Space"))),$E47*$F47,"")</f>
        <v/>
      </c>
      <c r="EQ47" s="357" t="str">
        <f>IF(OR(AND($C47=3,$B47=70,NOT($N47="Common Space")),AND($C47=3,$B47="HOME 70",NOT($N47="Common Space"))),$E47*$F47,"")</f>
        <v/>
      </c>
      <c r="ER47" s="357" t="str">
        <f>IF(OR(AND($C47=4,$B47=70,NOT($N47="Common Space")),AND($C47=4,$B47="HOME 70",NOT($N47="Common Space"))),$E47*$F47,"")</f>
        <v/>
      </c>
      <c r="ES47" s="357" t="str">
        <f>IF(OR(AND($C47="Efficiency",$B47=60,NOT($N47="Common Space")),AND($C47="Efficiency",$B47="HOME 60",NOT($N47="Common Space"))),$E47*$F47,"")</f>
        <v/>
      </c>
      <c r="ET47" s="357" t="str">
        <f>IF(OR(AND($C47=1,$B47=60,NOT($N47="Common Space")),AND($C47=1,$B47="HOME 60",NOT($N47="Common Space"))),$E47*$F47,"")</f>
        <v/>
      </c>
      <c r="EU47" s="357" t="str">
        <f>IF(OR(AND($C47=2,$B47=60,NOT($N47="Common Space")),AND($C47=2,$B47="HOME 60",NOT($N47="Common Space"))),$E47*$F47,"")</f>
        <v/>
      </c>
      <c r="EV47" s="357" t="str">
        <f>IF(OR(AND($C47=3,$B47=60,NOT($N47="Common Space")),AND($C47=3,$B47="HOME 60",NOT($N47="Common Space"))),$E47*$F47,"")</f>
        <v/>
      </c>
      <c r="EW47" s="357" t="str">
        <f>IF(OR(AND($C47=4,$B47=60,NOT($N47="Common Space")),AND($C47=4,$B47="HOME 60",NOT($N47="Common Space"))),$E47*$F47,"")</f>
        <v/>
      </c>
      <c r="EX47" s="357" t="str">
        <f>IF(OR(AND($C47="Efficiency",$B47=50,NOT($N47="Common Space")),AND($C47="Efficiency",$B47="HOME 50",NOT($N47="Common Space"))),$E47*$F47,"")</f>
        <v/>
      </c>
      <c r="EY47" s="357" t="str">
        <f>IF(OR(AND($C47=1,$B47=50,NOT($N47="Common Space")),AND($C47=1,$B47="HOME 50",NOT($N47="Common Space"))),$E47*$F47,"")</f>
        <v/>
      </c>
      <c r="EZ47" s="357" t="str">
        <f>IF(OR(AND($C47=2,$B47=50,NOT($N47="Common Space")),AND($C47=2,$B47="HOME 50",NOT($N47="Common Space"))),$E47*$F47,"")</f>
        <v/>
      </c>
      <c r="FA47" s="357" t="str">
        <f>IF(OR(AND($C47=3,$B47=50,NOT($N47="Common Space")),AND($C47=3,$B47="HOME 50",NOT($N47="Common Space"))),$E47*$F47,"")</f>
        <v/>
      </c>
      <c r="FB47" s="357" t="str">
        <f>IF(OR(AND($C47=4,$B47=50,NOT($N47="Common Space")),AND($C47=4,$B47="HOME 50",NOT($N47="Common Space"))),$E47*$F47,"")</f>
        <v/>
      </c>
      <c r="FC47" s="357" t="str">
        <f>IF(OR(AND($C47="Efficiency",$B47=40,NOT($N47="Common Space")),AND($C47="Efficiency",$B47="HOME 40",NOT($N47="Common Space"))),$E47*$F47,"")</f>
        <v/>
      </c>
      <c r="FD47" s="357" t="str">
        <f>IF(OR(AND($C47=1,$B47=40,NOT($N47="Common Space")),AND($C47=1,$B47="HOME 40",NOT($N47="Common Space"))),$E47*$F47,"")</f>
        <v/>
      </c>
      <c r="FE47" s="357" t="str">
        <f>IF(OR(AND($C47=2,$B47=40,NOT($N47="Common Space")),AND($C47=2,$B47="HOME 40",NOT($N47="Common Space"))),$E47*$F47,"")</f>
        <v/>
      </c>
      <c r="FF47" s="357" t="str">
        <f>IF(OR(AND($C47=3,$B47=40,NOT($N47="Common Space")),AND($C47=3,$B47="HOME 40",NOT($N47="Common Space"))),$E47*$F47,"")</f>
        <v/>
      </c>
      <c r="FG47" s="357" t="str">
        <f>IF(OR(AND($C47=4,$B47=40,NOT($N47="Common Space")),AND($C47=4,$B47="HOME 40",NOT($N47="Common Space"))),$E47*$F47,"")</f>
        <v/>
      </c>
      <c r="FH47" s="357" t="str">
        <f>IF(OR(AND($C47="Efficiency",$B47=30,NOT($N47="Common Space")),AND($C47="Efficiency",$B47="HOME 30",NOT($N47="Common Space"))),$E47*$F47,"")</f>
        <v/>
      </c>
      <c r="FI47" s="357" t="str">
        <f>IF(OR(AND($C47=1,$B47=30,NOT($N47="Common Space")),AND($C47=1,$B47="HOME 30",NOT($N47="Common Space"))),$E47*$F47,"")</f>
        <v/>
      </c>
      <c r="FJ47" s="357" t="str">
        <f>IF(OR(AND($C47=2,$B47=30,NOT($N47="Common Space")),AND($C47=2,$B47="HOME 30",NOT($N47="Common Space"))),$E47*$F47,"")</f>
        <v/>
      </c>
      <c r="FK47" s="357" t="str">
        <f>IF(OR(AND($C47=3,$B47=30,NOT($N47="Common Space")),AND($C47=3,$B47="HOME 30",NOT($N47="Common Space"))),$E47*$F47,"")</f>
        <v/>
      </c>
      <c r="FL47" s="357" t="str">
        <f>IF(OR(AND($C47=4,$B47=30,NOT($N47="Common Space")),AND($C47=4,$B47="HOME 30",NOT($N47="Common Space"))),$E47*$F47,"")</f>
        <v/>
      </c>
      <c r="FM47" s="357" t="str">
        <f>IF(OR(AND($C47="Efficiency",$B47=20,NOT($N47="Common Space")),AND($C47="Efficiency",$B47="HOME 20",NOT($N47="Common Space"))),$E47*$F47,"")</f>
        <v/>
      </c>
      <c r="FN47" s="357" t="str">
        <f>IF(OR(AND($C47=1,$B47=20,NOT($N47="Common Space")),AND($C47=1,$B47="HOME 20",NOT($N47="Common Space"))),$E47*$F47,"")</f>
        <v/>
      </c>
      <c r="FO47" s="357" t="str">
        <f>IF(OR(AND($C47=2,$B47=20,NOT($N47="Common Space")),AND($C47=2,$B47="HOME 20",NOT($N47="Common Space"))),$E47*$F47,"")</f>
        <v/>
      </c>
      <c r="FP47" s="357" t="str">
        <f>IF(OR(AND($C47=3,$B47=20,NOT($N47="Common Space")),AND($C47=3,$B47="HOME 20",NOT($N47="Common Space"))),$E47*$F47,"")</f>
        <v/>
      </c>
      <c r="FQ47" s="357" t="str">
        <f>IF(OR(AND($C47=4,$B47=20,NOT($N47="Common Space")),AND($C47=4,$B47="HOME 20",NOT($N47="Common Space"))),$E47*$F47,"")</f>
        <v/>
      </c>
      <c r="FR47" s="357" t="str">
        <f>IF(AND(C47="Efficiency",B47="Unrestricted",NOT(N47="Common Space")),E47*F47,"")</f>
        <v/>
      </c>
      <c r="FS47" s="357" t="str">
        <f>IF(AND(C47=1,B47="Unrestricted",NOT(N47="Common Space")),E47*F47,"")</f>
        <v/>
      </c>
      <c r="FT47" s="357" t="str">
        <f>IF(AND(C47=2,B47="Unrestricted",NOT(N47="Common Space")),E47*F47,"")</f>
        <v/>
      </c>
      <c r="FU47" s="357" t="str">
        <f>IF(AND(C47=3,B47="Unrestricted",NOT(N47="Common Space")),E47*F47,"")</f>
        <v/>
      </c>
      <c r="FV47" s="357" t="str">
        <f>IF(AND(C47=4,B47="Unrestricted",NOT(N47="Common Space")),E47*F47,"")</f>
        <v/>
      </c>
      <c r="FW47" s="357" t="str">
        <f>IF(AND(C47="Efficiency",NOT(K47=""),NOT($K47=0),NOT(N47="Common Space")),E47*F47,"")</f>
        <v/>
      </c>
      <c r="FX47" s="357" t="str">
        <f>IF(AND(C47=1,NOT(K47=""),NOT($K47=0),NOT(N47="Common Space")),E47*F47,"")</f>
        <v/>
      </c>
      <c r="FY47" s="357" t="str">
        <f>IF(AND(C47=2,NOT(K47=""),NOT($K47=0),NOT(N47="Common Space")),E47*F47,"")</f>
        <v/>
      </c>
      <c r="FZ47" s="357" t="str">
        <f>IF(AND(C47=3,NOT(K47=""),NOT($K47=0),NOT(N47="Common Space")),E47*F47,"")</f>
        <v/>
      </c>
      <c r="GA47" s="357" t="str">
        <f>IF(AND(C47=4,NOT(K47=""),NOT($K47=0),NOT(N47="Common Space")),E47*F47,"")</f>
        <v/>
      </c>
      <c r="GB47" s="357" t="str">
        <f>IF(AND(C47="Efficiency",N47="Common Space"),E47*F47,"")</f>
        <v/>
      </c>
      <c r="GC47" s="357" t="str">
        <f>IF(AND(C47=1,N47="Common Space"),E47*F47,"")</f>
        <v/>
      </c>
      <c r="GD47" s="357" t="str">
        <f>IF(AND(C47=2,N47="Common Space"),E47*F47,"")</f>
        <v/>
      </c>
      <c r="GE47" s="357" t="str">
        <f>IF(AND(C47=3,N47="Common Space"),E47*F47,"")</f>
        <v/>
      </c>
      <c r="GF47" s="357" t="str">
        <f>IF(AND(C47=4,N47="Common Space"),E47*F47,"")</f>
        <v/>
      </c>
      <c r="GG47" s="357" t="str">
        <f>IF(AND($C47="Efficiency", $P47="New Construction",NOT($B47="Unrestricted"),NOT($B47="NSP 120"),NOT($B47="N/A-CS"),NOT($N47="Common Space")),$E47,"")</f>
        <v/>
      </c>
      <c r="GH47" s="357" t="str">
        <f>IF(AND($C47=1, $P47="New Construction",NOT($B47="Unrestricted"),NOT($B47="NSP 120"),NOT($B47="N/A-CS"),NOT($N47="Common Space")),$E47,"")</f>
        <v/>
      </c>
      <c r="GI47" s="357" t="str">
        <f>IF(AND($C47=2, $P47="New Construction",NOT($B47="Unrestricted"),NOT($B47="NSP 120"),NOT($B47="N/A-CS"),NOT($N47="Common Space")),$E47,"")</f>
        <v/>
      </c>
      <c r="GJ47" s="357" t="str">
        <f>IF(AND($C47=3, $P47="New Construction",NOT($B47="Unrestricted"),NOT($B47="NSP 120"),NOT($B47="N/A-CS"),NOT($N47="Common Space")),$E47,"")</f>
        <v/>
      </c>
      <c r="GK47" s="357" t="str">
        <f>IF(AND($C47=4, $P47="New Construction",NOT($B47="Unrestricted"),NOT($B47="NSP 120"),NOT($B47="N/A-CS"),NOT($N47="Common Space")),$E47,"")</f>
        <v/>
      </c>
      <c r="GL47" s="357" t="str">
        <f>IF(AND($C47="Efficiency", $P47="New Construction",$B47="Unrestricted",NOT($B47="N/A-CS"),NOT($N47="Common Space")),$E47,"")</f>
        <v/>
      </c>
      <c r="GM47" s="357" t="str">
        <f>IF(AND($C47=1, $P47="New Construction",$B47="Unrestricted",NOT($B47="N/A-CS"),NOT($N47="Common Space")),$E47,"")</f>
        <v/>
      </c>
      <c r="GN47" s="357" t="str">
        <f>IF(AND($C47=2, $P47="New Construction",$B47="Unrestricted",NOT($B47="N/A-CS"),NOT($N47="Common Space")),$E47,"")</f>
        <v/>
      </c>
      <c r="GO47" s="357" t="str">
        <f>IF(AND($C47=3, $P47="New Construction",$B47="Unrestricted",NOT($B47="N/A-CS"),NOT($N47="Common Space")),$E47,"")</f>
        <v/>
      </c>
      <c r="GP47" s="357" t="str">
        <f>IF(AND($C47=4, $P47="New Construction",$B47="Unrestricted",NOT($B47="N/A-CS"),NOT($N47="Common Space")),$E47,"")</f>
        <v/>
      </c>
      <c r="GQ47" s="357" t="str">
        <f>IF(AND($C47="Efficiency", $P47="New Construction",$B47="N/A-CS",$N47="Common Space"),$E47,"")</f>
        <v/>
      </c>
      <c r="GR47" s="357" t="str">
        <f>IF(AND($C47=1, $P47="New Construction",$B47="N/A-CS",$N47="Common Space"),$E47,"")</f>
        <v/>
      </c>
      <c r="GS47" s="357" t="str">
        <f>IF(AND($C47=2, $P47="New Construction",$B47="N/A-CS",$N47="Common Space"),$E47,"")</f>
        <v/>
      </c>
      <c r="GT47" s="357" t="str">
        <f>IF(AND($C47=3, $P47="New Construction",$B47="N/A-CS",$N47="Common Space"),$E47,"")</f>
        <v/>
      </c>
      <c r="GU47" s="357" t="str">
        <f>IF(AND($C47=4, $P47="New Construction",$B47="N/A-CS",$N47="Common Space"),$E47,"")</f>
        <v/>
      </c>
      <c r="GV47" s="357" t="str">
        <f>IF(AND($C47="Efficiency", $P47="Acquisition/Rehab",NOT($B47="Unrestricted"),NOT($B47="NSP 120"),NOT($B47="N/A-CS"),NOT($N47="Common Space")),$E47,"")</f>
        <v/>
      </c>
      <c r="GW47" s="357" t="str">
        <f>IF(AND($C47=1, $P47="Acquisition/Rehab",NOT($B47="Unrestricted"),NOT($B47="NSP 120"),NOT($B47="N/A-CS"),NOT($N47="Common Space")),$E47,"")</f>
        <v/>
      </c>
      <c r="GX47" s="357" t="str">
        <f>IF(AND($C47=2, $P47="Acquisition/Rehab",NOT($B47="Unrestricted"),NOT($B47="NSP 120"),NOT($B47="N/A-CS"),NOT($N47="Common Space")),$E47,"")</f>
        <v/>
      </c>
      <c r="GY47" s="357" t="str">
        <f>IF(AND($C47=3, $P47="Acquisition/Rehab",NOT($B47="Unrestricted"),NOT($B47="NSP 120"),NOT($B47="N/A-CS"),NOT($N47="Common Space")),$E47,"")</f>
        <v/>
      </c>
      <c r="GZ47" s="357" t="str">
        <f>IF(AND($C47=4, $P47="Acquisition/Rehab",NOT($B47="Unrestricted"),NOT($B47="NSP 120"),NOT($B47="N/A-CS"),NOT($N47="Common Space")),$E47,"")</f>
        <v/>
      </c>
      <c r="HA47" s="357" t="str">
        <f>IF(AND($C47="Efficiency", $P47="Acquisition/Rehab",$B47="Unrestricted",NOT($B47="N/A-CS"),NOT($N47="Common Space")),$E47,"")</f>
        <v/>
      </c>
      <c r="HB47" s="357" t="str">
        <f>IF(AND($C47=1, $P47="Acquisition/Rehab",$B47="Unrestricted",NOT($B47="N/A-CS"),NOT($N47="Common Space")),$E47,"")</f>
        <v/>
      </c>
      <c r="HC47" s="357" t="str">
        <f>IF(AND($C47=2, $P47="Acquisition/Rehab",$B47="Unrestricted",NOT($B47="N/A-CS"),NOT($N47="Common Space")),$E47,"")</f>
        <v/>
      </c>
      <c r="HD47" s="357" t="str">
        <f>IF(AND($C47=3, $P47="Acquisition/Rehab",$B47="Unrestricted",NOT($B47="N/A-CS"),NOT($N47="Common Space")),$E47,"")</f>
        <v/>
      </c>
      <c r="HE47" s="357" t="str">
        <f>IF(AND($C47=4, $P47="Acquisition/Rehab",$B47="Unrestricted",NOT($B47="N/A-CS"),NOT($N47="Common Space")),$E47,"")</f>
        <v/>
      </c>
      <c r="HF47" s="357" t="str">
        <f>IF(AND($C47="Efficiency", $P47="Acquisition/Rehab",$B47="N/A-CS",$N47="Common Space"),$E47,"")</f>
        <v/>
      </c>
      <c r="HG47" s="357" t="str">
        <f>IF(AND($C47=1, $P47="Acquisition/Rehab",$B47="N/A-CS",$N47="Common Space"),$E47,"")</f>
        <v/>
      </c>
      <c r="HH47" s="357" t="str">
        <f>IF(AND($C47=2, $P47="Acquisition/Rehab",$B47="N/A-CS",$N47="Common Space"),$E47,"")</f>
        <v/>
      </c>
      <c r="HI47" s="357" t="str">
        <f>IF(AND($C47=3, $P47="Acquisition/Rehab",$B47="N/A-CS",$N47="Common Space"),$E47,"")</f>
        <v/>
      </c>
      <c r="HJ47" s="357" t="str">
        <f>IF(AND($C47=4, $P47="Acquisition/Rehab",$B47="N/A-CS",$N47="Common Space"),$E47,"")</f>
        <v/>
      </c>
      <c r="HK47" s="357" t="str">
        <f>IF(AND($C47="Efficiency", $P47="Rehabilitation",NOT($B47="Unrestricted"),NOT($B47="NSP 120"),NOT($B47="N/A-CS"),NOT($N47="Common Space")),$E47,"")</f>
        <v/>
      </c>
      <c r="HL47" s="357" t="str">
        <f>IF(AND($C47=1, $P47="Rehabilitation",NOT($B47="Unrestricted"),NOT($B47="NSP 120"),NOT($B47="N/A-CS"),NOT($N47="Common Space")),$E47,"")</f>
        <v/>
      </c>
      <c r="HM47" s="357" t="str">
        <f>IF(AND($C47=2, $P47="Rehabilitation",NOT($B47="Unrestricted"),NOT($B47="NSP 120"),NOT($B47="N/A-CS"),NOT($N47="Common Space")),$E47,"")</f>
        <v/>
      </c>
      <c r="HN47" s="357" t="str">
        <f>IF(AND($C47=3, $P47="Rehabilitation",NOT($B47="Unrestricted"),NOT($B47="NSP 120"),NOT($B47="N/A-CS"),NOT($N47="Common Space")),$E47,"")</f>
        <v/>
      </c>
      <c r="HO47" s="357" t="str">
        <f>IF(AND($C47=4, $P47="Rehabilitation",NOT($B47="Unrestricted"),NOT($B47="NSP 120"),NOT($B47="N/A-CS"),NOT($N47="Common Space")),$E47,"")</f>
        <v/>
      </c>
      <c r="HP47" s="357" t="str">
        <f>IF(AND($C47="Efficiency", $P47="Rehabilitation",$B47="Unrestricted",NOT($B47="N/A-CS"),NOT($N47="Common Space")),$E47,"")</f>
        <v/>
      </c>
      <c r="HQ47" s="357" t="str">
        <f>IF(AND($C47=1, $P47="Rehabilitation",$B47="Unrestricted",NOT($B47="N/A-CS"),NOT($N47="Common Space")),$E47,"")</f>
        <v/>
      </c>
      <c r="HR47" s="357" t="str">
        <f>IF(AND($C47=2, $P47="Rehabilitation",$B47="Unrestricted",NOT($B47="N/A-CS"),NOT($N47="Common Space")),$E47,"")</f>
        <v/>
      </c>
      <c r="HS47" s="357" t="str">
        <f>IF(AND($C47=3, $P47="Rehabilitation",$B47="Unrestricted",NOT($B47="N/A-CS"),NOT($N47="Common Space")),$E47,"")</f>
        <v/>
      </c>
      <c r="HT47" s="357" t="str">
        <f>IF(AND($C47=4, $P47="Rehabilitation",$B47="Unrestricted",NOT($B47="N/A-CS"),NOT($N47="Common Space")),$E47,"")</f>
        <v/>
      </c>
      <c r="HU47" s="357" t="str">
        <f>IF(AND($C47="Efficiency", $P47="Rehabilitation",$B47="N/A-CS",$N47="Common Space"),$E47,"")</f>
        <v/>
      </c>
      <c r="HV47" s="357" t="str">
        <f>IF(AND($C47=1, $P47="Rehabilitation",$B47="N/A-CS",$N47="Common Space"),$E47,"")</f>
        <v/>
      </c>
      <c r="HW47" s="357" t="str">
        <f>IF(AND($C47=2, $P47="Rehabilitation",$B47="N/A-CS",$N47="Common Space"),$E47,"")</f>
        <v/>
      </c>
      <c r="HX47" s="357" t="str">
        <f>IF(AND($C47=3, $P47="Rehabilitation",$B47="N/A-CS",$N47="Common Space"),$E47,"")</f>
        <v/>
      </c>
      <c r="HY47" s="357" t="str">
        <f>IF(AND($C47=4, $P47="Rehabilitation",$B47="N/A-CS",$N47="Common Space"),$E47,"")</f>
        <v/>
      </c>
      <c r="HZ47" s="1896" t="str">
        <f>IF(AND($C47="Efficiency", NOT(OR($O47="SF Detached",$O47="Mfd Home",$O47="Semi-Detached",$O47="Row House/TH"))),$E47,"")</f>
        <v/>
      </c>
      <c r="IA47" s="1896" t="str">
        <f>IF(AND($C47=1, NOT(OR($O47="SF Detached",$O47="Mfd Home",$O47="Semi-Detached",$O47="Row House/TH"))),$E47,"")</f>
        <v/>
      </c>
      <c r="IB47" s="1896" t="str">
        <f>IF(AND($C47=2, NOT(OR($O47="SF Detached",$O47="Mfd Home",$O47="Semi-Detached",$O47="Row House/TH"))),$E47,"")</f>
        <v/>
      </c>
      <c r="IC47" s="1896" t="str">
        <f>IF(AND($C47=3, NOT(OR($O47="SF Detached",$O47="Mfd Home",$O47="Semi-Detached",$O47="Row House/TH"))),$E47,"")</f>
        <v/>
      </c>
      <c r="ID47" s="1896" t="str">
        <f>IF(AND($C47=4, NOT(OR($O47="SF Detached",$O47="Mfd Home",$O47="Semi-Detached",$O47="Row House/TH"))),$E47,"")</f>
        <v/>
      </c>
      <c r="IE47" s="1896" t="str">
        <f>IF(AND($C47="Efficiency", $O47="SF Detached",NOT($Q47="Yes")),$E47,"")</f>
        <v/>
      </c>
      <c r="IF47" s="1896" t="str">
        <f>IF(AND($C47=1, $O47="SF Detached",NOT($Q47="Yes")),$E47,"")</f>
        <v/>
      </c>
      <c r="IG47" s="1896" t="str">
        <f>IF(AND($C47=2, $O47="SF Detached",NOT($Q47="Yes")),$E47,"")</f>
        <v/>
      </c>
      <c r="IH47" s="1896" t="str">
        <f>IF(AND($C47=3, $O47="SF Detached",NOT($Q47="Yes")),$E47,"")</f>
        <v/>
      </c>
      <c r="II47" s="1896" t="str">
        <f>IF(AND($C47=4, $O47="SF Detached",NOT($Q47="Yes")),$E47,"")</f>
        <v/>
      </c>
      <c r="IJ47" s="1896" t="str">
        <f>IF(AND($C47="Efficiency", $O47="SF Detached",$Q47="Yes"),$E47,"")</f>
        <v/>
      </c>
      <c r="IK47" s="1896" t="str">
        <f>IF(AND($C47=1, $O47="SF Detached",$Q47="Yes"),$E47,"")</f>
        <v/>
      </c>
      <c r="IL47" s="1896" t="str">
        <f>IF(AND($C47=2, $O47="SF Detached",$Q47="Yes"),$E47,"")</f>
        <v/>
      </c>
      <c r="IM47" s="1896" t="str">
        <f>IF(AND($C47=3, $O47="SF Detached",$Q47="Yes"),$E47,"")</f>
        <v/>
      </c>
      <c r="IN47" s="1896" t="str">
        <f>IF(AND($C47=4, $O47="SF Detached",$Q47="Yes"),$E47,"")</f>
        <v/>
      </c>
      <c r="IO47" s="1896" t="str">
        <f>IF(AND($C47="Efficiency", $O47="Mfd Home",NOT($Q47="Yes")),$E47,"")</f>
        <v/>
      </c>
      <c r="IP47" s="1896" t="str">
        <f>IF(AND($C47=1, $O47="Mfd Home",NOT($Q47="Yes")),$E47,"")</f>
        <v/>
      </c>
      <c r="IQ47" s="1896" t="str">
        <f>IF(AND($C47=2, $O47="Mfd Home",NOT($Q47="Yes")),$E47,"")</f>
        <v/>
      </c>
      <c r="IR47" s="1896" t="str">
        <f>IF(AND($C47=3, $O47="Mfd Home",NOT($Q47="Yes")),$E47,"")</f>
        <v/>
      </c>
      <c r="IS47" s="1896" t="str">
        <f>IF(AND($C47=4, $O47="Mfd Home",NOT($Q47="Yes")),$E47,"")</f>
        <v/>
      </c>
      <c r="IT47" s="1896" t="str">
        <f>IF(AND($C47="Efficiency", $O47="Mfd Home",$Q47="Yes"),$E47,"")</f>
        <v/>
      </c>
      <c r="IU47" s="1896" t="str">
        <f>IF(AND($C47=1, $O47="Mfd Home",$Q47="Yes"),$E47,"")</f>
        <v/>
      </c>
      <c r="IV47" s="1896" t="str">
        <f>IF(AND($C47=2, $O47="Mfd Home",$Q47="Yes"),$E47,"")</f>
        <v/>
      </c>
      <c r="IW47" s="1896" t="str">
        <f>IF(AND($C47=3, $O47="Mfd Home",$Q47="Yes"),$E47,"")</f>
        <v/>
      </c>
      <c r="IX47" s="1896" t="str">
        <f>IF(AND($C47=4, $O47="Mfd Home",$Q47="Yes"),$E47,"")</f>
        <v/>
      </c>
      <c r="IY47" s="1896" t="str">
        <f>IF(AND($C47="Efficiency", $O47="Semi-Detached",NOT($Q47="Yes")),$E47,"")</f>
        <v/>
      </c>
      <c r="IZ47" s="1896" t="str">
        <f>IF(AND($C47=1, $O47="Semi-Detached",NOT($Q47="Yes")),$E47,"")</f>
        <v/>
      </c>
      <c r="JA47" s="1896" t="str">
        <f>IF(AND($C47=2, $O47="Semi-Detached",NOT($Q47="Yes")),$E47,"")</f>
        <v/>
      </c>
      <c r="JB47" s="1896" t="str">
        <f>IF(AND($C47=3, $O47="Semi-Detached",NOT($Q47="Yes")),$E47,"")</f>
        <v/>
      </c>
      <c r="JC47" s="1896" t="str">
        <f>IF(AND($C47=4, $O47="Semi-Detached",NOT($Q47="Yes")),$E47,"")</f>
        <v/>
      </c>
      <c r="JD47" s="1896" t="str">
        <f>IF(AND($C47="Efficiency", $O47="Semi-Detached",$Q47="Yes"),$E47,"")</f>
        <v/>
      </c>
      <c r="JE47" s="1896" t="str">
        <f>IF(AND($C47=1, $O47="Semi-Detached",$Q47="Yes"),$E47,"")</f>
        <v/>
      </c>
      <c r="JF47" s="1896" t="str">
        <f>IF(AND($C47=2, $O47="Semi-Detached",$Q47="Yes"),$E47,"")</f>
        <v/>
      </c>
      <c r="JG47" s="1896" t="str">
        <f>IF(AND($C47=3, $O47="Semi-Detached",$Q47="Yes"),$E47,"")</f>
        <v/>
      </c>
      <c r="JH47" s="1896" t="str">
        <f>IF(AND($C47=4, $O47="Semi-Detached",$Q47="Yes"),$E47,"")</f>
        <v/>
      </c>
      <c r="JI47" s="1896" t="str">
        <f>IF(AND($C47="Efficiency", $O47="Row House/TH",NOT($Q47="Yes")),$E47,"")</f>
        <v/>
      </c>
      <c r="JJ47" s="1896" t="str">
        <f>IF(AND($C47=1, $O47="Row House/TH",NOT($Q47="Yes")),$E47,"")</f>
        <v/>
      </c>
      <c r="JK47" s="1896" t="str">
        <f>IF(AND($C47=2, $O47="Row House/TH",NOT($Q47="Yes")),$E47,"")</f>
        <v/>
      </c>
      <c r="JL47" s="1896" t="str">
        <f>IF(AND($C47=3, $O47="Row House/TH",NOT($Q47="Yes")),$E47,"")</f>
        <v/>
      </c>
      <c r="JM47" s="1896" t="str">
        <f>IF(AND($C47=4, $O47="Row House/TH",NOT($Q47="Yes")),$E47,"")</f>
        <v/>
      </c>
      <c r="JN47" s="1896" t="str">
        <f>IF(AND($C47="Efficiency", $O47="Row House/TH",$Q47="Yes"),$E47,"")</f>
        <v/>
      </c>
      <c r="JO47" s="1896" t="str">
        <f>IF(AND($C47=1, $O47="Row House/TH",$Q47="Yes"),$E47,"")</f>
        <v/>
      </c>
      <c r="JP47" s="1896" t="str">
        <f>IF(AND($C47=2, $O47="Row House/TH",$Q47="Yes"),$E47,"")</f>
        <v/>
      </c>
      <c r="JQ47" s="1896" t="str">
        <f>IF(AND($C47=3, $O47="Row House/TH",$Q47="Yes"),$E47,"")</f>
        <v/>
      </c>
      <c r="JR47" s="1896" t="str">
        <f>IF(AND($C47=4, $O47="Row House/TH",$Q47="Yes"),$E47,"")</f>
        <v/>
      </c>
      <c r="JS47" s="1896" t="str">
        <f>IF(AND($C47="Efficiency", $O47="Low-Rise Apt",NOT($Q47="Yes")),$E47,"")</f>
        <v/>
      </c>
      <c r="JT47" s="1896" t="str">
        <f>IF(AND($C47=1, $O47="Low-Rise Apt",NOT($Q47="Yes")),$E47,"")</f>
        <v/>
      </c>
      <c r="JU47" s="1896" t="str">
        <f>IF(AND($C47=2, $O47="Low-Rise Apt",NOT($Q47="Yes")),$E47,"")</f>
        <v/>
      </c>
      <c r="JV47" s="1896" t="str">
        <f>IF(AND($C47=3, $O47="Low-Rise Apt",NOT($Q47="Yes")),$E47,"")</f>
        <v/>
      </c>
      <c r="JW47" s="1896" t="str">
        <f>IF(AND($C47=4, $O47="Low-Rise Apt",NOT($Q47="Yes")),$E47,"")</f>
        <v/>
      </c>
      <c r="JX47" s="1896" t="str">
        <f>IF(AND($C47="Efficiency", $O47="Low-Rise Elevator",NOT($Q47="Yes")),$E47,"")</f>
        <v/>
      </c>
      <c r="JY47" s="1896" t="str">
        <f>IF(AND($C47=1, $O47="Low-Rise Elevator",NOT($Q47="Yes")),$E47,"")</f>
        <v/>
      </c>
      <c r="JZ47" s="1896" t="str">
        <f>IF(AND($C47=2, $O47="Low-Rise Elevator",NOT($Q47="Yes")),$E47,"")</f>
        <v/>
      </c>
      <c r="KA47" s="1896" t="str">
        <f>IF(AND($C47=3, $O47="Low-Rise Elevator",NOT($Q47="Yes")),$E47,"")</f>
        <v/>
      </c>
      <c r="KB47" s="1896" t="str">
        <f>IF(AND($C47=4, $O47="Low-Rise Elevator",NOT($Q47="Yes")),$E47,"")</f>
        <v/>
      </c>
      <c r="KC47" s="1896" t="str">
        <f>IF(AND($C47="Efficiency", $O47="Low-Rise Apt",$Q47="Yes"),$E47,"")</f>
        <v/>
      </c>
      <c r="KD47" s="1896" t="str">
        <f>IF(AND($C47=1, $O47="Low-Rise Apt",$Q47="Yes"),$E47,"")</f>
        <v/>
      </c>
      <c r="KE47" s="1896" t="str">
        <f>IF(AND($C47=2, $O47="Low-Rise Apt",$Q47="Yes"),$E47,"")</f>
        <v/>
      </c>
      <c r="KF47" s="1896" t="str">
        <f>IF(AND($C47=3, $O47="Low-Rise Apt",$Q47="Yes"),$E47,"")</f>
        <v/>
      </c>
      <c r="KG47" s="1896" t="str">
        <f>IF(AND($C47=4, $O47="Low-Rise Apt",$Q47="Yes"),$E47,"")</f>
        <v/>
      </c>
      <c r="KH47" s="1896" t="str">
        <f>IF(AND($C47="Efficiency", $O47="Low-Rise Elevator",$Q47="Yes"),$E47,"")</f>
        <v/>
      </c>
      <c r="KI47" s="1896" t="str">
        <f>IF(AND($C47=1, $O47="Low-Rise Elevator",$Q47="Yes"),$E47,"")</f>
        <v/>
      </c>
      <c r="KJ47" s="1896" t="str">
        <f>IF(AND($C47=2, $O47="Low-Rise Elevator",$Q47="Yes"),$E47,"")</f>
        <v/>
      </c>
      <c r="KK47" s="1896" t="str">
        <f>IF(AND($C47=3, $O47="Low-Rise Elevator",$Q47="Yes"),$E47,"")</f>
        <v/>
      </c>
      <c r="KL47" s="1896" t="str">
        <f>IF(AND($C47=4, $O47="Low-Rise Elevator",$Q47="Yes"),$E47,"")</f>
        <v/>
      </c>
      <c r="KM47" s="1896" t="str">
        <f>IF(AND($C47="Efficiency", $O47="High-Rise Apt",NOT($Q47="Yes")),$E47,"")</f>
        <v/>
      </c>
      <c r="KN47" s="1896" t="str">
        <f>IF(AND($C47=1, $O47="High-Rise Apt",NOT($Q47="Yes")),$E47,"")</f>
        <v/>
      </c>
      <c r="KO47" s="1896" t="str">
        <f>IF(AND($C47=2, $O47="High-Rise Apt",NOT($Q47="Yes")),$E47,"")</f>
        <v/>
      </c>
      <c r="KP47" s="1896" t="str">
        <f>IF(AND($C47=3, $O47="High-Rise Apt",NOT($Q47="Yes")),$E47,"")</f>
        <v/>
      </c>
      <c r="KQ47" s="1896" t="str">
        <f>IF(AND($C47=4, $O47="High-Rise Apt",NOT($Q47="Yes")),$E47,"")</f>
        <v/>
      </c>
      <c r="KR47" s="1896" t="str">
        <f>IF(AND($C47="Efficiency", $O47="High-Rise Elevator",NOT($Q47="Yes")),$E47,"")</f>
        <v/>
      </c>
      <c r="KS47" s="1896" t="str">
        <f>IF(AND($C47=1, $O47="High-Rise Elevator",NOT($Q47="Yes")),$E47,"")</f>
        <v/>
      </c>
      <c r="KT47" s="1896" t="str">
        <f>IF(AND($C47=2, $O47="High-Rise Elevator",NOT($Q47="Yes")),$E47,"")</f>
        <v/>
      </c>
      <c r="KU47" s="1896" t="str">
        <f>IF(AND($C47=3, $O47="High-Rise Elevator",NOT($Q47="Yes")),$E47,"")</f>
        <v/>
      </c>
      <c r="KV47" s="1896" t="str">
        <f>IF(AND($C47=4, $O47="High-Rise Elevator",NOT($Q47="Yes")),$E47,"")</f>
        <v/>
      </c>
      <c r="KW47" s="1896" t="str">
        <f>IF(AND($C47="Efficiency", $O47="High-Rise Apt",$Q47="Yes"),$E47,"")</f>
        <v/>
      </c>
      <c r="KX47" s="1896" t="str">
        <f>IF(AND($C47=1, $O47="High-Rise Apt",$Q47="Yes"),$E47,"")</f>
        <v/>
      </c>
      <c r="KY47" s="1896" t="str">
        <f>IF(AND($C47=2, $O47="High-Rise Apt",$Q47="Yes"),$E47,"")</f>
        <v/>
      </c>
      <c r="KZ47" s="1896" t="str">
        <f>IF(AND($C47=3, $O47="High-Rise Apt",$Q47="Yes"),$E47,"")</f>
        <v/>
      </c>
      <c r="LA47" s="1896" t="str">
        <f>IF(AND($C47=4, $O47="High-Rise Apt",$Q47="Yes"),$E47,"")</f>
        <v/>
      </c>
      <c r="LB47" s="1896" t="str">
        <f>IF(AND($C47="Efficiency", $O47="High-Rise Elevator",$Q47="Yes"),$E47,"")</f>
        <v/>
      </c>
      <c r="LC47" s="1896" t="str">
        <f>IF(AND($C47=1, $O47="High-Rise Elevator",$Q47="Yes"),$E47,"")</f>
        <v/>
      </c>
      <c r="LD47" s="1896" t="str">
        <f>IF(AND($C47=2, $O47="High-Rise Elevator",$Q47="Yes"),$E47,"")</f>
        <v/>
      </c>
      <c r="LE47" s="1896" t="str">
        <f>IF(AND($C47=3, $O47="High-Rise Elevator",$Q47="Yes"),$E47,"")</f>
        <v/>
      </c>
      <c r="LF47" s="1896" t="str">
        <f>IF(AND($C47=4, $O47="High-Rise Elevator",$Q47="Yes"),$E47,"")</f>
        <v/>
      </c>
      <c r="LG47" s="1885" t="str">
        <f>IF(AND($B47="NSP 120% AMI",$C47="Efficiency", NOT($N47="Common Space")),$E47,"")</f>
        <v/>
      </c>
      <c r="LH47" s="1885" t="str">
        <f>IF(AND($B47="NSP 120% AMI",$C47=1,NOT($N47="Common Space")),$E47,"")</f>
        <v/>
      </c>
      <c r="LI47" s="1885" t="str">
        <f>IF(AND($B47="NSP 120% AMI",$C47=2,NOT($N47="Common Space")),$E47,"")</f>
        <v/>
      </c>
      <c r="LJ47" s="1885" t="str">
        <f>IF(AND($B47="NSP 120% AMI",$C47=3,NOT($N47="Common Space")),$E47,"")</f>
        <v/>
      </c>
      <c r="LK47" s="1885" t="str">
        <f>IF(AND($B47="NSP 120% AMI",$C47=4,NOT($N47="Common Space")),$E47,"")</f>
        <v/>
      </c>
      <c r="LL47" s="357" t="str">
        <f>IF(AND(C47="Efficiency",B47="NSP 120% AMI",NOT(N47="Common Space")),E47*F47,"")</f>
        <v/>
      </c>
      <c r="LM47" s="357" t="str">
        <f>IF(AND(C47=1,B47="NSP 120% AMI",NOT(N47="Common Space")),E47*F47,"")</f>
        <v/>
      </c>
      <c r="LN47" s="357" t="str">
        <f>IF(AND(C47=2,B47="NSP 120% AMI",NOT(N47="Common Space")),E47*F47,"")</f>
        <v/>
      </c>
      <c r="LO47" s="357" t="str">
        <f>IF(AND(C47=3,B47="NSP 120% AMI",NOT(N47="Common Space")),E47*F47,"")</f>
        <v/>
      </c>
      <c r="LP47" s="357" t="str">
        <f>IF(AND(C47=4,B47="NSP 120% AMI",NOT(N47="Common Space")),E47*F47,"")</f>
        <v/>
      </c>
      <c r="LQ47" s="357" t="str">
        <f>IF(AND($C47="Efficiency", $P47="New Construction",$B47="NSP 120% AMI",NOT($N47="Common Space")),$E47,"")</f>
        <v/>
      </c>
      <c r="LR47" s="357" t="str">
        <f>IF(AND($C47=1, $P47="New Construction",$B47="NSP 120% AMI",NOT($N47="Common Space")),$E47,"")</f>
        <v/>
      </c>
      <c r="LS47" s="357" t="str">
        <f>IF(AND($C47=2, $P47="New Construction",$B47="NSP 120% AMI",NOT($N47="Common Space")),$E47,"")</f>
        <v/>
      </c>
      <c r="LT47" s="357" t="str">
        <f>IF(AND($C47=3, $P47="New Construction",$B47="NSP 120% AMI",NOT($N47="Common Space")),$E47,"")</f>
        <v/>
      </c>
      <c r="LU47" s="357" t="str">
        <f>IF(AND($C47=4, $P47="New Construction",$B47="NSP 120% AMI",NOT($N47="Common Space")),$E47,"")</f>
        <v/>
      </c>
      <c r="LV47" s="357" t="str">
        <f>IF(AND($C47="Efficiency", $P47="Acquisition/Rehab",$B47="NSP 120% AMI",NOT($N47="Common Space")),$E47,"")</f>
        <v/>
      </c>
      <c r="LW47" s="357" t="str">
        <f>IF(AND($C47=1, $P47="Acquisition/Rehab",$B47="NSP 120% AMI",NOT($N47="Common Space")),$E47,"")</f>
        <v/>
      </c>
      <c r="LX47" s="357" t="str">
        <f>IF(AND($C47=2, $P47="Acquisition/Rehab",$B47="NSP 120% AMI",NOT($N47="Common Space")),$E47,"")</f>
        <v/>
      </c>
      <c r="LY47" s="357" t="str">
        <f>IF(AND($C47=3, $P47="Acquisition/Rehab",$B47="NSP 120% AMI",NOT($N47="Common Space")),$E47,"")</f>
        <v/>
      </c>
      <c r="LZ47" s="357" t="str">
        <f>IF(AND($C47=4, $P47="Acquisition/Rehab",$B47="NSP 120% AMI",NOT($N47="Common Space")),$E47,"")</f>
        <v/>
      </c>
      <c r="MA47" s="357" t="str">
        <f>IF(AND($C47="Efficiency", $P47="Rehabilitation",$B47="NSP 120% AMI",NOT($N47="Common Space")),$E47,"")</f>
        <v/>
      </c>
      <c r="MB47" s="357" t="str">
        <f>IF(AND($C47=1, $P47="Rehabilitation",$B47="NSP 120% AMI",NOT($N47="Common Space")),$E47,"")</f>
        <v/>
      </c>
      <c r="MC47" s="357" t="str">
        <f>IF(AND($C47=2, $P47="Rehabilitation",$B47="NSP 120% AMI",NOT($N47="Common Space")),$E47,"")</f>
        <v/>
      </c>
      <c r="MD47" s="357" t="str">
        <f>IF(AND($C47=3, $P47="Rehabilitation",$B47="NSP 120% AMI",NOT($N47="Common Space")),$E47,"")</f>
        <v/>
      </c>
      <c r="ME47" s="357" t="str">
        <f>IF(AND($C47=4, $P47="Rehabilitation",$B47="NSP 120% AMI",NOT($N47="Common Space")),$E47,"")</f>
        <v/>
      </c>
      <c r="MF47" s="1748">
        <f>IF(AND($C47="Efficiency",$E47&gt;0,OR($O47="Low-Rise Apt",$O47="Low-Rise Elevator",$O47="High-Rise Apt",$O47="High-Rise Elevator",$O47="Row House/TH"),OR($P47="Acquisition/Rehab",$P47="Rehabilitation"),NOT($Q47="Yes")),$E47,0)</f>
        <v>0</v>
      </c>
      <c r="MG47" s="1748">
        <f>IF(AND($C47=1,$E47&gt;0,OR($O47="Low-Rise Apt",$O47="Low-Rise Elevator",$O47="High-Rise Apt",$O47="High-Rise Elevator",$O47="Row House/TH"),OR($P47="Acquisition/Rehab",$P47="Rehabilitation"),NOT($Q47="Yes")),$E47,0)</f>
        <v>0</v>
      </c>
      <c r="MH47" s="1748">
        <f>IF(AND($C47=2,$E47&gt;0,OR($O47="Low-Rise Apt",$O47="Low-Rise Elevator",$O47="High-Rise Apt",$O47="High-Rise Elevator",$O47="Row House/TH"),OR($P47="Acquisition/Rehab",$P47="Rehabilitation"),NOT($Q47="Yes")),$E47,0)</f>
        <v>0</v>
      </c>
      <c r="MI47" s="1748">
        <f>IF(AND($C47=3,$E47&gt;0,OR($O47="Low-Rise Apt",$O47="Low-Rise Elevator",$O47="High-Rise Apt",$O47="High-Rise Elevator",$O47="Row House/TH"),OR($P47="Acquisition/Rehab",$P47="Rehabilitation"),NOT($Q47="Yes")),$E47,0)</f>
        <v>0</v>
      </c>
      <c r="MJ47" s="1748">
        <f>IF(AND($C47=4,$E47&gt;0,OR($O47="Low-Rise Apt",$O47="Low-Rise Elevator",$O47="High-Rise Apt",$O47="High-Rise Elevator",$O47="Row House/TH"),OR($P47="Acquisition/Rehab",$P47="Rehabilitation"),NOT($Q47="Yes")),$E47,0)</f>
        <v>0</v>
      </c>
      <c r="MK47" s="1748">
        <f>IF(AND($C47="Efficiency",$E47&gt;0,OR($O47="Low-Rise Apt",$O47="Low-Rise Elevator",$O47="High-Rise Apt",$O47="High-Rise Elevator",$O47="Row House/TH"),$P47="New Construction"),$E47,0)</f>
        <v>0</v>
      </c>
      <c r="ML47" s="1748">
        <f>IF(AND($C47=1,$E47&gt;0,OR($O47="Low-Rise Apt",$O47="Low-Rise Elevator",$O47="High-Rise Apt",$O47="High-Rise Elevator",$O47="Row House/TH"),$P47="New Construction"),$E47,0)</f>
        <v>0</v>
      </c>
      <c r="MM47" s="1748">
        <f>IF(AND($C47=2,$E47&gt;0,OR($O47="Low-Rise Apt",$O47="Low-Rise Elevator",$O47="High-Rise Apt",$O47="High-Rise Elevator",$O47="Row House/TH"),$P47="New Construction"),$E47,0)</f>
        <v>0</v>
      </c>
      <c r="MN47" s="1748">
        <f>IF(AND($C47=3,$E47&gt;0,OR($O47="Low-Rise Apt",$O47="Low-Rise Elevator",$O47="High-Rise Apt",$O47="High-Rise Elevator",$O47="Row House/TH"),$P47="New Construction"),$E47,0)</f>
        <v>0</v>
      </c>
      <c r="MO47" s="1748">
        <f>IF(AND($C47=4,$E47&gt;0,OR($O47="Low-Rise Apt",$O47="Low-Rise Elevator",$O47="High-Rise Apt",$O47="High-Rise Elevator",$O47="Row House/TH"),$P47="New Construction"),$E47,0)</f>
        <v>0</v>
      </c>
      <c r="MP47" s="1748">
        <f>IF(AND($C47="Efficiency",$E47&gt;0,OR($O47="SF Detached",$O47="Semi-Detached",$O47="Mfd Home"),NOT($Q47="Yes")),$E47,0)</f>
        <v>0</v>
      </c>
      <c r="MQ47" s="1748">
        <f>IF(AND($C47=1,$E47&gt;0,OR($O47="SF Detached",$O47="Semi-Detached",$O47="Mfd Home"),NOT($Q47="Yes")),$E47,0)</f>
        <v>0</v>
      </c>
      <c r="MR47" s="1748">
        <f>IF(AND($C47=2,$E47&gt;0,OR($O47="SF Detached",$O47="Semi-Detached",$O47="Mfd Home"),NOT($Q47="Yes")),$E47,0)</f>
        <v>0</v>
      </c>
      <c r="MS47" s="1748">
        <f>IF(AND($C47=3,$E47&gt;0,OR($O47="SF Detached",$O47="Semi-Detached",$O47="Mfd Home"),NOT($Q47="Yes")),$E47,0)</f>
        <v>0</v>
      </c>
      <c r="MT47" s="1748">
        <f>IF(AND($C47=4,$E47&gt;0,OR($O47="SF Detached",$O47="Semi-Detached",$O47="Mfd Home"),NOT($Q47="Yes")),$E47,0)</f>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0</v>
      </c>
      <c r="B49" s="3605" t="s">
        <v>3767</v>
      </c>
      <c r="C49" s="3606"/>
      <c r="D49" s="107" t="s">
        <v>954</v>
      </c>
      <c r="E49" s="1113">
        <f>SUM(E11:E48)</f>
        <v>56</v>
      </c>
      <c r="F49" s="1111">
        <f>(E11*F11+E12*F12+E13*F13+E14*F14+E15*F15+E16*F16+E17*F17+E18*F18+E19*F19+E20*F20+E21*F21+E22*F22+E23*F23+E24*F24+E25*F25+E26*F26+E27*F27+E28*F28+E29*F29+E30*F30+E31*F31+E32*F32+E33*F33+E34*F34+E35*F35+E36*F36+E37*F37+E38*F38+E39*F39+E40*F40+E41*F41+E42*F42+E43*F43+E44*F44+E45*F45+E46*F46+E47*F47+E48*F48)</f>
        <v>44172</v>
      </c>
      <c r="H49" s="3579" t="s">
        <v>3764</v>
      </c>
      <c r="I49" s="1114" t="s">
        <v>3765</v>
      </c>
      <c r="J49" s="1115" t="str">
        <f>IF(P67=0,"",IF(SUM(P58:P62)/P67&gt;=0.4,"Pass","Fail"))</f>
        <v>Pass</v>
      </c>
      <c r="K49" s="448"/>
      <c r="L49" s="699" t="s">
        <v>1225</v>
      </c>
      <c r="M49" s="94">
        <f>SUM(M11:M48)</f>
        <v>50165</v>
      </c>
      <c r="N49" s="72"/>
      <c r="O49" s="72"/>
      <c r="P49" s="72"/>
      <c r="Q49" s="72"/>
      <c r="R49" s="72"/>
      <c r="S49" s="72"/>
      <c r="T49" s="72"/>
      <c r="U49" s="72"/>
      <c r="V49" s="686"/>
      <c r="W49" s="449"/>
      <c r="X49" s="1749">
        <f t="shared" ref="X49:FA49" si="338">SUM(X11:X48)</f>
        <v>0</v>
      </c>
      <c r="Y49" s="1749">
        <f t="shared" si="338"/>
        <v>3</v>
      </c>
      <c r="Z49" s="1749">
        <f t="shared" si="338"/>
        <v>3</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16</v>
      </c>
      <c r="AJ49" s="1749">
        <f t="shared" si="339"/>
        <v>16</v>
      </c>
      <c r="AK49" s="1749">
        <f t="shared" si="339"/>
        <v>0</v>
      </c>
      <c r="AL49" s="1749">
        <f t="shared" si="339"/>
        <v>0</v>
      </c>
      <c r="AM49" s="1749">
        <f>SUM(AM11:AM48)</f>
        <v>0</v>
      </c>
      <c r="AN49" s="1749">
        <f>SUM(AN11:AN48)</f>
        <v>7</v>
      </c>
      <c r="AO49" s="1749">
        <f>SUM(AO11:AO48)</f>
        <v>4</v>
      </c>
      <c r="AP49" s="1749">
        <f>SUM(AP11:AP48)</f>
        <v>0</v>
      </c>
      <c r="AQ49" s="1749">
        <f>SUM(AQ11:AQ48)</f>
        <v>0</v>
      </c>
      <c r="AR49" s="1749">
        <f t="shared" si="338"/>
        <v>0</v>
      </c>
      <c r="AS49" s="1749">
        <f t="shared" si="338"/>
        <v>4</v>
      </c>
      <c r="AT49" s="1749">
        <f t="shared" si="338"/>
        <v>3</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2020</v>
      </c>
      <c r="EK49" s="1749">
        <f t="shared" si="338"/>
        <v>2784</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10782</v>
      </c>
      <c r="EU49" s="1749">
        <f t="shared" si="342"/>
        <v>14692</v>
      </c>
      <c r="EV49" s="1749">
        <f t="shared" si="342"/>
        <v>0</v>
      </c>
      <c r="EW49" s="1749">
        <f t="shared" si="342"/>
        <v>0</v>
      </c>
      <c r="EX49" s="1749">
        <f t="shared" si="338"/>
        <v>0</v>
      </c>
      <c r="EY49" s="1749">
        <f t="shared" si="338"/>
        <v>4716</v>
      </c>
      <c r="EZ49" s="1749">
        <f t="shared" si="338"/>
        <v>3700</v>
      </c>
      <c r="FA49" s="1749">
        <f t="shared" si="338"/>
        <v>0</v>
      </c>
      <c r="FB49" s="1749">
        <f t="shared" ref="FB49:HW49" si="343">SUM(FB11:FB48)</f>
        <v>0</v>
      </c>
      <c r="FC49" s="1749">
        <f>SUM(FC11:FC48)</f>
        <v>0</v>
      </c>
      <c r="FD49" s="1749">
        <f>SUM(FD11:FD48)</f>
        <v>2694</v>
      </c>
      <c r="FE49" s="1749">
        <f>SUM(FE11:FE48)</f>
        <v>2784</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30</v>
      </c>
      <c r="GI49" s="1749">
        <f t="shared" si="343"/>
        <v>26</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26</v>
      </c>
      <c r="IB49" s="1749">
        <f t="shared" si="344"/>
        <v>22</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4</v>
      </c>
      <c r="JK49" s="1749">
        <f t="shared" si="344"/>
        <v>4</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26</v>
      </c>
      <c r="JU49" s="1749">
        <f t="shared" si="344"/>
        <v>22</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30</v>
      </c>
      <c r="MM49" s="1749">
        <f t="shared" si="346"/>
        <v>26</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577">
        <f>IF(SUM(E18:E48)=0,"",(B18*E18+B19*E19+B20*E20+B21*E21+B22*E22+B23*E23+B24*E24+B25*E25+B26*E26+B27*E27+B28*E28+B29*E29+B30*E30+B31*E31+B32*E32+B33*E33+B34*E34+B35*E35+B36*E36+B37*E37+B38*E38+B39*E39+B40*E40+B41*E41+B42*E42+B43*E43+B44*E44+B45*E45+B46*E46+B47*E47+B48*E48)/SUM(E18:E48))</f>
        <v>57.678571428571431</v>
      </c>
      <c r="C50" s="3578"/>
      <c r="D50" s="119" t="s">
        <v>3674</v>
      </c>
      <c r="E50" s="1110">
        <f>SUM(E18:E48)</f>
        <v>56</v>
      </c>
      <c r="F50" s="1112">
        <f>(E18*F18+E19*F19+E20*F20+E21*F21+E22*F22+E23*F23+E24*F24+E25*F25+E26*F26+E27*F27+E28*F28+E29*F29+E30*F30+E31*F31+E32*F32+E33*F33+E34*F34+E35*F35+E36*F36+E37*F37+E38*F38+E39*F39+E40*F40+E41*F41+E42*F42+E43*F43+E44*F44+E45*F45+E46*F46+E47*F47+E48*F48)</f>
        <v>44172</v>
      </c>
      <c r="H50" s="3580"/>
      <c r="I50" s="1116" t="s">
        <v>3766</v>
      </c>
      <c r="J50" s="1117" t="str">
        <f>IF(P67=0,"",IF(SUM(P59:P62)/P67&gt;=0.2,"Pass","Fail"))</f>
        <v>Pass</v>
      </c>
      <c r="K50" s="448"/>
      <c r="L50" s="107" t="s">
        <v>757</v>
      </c>
      <c r="M50" s="94">
        <f>M49*12</f>
        <v>601980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576" t="s">
        <v>2407</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566" t="s">
        <v>7049</v>
      </c>
      <c r="P53" s="3567"/>
      <c r="S53" s="3594" t="str">
        <f>B53</f>
        <v>UNIT SUMMARY</v>
      </c>
      <c r="T53" s="3594"/>
      <c r="U53" s="3594"/>
      <c r="V53" s="3594"/>
      <c r="AY53" s="359"/>
      <c r="BD53" s="359"/>
      <c r="LO53" s="361"/>
      <c r="MD53" s="357"/>
    </row>
    <row r="54" spans="1:381" ht="14.25" customHeight="1">
      <c r="A54" s="10"/>
      <c r="B54" s="10"/>
      <c r="K54" s="144" t="s">
        <v>6642</v>
      </c>
      <c r="O54" s="3564" t="s">
        <v>7050</v>
      </c>
      <c r="P54" s="3565"/>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1710</v>
      </c>
      <c r="T55" s="10"/>
      <c r="U55" s="368"/>
      <c r="AR55" s="1897"/>
      <c r="AS55" s="1897"/>
      <c r="AT55" s="1897"/>
      <c r="AU55" s="1897"/>
      <c r="AV55" s="1897"/>
      <c r="AW55" s="1897"/>
      <c r="AY55" s="359"/>
      <c r="BB55" s="1897"/>
      <c r="BD55" s="359"/>
      <c r="LO55" s="361"/>
      <c r="MD55" s="357"/>
    </row>
    <row r="56" spans="1:381" ht="15" customHeight="1">
      <c r="A56" s="3658" t="s">
        <v>4074</v>
      </c>
      <c r="B56" s="3658"/>
      <c r="C56" s="72" t="s">
        <v>1069</v>
      </c>
      <c r="D56" s="1"/>
      <c r="E56" s="1"/>
      <c r="F56" s="1"/>
      <c r="G56" s="62"/>
      <c r="H56" s="81" t="s">
        <v>3675</v>
      </c>
      <c r="I56" s="29"/>
      <c r="J56" s="62"/>
      <c r="K56" s="1124">
        <f>X49</f>
        <v>0</v>
      </c>
      <c r="L56" s="1125">
        <f>Y49</f>
        <v>3</v>
      </c>
      <c r="M56" s="1125">
        <f>Z49</f>
        <v>3</v>
      </c>
      <c r="N56" s="1125">
        <f>AA49</f>
        <v>0</v>
      </c>
      <c r="O56" s="1126">
        <f>AB49</f>
        <v>0</v>
      </c>
      <c r="P56" s="749">
        <f t="shared" ref="P56:P67" si="347">SUM(K56:O56)</f>
        <v>6</v>
      </c>
      <c r="Q56" s="3574" t="s">
        <v>3183</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3676</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16</v>
      </c>
      <c r="M58" s="1128">
        <f>AJ49</f>
        <v>16</v>
      </c>
      <c r="N58" s="1128">
        <f>AK49</f>
        <v>0</v>
      </c>
      <c r="O58" s="1129">
        <f>AL49</f>
        <v>0</v>
      </c>
      <c r="P58" s="745">
        <f t="shared" si="347"/>
        <v>32</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7</v>
      </c>
      <c r="M59" s="1149">
        <f>AO49</f>
        <v>4</v>
      </c>
      <c r="N59" s="1149">
        <f>AP49</f>
        <v>0</v>
      </c>
      <c r="O59" s="1150">
        <f>AQ49</f>
        <v>0</v>
      </c>
      <c r="P59" s="466">
        <f t="shared" si="347"/>
        <v>11</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3677</v>
      </c>
      <c r="I60" s="29"/>
      <c r="J60" s="912"/>
      <c r="K60" s="1127">
        <f>AR49</f>
        <v>0</v>
      </c>
      <c r="L60" s="1128">
        <f>AS49</f>
        <v>4</v>
      </c>
      <c r="M60" s="1128">
        <f>AT49</f>
        <v>3</v>
      </c>
      <c r="N60" s="1128">
        <f>AU49</f>
        <v>0</v>
      </c>
      <c r="O60" s="1129">
        <f>AV49</f>
        <v>0</v>
      </c>
      <c r="P60" s="745">
        <f t="shared" si="347"/>
        <v>7</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3678</v>
      </c>
      <c r="I61" s="29"/>
      <c r="J61" s="62"/>
      <c r="K61" s="1127">
        <f>AW49</f>
        <v>0</v>
      </c>
      <c r="L61" s="1128">
        <f>AX49</f>
        <v>0</v>
      </c>
      <c r="M61" s="1128">
        <f>AY49</f>
        <v>0</v>
      </c>
      <c r="N61" s="1128">
        <f>AZ49</f>
        <v>0</v>
      </c>
      <c r="O61" s="1129">
        <f>BA49</f>
        <v>0</v>
      </c>
      <c r="P61" s="745">
        <f t="shared" si="347"/>
        <v>0</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3679</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3761</v>
      </c>
      <c r="D63" s="1"/>
      <c r="E63" s="1"/>
      <c r="F63" s="1"/>
      <c r="G63" s="62"/>
      <c r="H63" s="68"/>
      <c r="I63" s="44"/>
      <c r="J63" s="62"/>
      <c r="K63" s="1092">
        <f>SUM(K56:K62)</f>
        <v>0</v>
      </c>
      <c r="L63" s="1092">
        <f>SUM(L56:L62)</f>
        <v>30</v>
      </c>
      <c r="M63" s="1092">
        <f>SUM(M56:M62)</f>
        <v>26</v>
      </c>
      <c r="N63" s="1092">
        <f>SUM(N56:N62)</f>
        <v>0</v>
      </c>
      <c r="O63" s="1092">
        <f>SUM(O56:O62)</f>
        <v>0</v>
      </c>
      <c r="P63" s="1092">
        <f t="shared" si="347"/>
        <v>56</v>
      </c>
      <c r="Q63" s="3575"/>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0</v>
      </c>
      <c r="M64" s="746">
        <f>BI49</f>
        <v>0</v>
      </c>
      <c r="N64" s="746">
        <f>BJ49</f>
        <v>0</v>
      </c>
      <c r="O64" s="746">
        <f>BK49</f>
        <v>0</v>
      </c>
      <c r="P64" s="746">
        <f t="shared" si="347"/>
        <v>0</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9"/>
      <c r="I65" s="42"/>
      <c r="J65" s="1098"/>
      <c r="K65" s="1099">
        <f>SUM(K63:K64)</f>
        <v>0</v>
      </c>
      <c r="L65" s="1099">
        <f>SUM(L63:L64)</f>
        <v>30</v>
      </c>
      <c r="M65" s="1099">
        <f>SUM(M63:M64)</f>
        <v>26</v>
      </c>
      <c r="N65" s="1099">
        <f>SUM(N63:N64)</f>
        <v>0</v>
      </c>
      <c r="O65" s="1099">
        <f>SUM(O63:O64)</f>
        <v>0</v>
      </c>
      <c r="P65" s="1099">
        <f t="shared" si="347"/>
        <v>56</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30</v>
      </c>
      <c r="M67" s="1091">
        <f>SUM(M65:M66)</f>
        <v>26</v>
      </c>
      <c r="N67" s="1091">
        <f>SUM(N65:N66)</f>
        <v>0</v>
      </c>
      <c r="O67" s="1091">
        <f>SUM(O65:O66)</f>
        <v>0</v>
      </c>
      <c r="P67" s="1091">
        <f t="shared" si="347"/>
        <v>56</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8"/>
      <c r="B68" s="3658"/>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3770</v>
      </c>
      <c r="D69" s="3604"/>
      <c r="E69" s="3604"/>
      <c r="F69" s="360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8"/>
      <c r="B70" s="3658"/>
      <c r="C70" s="3604"/>
      <c r="D70" s="3604"/>
      <c r="E70" s="3604"/>
      <c r="F70" s="3604"/>
      <c r="G70" s="6"/>
      <c r="H70" s="81" t="s">
        <v>3675</v>
      </c>
      <c r="I70" s="29"/>
      <c r="J70" s="1408"/>
      <c r="K70" s="1433" t="str">
        <f t="shared" ref="K70:P70" si="348">IF(OR(K56=0,K67=0),"",K56/K67)</f>
        <v/>
      </c>
      <c r="L70" s="1434">
        <f t="shared" si="348"/>
        <v>0.1</v>
      </c>
      <c r="M70" s="1434">
        <f t="shared" si="348"/>
        <v>0.11538461538461539</v>
      </c>
      <c r="N70" s="1434" t="str">
        <f t="shared" si="348"/>
        <v/>
      </c>
      <c r="O70" s="1434" t="str">
        <f t="shared" si="348"/>
        <v/>
      </c>
      <c r="P70" s="1435">
        <f t="shared" si="348"/>
        <v>0.10714285714285714</v>
      </c>
      <c r="Q70" s="33" t="s">
        <v>4068</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8"/>
      <c r="B71" s="3658"/>
      <c r="C71" s="667"/>
      <c r="D71" s="6"/>
      <c r="E71" s="6"/>
      <c r="F71" s="6"/>
      <c r="G71" s="6"/>
      <c r="H71" s="81" t="s">
        <v>6485</v>
      </c>
      <c r="I71" s="29"/>
      <c r="J71" s="1"/>
      <c r="K71" s="1509" t="str">
        <f>IF(OR(K56=0,P70="",K67=0),"",P70*K67)</f>
        <v/>
      </c>
      <c r="L71" s="1509">
        <f>IF(OR(L56=0,P70="",L67=0),"",P70*L67)</f>
        <v>3.214285714285714</v>
      </c>
      <c r="M71" s="1509">
        <f>IF(OR(M56=0,P70="",M67=0),"",P70*M67)</f>
        <v>2.7857142857142856</v>
      </c>
      <c r="N71" s="1509" t="str">
        <f>IF(OR(N56=0,P70="",N67=0),"",P70*N67)</f>
        <v/>
      </c>
      <c r="O71" s="1509" t="str">
        <f>IF(OR(O56=0,P70="",O67=0),"",P70*O67)</f>
        <v/>
      </c>
      <c r="P71" s="1510">
        <f>IF(OR(P70="",P67=0),"",P70*P67)</f>
        <v>6</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8"/>
      <c r="B72" s="3658"/>
      <c r="C72" s="667"/>
      <c r="D72" s="6"/>
      <c r="E72" s="6"/>
      <c r="F72" s="6"/>
      <c r="G72" s="1504"/>
      <c r="H72" s="1441" t="s">
        <v>6486</v>
      </c>
      <c r="I72" s="1409"/>
      <c r="J72" s="1"/>
      <c r="K72" s="1511" t="str">
        <f t="shared" ref="K72:P72" si="349">IF(OR(K71="",K56=0),"", K56-K71)</f>
        <v/>
      </c>
      <c r="L72" s="1512">
        <f t="shared" si="349"/>
        <v>-0.21428571428571397</v>
      </c>
      <c r="M72" s="1512">
        <f t="shared" si="349"/>
        <v>0.21428571428571441</v>
      </c>
      <c r="N72" s="1512" t="str">
        <f t="shared" si="349"/>
        <v/>
      </c>
      <c r="O72" s="1512" t="str">
        <f t="shared" si="349"/>
        <v/>
      </c>
      <c r="P72" s="1513">
        <f t="shared" si="349"/>
        <v>0</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4067</v>
      </c>
      <c r="E73" s="3554"/>
      <c r="F73" s="3554"/>
      <c r="G73" s="6"/>
      <c r="H73" s="81" t="s">
        <v>3676</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4"/>
      <c r="E74" s="3554"/>
      <c r="F74" s="3554"/>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4"/>
      <c r="E75" s="3554"/>
      <c r="F75" s="3554"/>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554"/>
      <c r="E76" s="3554"/>
      <c r="F76" s="3554"/>
      <c r="G76" s="6"/>
      <c r="H76" s="81" t="s">
        <v>1081</v>
      </c>
      <c r="I76" s="29"/>
      <c r="J76" s="1"/>
      <c r="K76" s="1436" t="str">
        <f t="shared" ref="K76:P76" si="352">IF(OR(K58=0,K67=0),"",K58/K67)</f>
        <v/>
      </c>
      <c r="L76" s="1437">
        <f t="shared" si="352"/>
        <v>0.53333333333333333</v>
      </c>
      <c r="M76" s="1437">
        <f t="shared" si="352"/>
        <v>0.61538461538461542</v>
      </c>
      <c r="N76" s="1437" t="str">
        <f t="shared" si="352"/>
        <v/>
      </c>
      <c r="O76" s="1437" t="str">
        <f t="shared" si="352"/>
        <v/>
      </c>
      <c r="P76" s="1438">
        <f t="shared" si="352"/>
        <v>0.5714285714285714</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6485</v>
      </c>
      <c r="I77" s="29"/>
      <c r="J77" s="1"/>
      <c r="K77" s="1509" t="str">
        <f>IF(OR(K58=0,P76="",K67=0),"",P76*K67)</f>
        <v/>
      </c>
      <c r="L77" s="1509">
        <f>IF(OR(L58=0,P76="",L67=0),"",P76*L67)</f>
        <v>17.142857142857142</v>
      </c>
      <c r="M77" s="1509">
        <f>IF(OR(M58=0,P76="",M67=0),"",P76*M67)</f>
        <v>14.857142857142856</v>
      </c>
      <c r="N77" s="1509" t="str">
        <f>IF(OR(N58=0,P76="",N67=0),"",P76*N67)</f>
        <v/>
      </c>
      <c r="O77" s="1509" t="str">
        <f>IF(OR(O58=0,P76="",O67=0),"",P76*O67)</f>
        <v/>
      </c>
      <c r="P77" s="1510">
        <f>IF(OR(P76="",P67=0),"",P76*P67)</f>
        <v>32</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4"/>
      <c r="H78" s="1441" t="s">
        <v>6486</v>
      </c>
      <c r="I78" s="1409"/>
      <c r="J78" s="1"/>
      <c r="K78" s="1511" t="str">
        <f t="shared" ref="K78:P78" si="353">IF(OR(K77="",K58=0),"", K58-K77)</f>
        <v/>
      </c>
      <c r="L78" s="1511">
        <f t="shared" si="353"/>
        <v>-1.1428571428571423</v>
      </c>
      <c r="M78" s="1511">
        <f t="shared" si="353"/>
        <v>1.1428571428571441</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t="str">
        <f t="shared" ref="K79:P79" si="354">IF(OR(K59=0,K67=0),"",K59/K67)</f>
        <v/>
      </c>
      <c r="L79" s="1437">
        <f t="shared" si="354"/>
        <v>0.23333333333333334</v>
      </c>
      <c r="M79" s="1437">
        <f t="shared" si="354"/>
        <v>0.15384615384615385</v>
      </c>
      <c r="N79" s="1437" t="str">
        <f t="shared" si="354"/>
        <v/>
      </c>
      <c r="O79" s="1437" t="str">
        <f t="shared" si="354"/>
        <v/>
      </c>
      <c r="P79" s="1438">
        <f t="shared" si="354"/>
        <v>0.19642857142857142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t="str">
        <f>IF(OR(K59=0,P79="",K67=0),"",P79*K67)</f>
        <v/>
      </c>
      <c r="L80" s="1509">
        <f>IF(OR(L59=0,P79="",L67=0),"",P79*L67)</f>
        <v>5.8928571428571423</v>
      </c>
      <c r="M80" s="1509">
        <f>IF(OR(M59=0,P79="",M67=0),"",P79*M67)</f>
        <v>5.1071428571428568</v>
      </c>
      <c r="N80" s="1509" t="str">
        <f>IF(OR(N59=0,P79="",N67=0),"",P79*N67)</f>
        <v/>
      </c>
      <c r="O80" s="1509" t="str">
        <f>IF(OR(O59=0,P79="",O67=0),"",P79*O67)</f>
        <v/>
      </c>
      <c r="P80" s="1510">
        <f>IF(OR(P79="",P67=0),"",P79*P67)</f>
        <v>11</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t="str">
        <f t="shared" ref="K81:P81" si="355">IF(OR(K80="",K59=0),"", K59-K80)</f>
        <v/>
      </c>
      <c r="L81" s="1511">
        <f t="shared" si="355"/>
        <v>1.1071428571428577</v>
      </c>
      <c r="M81" s="1511">
        <f t="shared" si="355"/>
        <v>-1.1071428571428568</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3677</v>
      </c>
      <c r="I82" s="29"/>
      <c r="J82" s="1"/>
      <c r="K82" s="1436" t="str">
        <f t="shared" ref="K82:P82" si="356">IF(OR(K60=0,K67=0),"",K60/K67)</f>
        <v/>
      </c>
      <c r="L82" s="1437">
        <f t="shared" si="356"/>
        <v>0.13333333333333333</v>
      </c>
      <c r="M82" s="1437">
        <f t="shared" si="356"/>
        <v>0.11538461538461539</v>
      </c>
      <c r="N82" s="1437" t="str">
        <f t="shared" si="356"/>
        <v/>
      </c>
      <c r="O82" s="1437" t="str">
        <f t="shared" si="356"/>
        <v/>
      </c>
      <c r="P82" s="1438">
        <f t="shared" si="356"/>
        <v>0.125</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f>IF(OR(L60=0,P82="",L67=0),"",P82*L67)</f>
        <v>3.75</v>
      </c>
      <c r="M83" s="1509">
        <f>IF(OR(M60=0,P82="",M67=0),"",P82*M67)</f>
        <v>3.25</v>
      </c>
      <c r="N83" s="1509" t="str">
        <f>IF(OR(N60=0,P82="",N67=0),"",P82*N67)</f>
        <v/>
      </c>
      <c r="O83" s="1509" t="str">
        <f>IF(OR(O60=0,P82="",O67=0),"",P82*O67)</f>
        <v/>
      </c>
      <c r="P83" s="1510">
        <f>IF(OR(P82="",P67=0),"",P82*P67)</f>
        <v>7</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f t="shared" si="357"/>
        <v>0.25</v>
      </c>
      <c r="M84" s="1511">
        <f t="shared" si="357"/>
        <v>-0.25</v>
      </c>
      <c r="N84" s="1511" t="str">
        <f t="shared" si="357"/>
        <v/>
      </c>
      <c r="O84" s="1511" t="str">
        <f t="shared" si="357"/>
        <v/>
      </c>
      <c r="P84" s="1511">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3678</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3679</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3675</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3676</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3677</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3678</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3679</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1"/>
      <c r="T100" s="3572"/>
      <c r="U100" s="3572"/>
      <c r="V100" s="3572"/>
      <c r="W100" s="357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95" t="str">
        <f>$O$53</f>
        <v>40% of Units at 60% of AMI</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3675</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3676</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3677</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3678</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3679</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2119</v>
      </c>
      <c r="F113" s="1"/>
      <c r="G113" s="62"/>
      <c r="H113" s="81" t="s">
        <v>1343</v>
      </c>
      <c r="I113" s="29"/>
      <c r="J113" s="62"/>
      <c r="K113" s="1124">
        <f>GG49</f>
        <v>0</v>
      </c>
      <c r="L113" s="1125">
        <f>GH49</f>
        <v>30</v>
      </c>
      <c r="M113" s="1125">
        <f>GI49</f>
        <v>26</v>
      </c>
      <c r="N113" s="1125">
        <f>GJ49</f>
        <v>0</v>
      </c>
      <c r="O113" s="1126">
        <f>GK49</f>
        <v>0</v>
      </c>
      <c r="P113" s="749">
        <f t="shared" ref="P113:P123" si="364">SUM(K113:O113)</f>
        <v>56</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0</v>
      </c>
      <c r="M114" s="1131">
        <f>GN49</f>
        <v>0</v>
      </c>
      <c r="N114" s="1131">
        <f>GO49</f>
        <v>0</v>
      </c>
      <c r="O114" s="1132">
        <f>GP49</f>
        <v>0</v>
      </c>
      <c r="P114" s="746">
        <f t="shared" si="364"/>
        <v>0</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30</v>
      </c>
      <c r="M115" s="1093">
        <f>SUM(M113:M114)+GS49</f>
        <v>26</v>
      </c>
      <c r="N115" s="1093">
        <f>SUM(N113:N114)+GT49</f>
        <v>0</v>
      </c>
      <c r="O115" s="1093">
        <f>SUM(O113:O114)+GU49</f>
        <v>0</v>
      </c>
      <c r="P115" s="1093">
        <f t="shared" si="364"/>
        <v>56</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1982</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3019</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6490</v>
      </c>
      <c r="D127" s="3556"/>
      <c r="E127" s="908" t="s">
        <v>36</v>
      </c>
      <c r="F127" s="767"/>
      <c r="G127" s="909"/>
      <c r="H127" s="1442"/>
      <c r="I127" s="910"/>
      <c r="J127" s="911"/>
      <c r="K127" s="1145">
        <f t="shared" ref="K127:P127" si="365">SUM(K128:K135)</f>
        <v>0</v>
      </c>
      <c r="L127" s="1146">
        <f t="shared" si="365"/>
        <v>26</v>
      </c>
      <c r="M127" s="1146">
        <f t="shared" si="365"/>
        <v>22</v>
      </c>
      <c r="N127" s="1146">
        <f t="shared" si="365"/>
        <v>0</v>
      </c>
      <c r="O127" s="1147">
        <f t="shared" si="365"/>
        <v>0</v>
      </c>
      <c r="P127" s="1096">
        <f t="shared" si="365"/>
        <v>48</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6" t="s">
        <v>6290</v>
      </c>
      <c r="I128" s="33"/>
      <c r="J128" s="912"/>
      <c r="K128" s="1127">
        <f>JS49</f>
        <v>0</v>
      </c>
      <c r="L128" s="1128">
        <f>JT49</f>
        <v>26</v>
      </c>
      <c r="M128" s="1128">
        <f>JU49</f>
        <v>22</v>
      </c>
      <c r="N128" s="1128">
        <f>JV49</f>
        <v>0</v>
      </c>
      <c r="O128" s="1129">
        <f>JW49</f>
        <v>0</v>
      </c>
      <c r="P128" s="745">
        <f t="shared" ref="P128:P143" si="366">SUM(K128:O128)</f>
        <v>48</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3" t="s">
        <v>2996</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6" t="s">
        <v>6477</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3" t="s">
        <v>2996</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6" t="s">
        <v>6292</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3" t="s">
        <v>2996</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6" t="s">
        <v>6484</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3" t="s">
        <v>2996</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6479</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3" t="s">
        <v>2996</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6480</v>
      </c>
      <c r="F138" s="1"/>
      <c r="G138" s="62"/>
      <c r="H138" s="1406"/>
      <c r="I138" s="33"/>
      <c r="J138" s="62"/>
      <c r="K138" s="1151">
        <f>JI49</f>
        <v>0</v>
      </c>
      <c r="L138" s="1152">
        <f>JJ49</f>
        <v>4</v>
      </c>
      <c r="M138" s="1152">
        <f>JK49</f>
        <v>4</v>
      </c>
      <c r="N138" s="1152">
        <f>JL49</f>
        <v>0</v>
      </c>
      <c r="O138" s="1153">
        <f>JM49</f>
        <v>0</v>
      </c>
      <c r="P138" s="1688">
        <f t="shared" si="366"/>
        <v>8</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3" t="s">
        <v>2996</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6286</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3" t="s">
        <v>2996</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95" t="str">
        <f>$O$53</f>
        <v>40% of Units at 60% of AMI</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6491</v>
      </c>
      <c r="D147" s="3556"/>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2992</v>
      </c>
      <c r="F149" s="147"/>
      <c r="G149" s="62"/>
      <c r="H149" s="223"/>
      <c r="I149" s="147"/>
      <c r="J149" s="912"/>
      <c r="K149" s="1160">
        <f t="shared" ref="K149:O150" si="370">K138</f>
        <v>0</v>
      </c>
      <c r="L149" s="1161">
        <f t="shared" si="370"/>
        <v>4</v>
      </c>
      <c r="M149" s="1161">
        <f t="shared" si="370"/>
        <v>4</v>
      </c>
      <c r="N149" s="1161">
        <f t="shared" si="370"/>
        <v>0</v>
      </c>
      <c r="O149" s="1162">
        <f t="shared" si="370"/>
        <v>0</v>
      </c>
      <c r="P149" s="1688">
        <f t="shared" si="369"/>
        <v>8</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2993</v>
      </c>
      <c r="F151" s="147"/>
      <c r="G151" s="62"/>
      <c r="H151" s="1406"/>
      <c r="I151" s="33"/>
      <c r="J151" s="912"/>
      <c r="K151" s="1160">
        <f t="shared" ref="K151:O154" si="371">K128+K132</f>
        <v>0</v>
      </c>
      <c r="L151" s="1161">
        <f t="shared" si="371"/>
        <v>26</v>
      </c>
      <c r="M151" s="1161">
        <f t="shared" si="371"/>
        <v>22</v>
      </c>
      <c r="N151" s="1161">
        <f t="shared" si="371"/>
        <v>0</v>
      </c>
      <c r="O151" s="1162">
        <f t="shared" si="371"/>
        <v>0</v>
      </c>
      <c r="P151" s="1688">
        <f t="shared" si="369"/>
        <v>48</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70" t="s">
        <v>3889</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3675</v>
      </c>
      <c r="I157" s="44"/>
      <c r="J157" s="62"/>
      <c r="K157" s="1133">
        <f>EI49</f>
        <v>0</v>
      </c>
      <c r="L157" s="1134">
        <f>EJ49</f>
        <v>2020</v>
      </c>
      <c r="M157" s="1134">
        <f>EK49</f>
        <v>2784</v>
      </c>
      <c r="N157" s="1134">
        <f>EL49</f>
        <v>0</v>
      </c>
      <c r="O157" s="1135">
        <f>EM49</f>
        <v>0</v>
      </c>
      <c r="P157" s="1087">
        <f t="shared" ref="P157:P163" si="372">SUM(K157:O157)</f>
        <v>4804</v>
      </c>
      <c r="Q157" s="1291">
        <f t="shared" ref="Q157:Q163" si="373">IF(OR(P56=0,P56=""),"",P157/P56)</f>
        <v>800.66666666666663</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3676</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10782</v>
      </c>
      <c r="M159" s="1164">
        <f>EU49</f>
        <v>14692</v>
      </c>
      <c r="N159" s="1164">
        <f>EV49</f>
        <v>0</v>
      </c>
      <c r="O159" s="1165">
        <f>EW49</f>
        <v>0</v>
      </c>
      <c r="P159" s="1088">
        <f t="shared" si="372"/>
        <v>25474</v>
      </c>
      <c r="Q159" s="1291">
        <f t="shared" si="373"/>
        <v>796.0625</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4716</v>
      </c>
      <c r="M160" s="1224">
        <f>EZ49</f>
        <v>3700</v>
      </c>
      <c r="N160" s="1224">
        <f>FA49</f>
        <v>0</v>
      </c>
      <c r="O160" s="1225">
        <f>FB49</f>
        <v>0</v>
      </c>
      <c r="P160" s="1226">
        <f t="shared" si="372"/>
        <v>8416</v>
      </c>
      <c r="Q160" s="1291">
        <f t="shared" si="373"/>
        <v>765.09090909090912</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3677</v>
      </c>
      <c r="I161" s="33"/>
      <c r="J161" s="912"/>
      <c r="K161" s="1163">
        <f>FC49</f>
        <v>0</v>
      </c>
      <c r="L161" s="1164">
        <f>FD49</f>
        <v>2694</v>
      </c>
      <c r="M161" s="1164">
        <f>FE49</f>
        <v>2784</v>
      </c>
      <c r="N161" s="1164">
        <f>FF49</f>
        <v>0</v>
      </c>
      <c r="O161" s="1165">
        <f>FG49</f>
        <v>0</v>
      </c>
      <c r="P161" s="1088">
        <f t="shared" si="372"/>
        <v>5478</v>
      </c>
      <c r="Q161" s="1291">
        <f t="shared" si="373"/>
        <v>782.57142857142856</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3678</v>
      </c>
      <c r="I162" s="33"/>
      <c r="J162" s="62"/>
      <c r="K162" s="1163">
        <f>FH49</f>
        <v>0</v>
      </c>
      <c r="L162" s="1164">
        <f>FI49</f>
        <v>0</v>
      </c>
      <c r="M162" s="1164">
        <f>FJ49</f>
        <v>0</v>
      </c>
      <c r="N162" s="1164">
        <f>FK49</f>
        <v>0</v>
      </c>
      <c r="O162" s="1165">
        <f>FL49</f>
        <v>0</v>
      </c>
      <c r="P162" s="1088">
        <f t="shared" si="372"/>
        <v>0</v>
      </c>
      <c r="Q162" s="1291"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3760</v>
      </c>
      <c r="I164" s="73"/>
      <c r="J164" s="1098"/>
      <c r="K164" s="1690">
        <f>SUM(K157:K163)</f>
        <v>0</v>
      </c>
      <c r="L164" s="1690">
        <f>SUM(L157:L163)</f>
        <v>20212</v>
      </c>
      <c r="M164" s="1690">
        <f>SUM(M157:M163)</f>
        <v>23960</v>
      </c>
      <c r="N164" s="1690">
        <f>SUM(N157:N163)</f>
        <v>0</v>
      </c>
      <c r="O164" s="1690">
        <f>SUM(O157:O163)</f>
        <v>0</v>
      </c>
      <c r="P164" s="1690">
        <f>SUM(K164:O164)</f>
        <v>44172</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20212</v>
      </c>
      <c r="M166" s="1689">
        <f>SUM(M164:M165)</f>
        <v>23960</v>
      </c>
      <c r="N166" s="1689">
        <f>SUM(N164:N165)</f>
        <v>0</v>
      </c>
      <c r="O166" s="1689">
        <f>SUM(O164:O165)</f>
        <v>0</v>
      </c>
      <c r="P166" s="1689">
        <f>SUM(K166:O166)</f>
        <v>44172</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20212</v>
      </c>
      <c r="M168" s="1094">
        <f>SUM(M166:M167)</f>
        <v>23960</v>
      </c>
      <c r="N168" s="1094">
        <f>SUM(N166:N167)</f>
        <v>0</v>
      </c>
      <c r="O168" s="1094">
        <f>SUM(O166:O167)</f>
        <v>0</v>
      </c>
      <c r="P168" s="1094">
        <f>SUM(K168:O168)</f>
        <v>44172</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t="str">
        <f>IF(OR(K67="",K67=0),"",K168/K67)</f>
        <v/>
      </c>
      <c r="L171" s="1290">
        <f>IF(OR(L67="",L67=0),"",L168/L67)</f>
        <v>673.73333333333335</v>
      </c>
      <c r="M171" s="1290">
        <f>IF(OR(M67="",M67=0),"",M168/M67)</f>
        <v>921.53846153846155</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653">
        <f>55574-44172</f>
        <v>11402</v>
      </c>
      <c r="L174" s="365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1">
        <f>P168+K174</f>
        <v>55574</v>
      </c>
      <c r="L175" s="365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f>'Part VI-Pro Forma'!B10*M50</f>
        <v>12039.6</v>
      </c>
      <c r="I179" s="3552"/>
      <c r="J179" s="1406" t="s">
        <v>6756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26839</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623">
        <v>49650</v>
      </c>
      <c r="G221" s="3624"/>
      <c r="H221" s="1"/>
      <c r="I221" s="1" t="s">
        <v>1300</v>
      </c>
      <c r="K221" s="1"/>
      <c r="L221" s="3623"/>
      <c r="M221" s="3624"/>
      <c r="N221" s="1"/>
      <c r="O221" s="319">
        <f>+Q220/(P67*0.93)</f>
        <v>515.34178187403984</v>
      </c>
      <c r="P221" s="42" t="s">
        <v>2483</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40622</v>
      </c>
      <c r="G222" s="3599"/>
      <c r="H222" s="1"/>
      <c r="I222" s="1" t="s">
        <v>1301</v>
      </c>
      <c r="K222" s="1"/>
      <c r="L222" s="3626">
        <v>3500</v>
      </c>
      <c r="M222" s="3627"/>
      <c r="N222" s="1"/>
      <c r="O222" s="319">
        <f>+Q220/(P67*0.93)/12</f>
        <v>42.945148489503318</v>
      </c>
      <c r="P222" s="42" t="s">
        <v>2484</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c r="G223" s="3599"/>
      <c r="H223" s="1"/>
      <c r="I223" s="1"/>
      <c r="K223" s="8" t="s">
        <v>184</v>
      </c>
      <c r="L223" s="3630">
        <f>SUM(L221:M222)</f>
        <v>3500</v>
      </c>
      <c r="M223" s="3631"/>
      <c r="N223" s="1"/>
      <c r="O223" s="29" t="s">
        <v>3221</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598">
        <v>7728</v>
      </c>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98000</v>
      </c>
      <c r="G227" s="3631"/>
      <c r="H227" s="1"/>
      <c r="I227" s="1" t="s">
        <v>1497</v>
      </c>
      <c r="K227" s="1"/>
      <c r="L227" s="3610">
        <v>1361</v>
      </c>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12">
        <v>8500</v>
      </c>
      <c r="M228" s="3613"/>
      <c r="N228" s="3625" t="str">
        <f>IF(Q230="","",IF(Q228&lt;Q230, "WARNING! OE below required minimum.",""))</f>
        <v/>
      </c>
      <c r="O228" s="4" t="s">
        <v>2028</v>
      </c>
      <c r="P228" s="1"/>
      <c r="Q228" s="326">
        <f>F227+F236+F247+L223+L231+L241+L247+Q220</f>
        <v>333200</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2500</v>
      </c>
      <c r="M229" s="3613"/>
      <c r="N229" s="3625"/>
      <c r="O229" s="42" t="s">
        <v>2485</v>
      </c>
      <c r="P229" s="319">
        <f>+Q228/P67</f>
        <v>5950</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f>22400-6644</f>
        <v>15756</v>
      </c>
      <c r="G230" s="3624"/>
      <c r="H230" s="1"/>
      <c r="I230" s="3616" t="s">
        <v>46</v>
      </c>
      <c r="J230" s="3617"/>
      <c r="K230" s="3618"/>
      <c r="L230" s="3628"/>
      <c r="M230" s="3629"/>
      <c r="N230" s="3625"/>
      <c r="P230" s="758" t="s">
        <v>3222</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252000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3944</v>
      </c>
      <c r="G231" s="3599"/>
      <c r="H231" s="1"/>
      <c r="I231" s="4"/>
      <c r="K231" s="8" t="s">
        <v>184</v>
      </c>
      <c r="L231" s="3632">
        <f>SUM(L227:L230)</f>
        <v>12361</v>
      </c>
      <c r="M231" s="3633"/>
      <c r="N231" s="3625"/>
      <c r="O231" s="3638" t="s">
        <v>6723</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v>1500</v>
      </c>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v>1200</v>
      </c>
      <c r="G234" s="3599"/>
      <c r="H234" s="1"/>
      <c r="I234" s="4" t="s">
        <v>1297</v>
      </c>
      <c r="K234" s="248" t="s">
        <v>3882</v>
      </c>
      <c r="O234" s="1312" t="s">
        <v>3084</v>
      </c>
      <c r="P234" s="4"/>
      <c r="Q234" s="917">
        <v>14000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46</v>
      </c>
      <c r="C235" s="3608"/>
      <c r="D235" s="3608"/>
      <c r="E235" s="3609"/>
      <c r="F235" s="3626"/>
      <c r="G235" s="3627"/>
      <c r="H235" s="1"/>
      <c r="I235" s="1" t="s">
        <v>1290</v>
      </c>
      <c r="K235" s="365">
        <f>L235/12/P67</f>
        <v>30.952380952380953</v>
      </c>
      <c r="L235" s="3610">
        <v>20800</v>
      </c>
      <c r="M235" s="3611"/>
      <c r="N235" s="3625" t="str">
        <f>IF(Q234&lt;Q243, "WARNING! RR proposed is below the DCA required minimum.","")</f>
        <v/>
      </c>
      <c r="O235" s="772" t="s">
        <v>3881</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22400</v>
      </c>
      <c r="G236" s="3631"/>
      <c r="H236" s="1"/>
      <c r="I236" s="1" t="s">
        <v>1291</v>
      </c>
      <c r="K236" s="365">
        <f>L236/12/P67</f>
        <v>0</v>
      </c>
      <c r="L236" s="3612"/>
      <c r="M236" s="3613"/>
      <c r="N236" s="3642"/>
      <c r="O236" s="3643" t="s">
        <v>3228</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1.7857142857142858</v>
      </c>
      <c r="L237" s="3612">
        <v>1200</v>
      </c>
      <c r="M237" s="3613"/>
      <c r="N237" s="3642"/>
      <c r="O237" s="766" t="s">
        <v>2463</v>
      </c>
      <c r="P237" s="669" t="s">
        <v>3282</v>
      </c>
      <c r="Q237" s="768" t="s">
        <v>3053</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14.583333333333332</v>
      </c>
      <c r="L238" s="3612">
        <v>9800</v>
      </c>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v>8088</v>
      </c>
      <c r="G239" s="3647"/>
      <c r="H239" s="1"/>
      <c r="I239" s="72" t="s">
        <v>6680</v>
      </c>
      <c r="K239" s="365">
        <f>L239/12/P67</f>
        <v>2.6785714285714284</v>
      </c>
      <c r="L239" s="3612">
        <v>1800</v>
      </c>
      <c r="M239" s="3613"/>
      <c r="N239" s="3642"/>
      <c r="O239" s="387" t="s">
        <v>3051</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v>35332</v>
      </c>
      <c r="G240" s="3635"/>
      <c r="H240" s="1"/>
      <c r="I240" s="3619" t="s">
        <v>46</v>
      </c>
      <c r="J240" s="3620"/>
      <c r="K240" s="365">
        <f>L240/12/P67</f>
        <v>0</v>
      </c>
      <c r="L240" s="3628"/>
      <c r="M240" s="3629"/>
      <c r="N240" s="3642"/>
      <c r="O240" s="387" t="s">
        <v>3050</v>
      </c>
      <c r="P240" s="673" t="str">
        <f>CONCATENATE(SUM(MK49:MO49)," units x $",'DCA Underwriting Assumptions'!$Q$29," =")</f>
        <v>56 units x $250 =</v>
      </c>
      <c r="Q240" s="501">
        <f>SUM(MK49:MO49)*'DCA Underwriting Assumptions'!$Q$29</f>
        <v>14000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15000</v>
      </c>
      <c r="G241" s="3635"/>
      <c r="H241" s="1"/>
      <c r="K241" s="8" t="s">
        <v>184</v>
      </c>
      <c r="L241" s="3632">
        <f>SUM(L235:L240)</f>
        <v>33600</v>
      </c>
      <c r="M241" s="3633"/>
      <c r="N241" s="3642"/>
      <c r="O241" s="502" t="s">
        <v>6497</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1680</v>
      </c>
      <c r="G242" s="3599"/>
      <c r="H242" s="1"/>
      <c r="O242" s="502" t="s">
        <v>3049</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c r="G243" s="3599"/>
      <c r="H243" s="1"/>
      <c r="I243" s="4" t="s">
        <v>1298</v>
      </c>
      <c r="O243" s="769" t="s">
        <v>2466</v>
      </c>
      <c r="P243" s="770">
        <f>SUM(MF49:MJ49)+SUM(MK49:MO49)+SUM(MP49:MT49)+P125</f>
        <v>56</v>
      </c>
      <c r="Q243" s="771">
        <f>SUM(Q239:Q242)</f>
        <v>14000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3928</v>
      </c>
      <c r="K244" s="1"/>
      <c r="L244" s="3610">
        <v>44800</v>
      </c>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f>6*600</f>
        <v>3600</v>
      </c>
      <c r="G245" s="3599"/>
      <c r="H245" s="1"/>
      <c r="I245" s="1" t="s">
        <v>140</v>
      </c>
      <c r="K245" s="1"/>
      <c r="L245" s="3612">
        <v>28000</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46</v>
      </c>
      <c r="C246" s="3608"/>
      <c r="D246" s="3608"/>
      <c r="E246" s="3609"/>
      <c r="F246" s="3626"/>
      <c r="G246" s="3627"/>
      <c r="H246" s="1"/>
      <c r="I246" s="3616" t="s">
        <v>46</v>
      </c>
      <c r="J246" s="3617"/>
      <c r="K246" s="3618"/>
      <c r="L246" s="3614"/>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63700</v>
      </c>
      <c r="G247" s="3641"/>
      <c r="H247" s="1"/>
      <c r="K247" s="8" t="s">
        <v>184</v>
      </c>
      <c r="L247" s="3632">
        <f>SUM(L243:L246)</f>
        <v>72800</v>
      </c>
      <c r="M247" s="3639"/>
      <c r="N247" s="1"/>
      <c r="O247" s="4" t="s">
        <v>2029</v>
      </c>
      <c r="P247" s="1"/>
      <c r="Q247" s="326">
        <f>Q228+Q234</f>
        <v>347200</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3871</v>
      </c>
      <c r="C251" s="8"/>
      <c r="D251" s="1"/>
      <c r="E251" s="1"/>
      <c r="H251" s="9"/>
      <c r="I251" s="1221" t="s">
        <v>3872</v>
      </c>
      <c r="K251" s="3568"/>
      <c r="L251" s="3569"/>
      <c r="M251" s="1284" t="s">
        <v>3899</v>
      </c>
      <c r="N251" s="1222"/>
      <c r="O251" s="4" t="s">
        <v>3874</v>
      </c>
      <c r="P251" s="1"/>
      <c r="Q251" s="1242">
        <f>K251*N251</f>
        <v>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1646</v>
      </c>
      <c r="K253" s="1221" t="s">
        <v>3902</v>
      </c>
      <c r="L253" s="1265" t="s">
        <v>1646</v>
      </c>
      <c r="M253" s="53" t="s">
        <v>3903</v>
      </c>
      <c r="N253" s="1222"/>
      <c r="O253" s="72" t="s">
        <v>3901</v>
      </c>
      <c r="P253" s="1"/>
      <c r="Q253" s="1285"/>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637" t="s">
        <v>7130</v>
      </c>
      <c r="B256" s="3637"/>
      <c r="C256" s="3637"/>
      <c r="D256" s="3637"/>
      <c r="E256" s="3637"/>
      <c r="F256" s="3637"/>
      <c r="G256" s="3637"/>
      <c r="H256" s="3637"/>
      <c r="I256" s="3637"/>
      <c r="J256" s="3637"/>
      <c r="K256" s="3637"/>
      <c r="L256" s="3637"/>
      <c r="M256" s="3637"/>
      <c r="N256" s="3636"/>
      <c r="O256" s="3636"/>
      <c r="P256" s="3636"/>
      <c r="Q256" s="3636"/>
      <c r="R256" s="3047" t="s">
        <v>3372</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 H179 J20 J34:J35 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 customHeight="1">
      <c r="A2" s="3670" t="str">
        <f>CONCATENATE("PART SIX - OPERATING PRO FORMA","  -  ",'Part I-Project Identification'!$O$7," ",'Part I-Project Identification'!$F$25,", ",'Part I-Project Identification'!F26,", ",'Part I-Project Identification'!J26," County")</f>
        <v>PART SIX - OPERATING PRO FORMA  -  2023-0 Peaks of Douglas, Douglasville, Douglas County</v>
      </c>
      <c r="B2" s="3671"/>
      <c r="C2" s="3671"/>
      <c r="D2" s="3671"/>
      <c r="E2" s="3671"/>
      <c r="F2" s="3671"/>
      <c r="G2" s="3671"/>
      <c r="H2" s="3671"/>
      <c r="I2" s="3671"/>
      <c r="J2" s="3671"/>
      <c r="K2" s="3672"/>
      <c r="L2" s="4"/>
      <c r="M2" s="4"/>
      <c r="N2" s="3673" t="str">
        <f>A2</f>
        <v>PART SIX - OPERATING PRO FORMA  -  2023-0 Peaks of Douglas, Douglasville, Douglas County</v>
      </c>
      <c r="O2" s="3673"/>
      <c r="P2" s="4"/>
      <c r="AA2" s="1721">
        <v>2</v>
      </c>
    </row>
    <row r="3" spans="1:27" ht="13.5" customHeight="1">
      <c r="A3" s="382"/>
      <c r="B3" s="382"/>
      <c r="C3" s="382"/>
      <c r="D3" s="382"/>
      <c r="E3" s="382"/>
      <c r="F3" s="382"/>
      <c r="G3" s="382"/>
      <c r="H3" s="382"/>
      <c r="I3" s="382"/>
      <c r="J3" s="382"/>
      <c r="K3" s="382"/>
      <c r="N3" s="3536" t="s">
        <v>1710</v>
      </c>
      <c r="O3" s="3536"/>
      <c r="AA3" s="1721">
        <v>3</v>
      </c>
    </row>
    <row r="4" spans="1:27" ht="13.5" customHeight="1">
      <c r="A4" s="10" t="s">
        <v>85</v>
      </c>
      <c r="C4" s="3674" t="str">
        <f>'Part I-Project Identification'!$A$6</f>
        <v>April 2023</v>
      </c>
      <c r="D4" s="944" t="s">
        <v>75</v>
      </c>
      <c r="E4" s="180"/>
      <c r="F4" s="945" t="s">
        <v>3401</v>
      </c>
      <c r="N4" s="10" t="str">
        <f>A4</f>
        <v>I.  OPERATING ASSUMPTIONS</v>
      </c>
      <c r="O4" s="10"/>
      <c r="AA4" s="1721">
        <v>4</v>
      </c>
    </row>
    <row r="5" spans="1:27" ht="2.65" customHeight="1">
      <c r="C5" s="3674"/>
      <c r="AA5" s="1721">
        <v>5</v>
      </c>
    </row>
    <row r="6" spans="1:27" ht="13.5" customHeight="1">
      <c r="A6" s="6" t="s">
        <v>2030</v>
      </c>
      <c r="B6" s="58">
        <f>'DCA Underwriting Assumptions'!$Q$99</f>
        <v>0.02</v>
      </c>
      <c r="C6" s="3674"/>
      <c r="D6" s="3557" t="s">
        <v>3402</v>
      </c>
      <c r="E6" s="3557"/>
      <c r="F6" s="3557"/>
      <c r="G6" s="59">
        <v>5000</v>
      </c>
      <c r="H6" s="75" t="s">
        <v>1767</v>
      </c>
      <c r="K6" s="80">
        <f>IF(($B$15+$B$16+$B$17+$B$18)=0,"",B31/($B$15+$B$16+$B$17+$B$18))</f>
        <v>-8.7559812195270401E-3</v>
      </c>
      <c r="N6" s="3561"/>
      <c r="O6" s="3563"/>
      <c r="AA6" s="1721">
        <v>6</v>
      </c>
    </row>
    <row r="7" spans="1:27">
      <c r="A7" s="6" t="s">
        <v>2031</v>
      </c>
      <c r="B7" s="58">
        <f>'DCA Underwriting Assumptions'!$Q$102</f>
        <v>0.03</v>
      </c>
      <c r="C7" s="3674"/>
      <c r="D7" s="3557"/>
      <c r="E7" s="3557"/>
      <c r="F7" s="3557"/>
      <c r="G7" s="946">
        <f>IF(OR('Part II-Sources of Funds'!E6="Yes",'Part II-Sources of Funds'!I6&gt;0),'DCA Underwriting Assumptions'!$Q$64,0)</f>
        <v>0</v>
      </c>
      <c r="N7" s="3558"/>
      <c r="O7" s="3560"/>
      <c r="AA7" s="1721">
        <v>7</v>
      </c>
    </row>
    <row r="8" spans="1:27">
      <c r="A8" s="6" t="s">
        <v>2033</v>
      </c>
      <c r="B8" s="58">
        <f>'DCA Underwriting Assumptions'!$Q$103</f>
        <v>0.03</v>
      </c>
      <c r="C8" s="3674"/>
      <c r="D8" s="1" t="s">
        <v>258</v>
      </c>
      <c r="G8" s="61"/>
      <c r="H8" s="75" t="s">
        <v>2190</v>
      </c>
      <c r="K8" s="80">
        <f>IF(($B$15+$B$16+$B$17+$B$18)=0,"",-B22/($B$15+$B$16+$B$17+$B$18))</f>
        <v>4.7000355990177246E-2</v>
      </c>
      <c r="N8" s="3558"/>
      <c r="O8" s="3560"/>
      <c r="AA8" s="1721">
        <v>8</v>
      </c>
    </row>
    <row r="9" spans="1:27" ht="13.35" customHeight="1">
      <c r="A9" s="6" t="s">
        <v>2032</v>
      </c>
      <c r="B9" s="186">
        <v>7.0000000000000007E-2</v>
      </c>
      <c r="C9" s="1213" t="str">
        <f>IF(B9&lt;0.07, "Must be &gt;= 7%!","")</f>
        <v/>
      </c>
      <c r="D9" s="1" t="s">
        <v>2306</v>
      </c>
      <c r="G9" s="1228" t="s">
        <v>2651</v>
      </c>
      <c r="H9" s="140" t="s">
        <v>1355</v>
      </c>
      <c r="K9" s="1230"/>
      <c r="N9" s="3558"/>
      <c r="O9" s="3560"/>
      <c r="AA9" s="1721">
        <v>9</v>
      </c>
    </row>
    <row r="10" spans="1:27">
      <c r="A10" s="6" t="s">
        <v>1336</v>
      </c>
      <c r="B10" s="58">
        <v>0.02</v>
      </c>
      <c r="D10" s="1" t="s">
        <v>1597</v>
      </c>
      <c r="G10" s="1229" t="s">
        <v>2648</v>
      </c>
      <c r="H10" s="140" t="s">
        <v>2173</v>
      </c>
      <c r="K10" s="1231">
        <v>4.7E-2</v>
      </c>
      <c r="N10" s="3571"/>
      <c r="O10" s="357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2410</v>
      </c>
      <c r="O14" s="3196"/>
      <c r="AA14" s="1721">
        <v>14</v>
      </c>
    </row>
    <row r="15" spans="1:27" ht="13.35" customHeight="1">
      <c r="A15" s="14" t="s">
        <v>2214</v>
      </c>
      <c r="B15" s="15">
        <f>'Part V-Revenues &amp; Expenses'!$M$50</f>
        <v>601980</v>
      </c>
      <c r="C15" s="15">
        <f t="shared" ref="C15:K15" si="1">$B$15*(1+$B$6)^(C14-1)</f>
        <v>614019.6</v>
      </c>
      <c r="D15" s="15">
        <f t="shared" si="1"/>
        <v>626299.99199999997</v>
      </c>
      <c r="E15" s="15">
        <f t="shared" si="1"/>
        <v>638825.99183999992</v>
      </c>
      <c r="F15" s="15">
        <f t="shared" si="1"/>
        <v>651602.51167679997</v>
      </c>
      <c r="G15" s="15">
        <f t="shared" si="1"/>
        <v>664634.56191033602</v>
      </c>
      <c r="H15" s="15">
        <f t="shared" si="1"/>
        <v>677927.25314854272</v>
      </c>
      <c r="I15" s="15">
        <f t="shared" si="1"/>
        <v>691485.79821151344</v>
      </c>
      <c r="J15" s="15">
        <f t="shared" si="1"/>
        <v>705315.5141757438</v>
      </c>
      <c r="K15" s="16">
        <f t="shared" si="1"/>
        <v>719421.8244592587</v>
      </c>
      <c r="N15" s="3561"/>
      <c r="O15" s="3563"/>
      <c r="S15" s="3666" t="s">
        <v>3407</v>
      </c>
      <c r="Z15" s="1719" t="s">
        <v>6459</v>
      </c>
      <c r="AA15" s="1721">
        <v>15</v>
      </c>
    </row>
    <row r="16" spans="1:27" ht="13.35" customHeight="1">
      <c r="A16" s="17" t="s">
        <v>952</v>
      </c>
      <c r="B16" s="18">
        <f>MIN(B15*B10,'Part V-Revenues &amp; Expenses'!$H$179)</f>
        <v>12039.6</v>
      </c>
      <c r="C16" s="18">
        <f t="shared" ref="C16:K16" si="2">$B$16*(1+$B$6)^(C14-1)</f>
        <v>12280.392</v>
      </c>
      <c r="D16" s="18">
        <f t="shared" si="2"/>
        <v>12525.99984</v>
      </c>
      <c r="E16" s="18">
        <f t="shared" si="2"/>
        <v>12776.5198368</v>
      </c>
      <c r="F16" s="18">
        <f t="shared" si="2"/>
        <v>13032.050233536</v>
      </c>
      <c r="G16" s="18">
        <f t="shared" si="2"/>
        <v>13292.69123820672</v>
      </c>
      <c r="H16" s="18">
        <f t="shared" si="2"/>
        <v>13558.545062970856</v>
      </c>
      <c r="I16" s="18">
        <f t="shared" si="2"/>
        <v>13829.71596423027</v>
      </c>
      <c r="J16" s="18">
        <f t="shared" si="2"/>
        <v>14106.310283514877</v>
      </c>
      <c r="K16" s="19">
        <f t="shared" si="2"/>
        <v>14388.436489185175</v>
      </c>
      <c r="N16" s="3558"/>
      <c r="O16" s="3560"/>
      <c r="S16" s="3667"/>
      <c r="Z16" s="1719" t="s">
        <v>6459</v>
      </c>
      <c r="AA16" s="1721">
        <v>16</v>
      </c>
    </row>
    <row r="17" spans="1:27" ht="13.35" customHeight="1">
      <c r="A17" s="17" t="s">
        <v>2215</v>
      </c>
      <c r="B17" s="18">
        <f t="shared" ref="B17:K17" si="3">-(B15+B16)*$B$9</f>
        <v>-42981.372000000003</v>
      </c>
      <c r="C17" s="18">
        <f t="shared" si="3"/>
        <v>-43840.99944</v>
      </c>
      <c r="D17" s="18">
        <f t="shared" si="3"/>
        <v>-44717.819428800001</v>
      </c>
      <c r="E17" s="18">
        <f t="shared" si="3"/>
        <v>-45612.175817376003</v>
      </c>
      <c r="F17" s="18">
        <f t="shared" si="3"/>
        <v>-46524.419333723527</v>
      </c>
      <c r="G17" s="18">
        <f t="shared" si="3"/>
        <v>-47454.907720397998</v>
      </c>
      <c r="H17" s="18">
        <f t="shared" si="3"/>
        <v>-48404.005874805953</v>
      </c>
      <c r="I17" s="18">
        <f t="shared" si="3"/>
        <v>-49372.085992302062</v>
      </c>
      <c r="J17" s="18">
        <f t="shared" si="3"/>
        <v>-50359.527712148112</v>
      </c>
      <c r="K17" s="19">
        <f t="shared" si="3"/>
        <v>-51366.718266391079</v>
      </c>
      <c r="N17" s="3558"/>
      <c r="O17" s="3560"/>
      <c r="Q17" s="3669" t="s">
        <v>3297</v>
      </c>
      <c r="R17" s="3669" t="s">
        <v>3406</v>
      </c>
      <c r="S17" s="3667"/>
      <c r="Z17" s="1719" t="s">
        <v>6459</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9" t="s">
        <v>6459</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6459</v>
      </c>
      <c r="AA19" s="1721">
        <v>19</v>
      </c>
    </row>
    <row r="20" spans="1:27" ht="13.35" customHeight="1">
      <c r="A20" s="341" t="s">
        <v>3836</v>
      </c>
      <c r="B20" s="18">
        <f>SUM(B15:B19)</f>
        <v>571038.228</v>
      </c>
      <c r="C20" s="18">
        <f t="shared" ref="C20:K20" si="4">SUM(C15:C19)</f>
        <v>582458.99255999993</v>
      </c>
      <c r="D20" s="18">
        <f t="shared" si="4"/>
        <v>594108.17241119989</v>
      </c>
      <c r="E20" s="18">
        <f t="shared" si="4"/>
        <v>605990.33585942397</v>
      </c>
      <c r="F20" s="18">
        <f t="shared" si="4"/>
        <v>618110.14257661253</v>
      </c>
      <c r="G20" s="18">
        <f t="shared" si="4"/>
        <v>630472.34542814468</v>
      </c>
      <c r="H20" s="18">
        <f t="shared" si="4"/>
        <v>643081.79233670759</v>
      </c>
      <c r="I20" s="18">
        <f t="shared" si="4"/>
        <v>655943.42818344163</v>
      </c>
      <c r="J20" s="18">
        <f t="shared" si="4"/>
        <v>669062.29674711055</v>
      </c>
      <c r="K20" s="19">
        <f t="shared" si="4"/>
        <v>682443.54268205282</v>
      </c>
      <c r="N20" s="3558"/>
      <c r="O20" s="3560"/>
      <c r="Z20" s="1719" t="s">
        <v>6459</v>
      </c>
      <c r="AA20" s="1721">
        <v>20</v>
      </c>
    </row>
    <row r="21" spans="1:27" ht="13.35" customHeight="1">
      <c r="A21" s="17" t="s">
        <v>572</v>
      </c>
      <c r="B21" s="18">
        <f>-('Part V-Revenues &amp; Expenses'!$Q$228-'Part V-Revenues &amp; Expenses'!$Q$220)</f>
        <v>-306361</v>
      </c>
      <c r="C21" s="18">
        <f t="shared" ref="C21:K21" si="5">$B$21*(1+$B$7)^(C14-1)</f>
        <v>-315551.83</v>
      </c>
      <c r="D21" s="18">
        <f t="shared" si="5"/>
        <v>-325018.3849</v>
      </c>
      <c r="E21" s="18">
        <f t="shared" si="5"/>
        <v>-334768.93644700001</v>
      </c>
      <c r="F21" s="18">
        <f t="shared" si="5"/>
        <v>-344812.00454040995</v>
      </c>
      <c r="G21" s="18">
        <f t="shared" si="5"/>
        <v>-355156.36467662227</v>
      </c>
      <c r="H21" s="18">
        <f t="shared" si="5"/>
        <v>-365811.05561692093</v>
      </c>
      <c r="I21" s="18">
        <f t="shared" si="5"/>
        <v>-376785.38728542859</v>
      </c>
      <c r="J21" s="18">
        <f t="shared" si="5"/>
        <v>-388088.94890399143</v>
      </c>
      <c r="K21" s="19">
        <f t="shared" si="5"/>
        <v>-399731.61737111118</v>
      </c>
      <c r="N21" s="3558"/>
      <c r="O21" s="3560"/>
      <c r="Q21" s="47">
        <v>1</v>
      </c>
      <c r="R21" s="869">
        <f>-B32</f>
        <v>34609</v>
      </c>
      <c r="S21" s="869">
        <f>B33+R21</f>
        <v>34609.411010275275</v>
      </c>
      <c r="Z21" s="1719" t="s">
        <v>6459</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-26839</v>
      </c>
      <c r="C22" s="18">
        <f>IF(AND('Part VI-Pro Forma'!$G$9="Yes",'Part VI-Pro Forma'!$G$10="Yes"),"Choose One!",IF('Part VI-Pro Forma'!$G$9="Yes",ROUND((-$K$9*(1+'Part VI-Pro Forma'!$B$7)^('Part VI-Pro Forma'!C14-1)),),IF('Part VI-Pro Forma'!$G$10="Yes",ROUND((-(SUM(C15:C18)*'Part VI-Pro Forma'!$K$10)),),"Choose mgt fee")))</f>
        <v>-27376</v>
      </c>
      <c r="D22" s="18">
        <f>IF(AND('Part VI-Pro Forma'!$G$9="Yes",'Part VI-Pro Forma'!$G$10="Yes"),"Choose One!",IF('Part VI-Pro Forma'!$G$9="Yes",ROUND((-$K$9*(1+'Part VI-Pro Forma'!$B$7)^('Part VI-Pro Forma'!D14-1)),),IF('Part VI-Pro Forma'!$G$10="Yes",ROUND((-(SUM(D15:D18)*'Part VI-Pro Forma'!$K$10)),),"Choose mgt fee")))</f>
        <v>-27923</v>
      </c>
      <c r="E22" s="18">
        <f>IF(AND('Part VI-Pro Forma'!$G$9="Yes",'Part VI-Pro Forma'!$G$10="Yes"),"Choose One!",IF('Part VI-Pro Forma'!$G$9="Yes",ROUND((-$K$9*(1+'Part VI-Pro Forma'!$B$7)^('Part VI-Pro Forma'!E14-1)),),IF('Part VI-Pro Forma'!$G$10="Yes",ROUND((-(SUM(E15:E18)*'Part VI-Pro Forma'!$K$10)),),"Choose mgt fee")))</f>
        <v>-28482</v>
      </c>
      <c r="F22" s="18">
        <f>IF(AND('Part VI-Pro Forma'!$G$9="Yes",'Part VI-Pro Forma'!$G$10="Yes"),"Choose One!",IF('Part VI-Pro Forma'!$G$9="Yes",ROUND((-$K$9*(1+'Part VI-Pro Forma'!$B$7)^('Part VI-Pro Forma'!F14-1)),),IF('Part VI-Pro Forma'!$G$10="Yes",ROUND((-(SUM(F15:F18)*'Part VI-Pro Forma'!$K$10)),),"Choose mgt fee")))</f>
        <v>-29051</v>
      </c>
      <c r="G22" s="18">
        <f>IF(AND('Part VI-Pro Forma'!$G$9="Yes",'Part VI-Pro Forma'!$G$10="Yes"),"Choose One!",IF('Part VI-Pro Forma'!$G$9="Yes",ROUND((-$K$9*(1+'Part VI-Pro Forma'!$B$7)^('Part VI-Pro Forma'!G14-1)),),IF('Part VI-Pro Forma'!$G$10="Yes",ROUND((-(SUM(G15:G18)*'Part VI-Pro Forma'!$K$10)),),"Choose mgt fee")))</f>
        <v>-29632</v>
      </c>
      <c r="H22" s="18">
        <f>IF(AND('Part VI-Pro Forma'!$G$9="Yes",'Part VI-Pro Forma'!$G$10="Yes"),"Choose One!",IF('Part VI-Pro Forma'!$G$9="Yes",ROUND((-$K$9*(1+'Part VI-Pro Forma'!$B$7)^('Part VI-Pro Forma'!H14-1)),),IF('Part VI-Pro Forma'!$G$10="Yes",ROUND((-(SUM(H15:H18)*'Part VI-Pro Forma'!$K$10)),),"Choose mgt fee")))</f>
        <v>-30225</v>
      </c>
      <c r="I22" s="18">
        <f>IF(AND('Part VI-Pro Forma'!$G$9="Yes",'Part VI-Pro Forma'!$G$10="Yes"),"Choose One!",IF('Part VI-Pro Forma'!$G$9="Yes",ROUND((-$K$9*(1+'Part VI-Pro Forma'!$B$7)^('Part VI-Pro Forma'!I14-1)),),IF('Part VI-Pro Forma'!$G$10="Yes",ROUND((-(SUM(I15:I18)*'Part VI-Pro Forma'!$K$10)),),"Choose mgt fee")))</f>
        <v>-30829</v>
      </c>
      <c r="J22" s="18">
        <f>IF(AND('Part VI-Pro Forma'!$G$9="Yes",'Part VI-Pro Forma'!$G$10="Yes"),"Choose One!",IF('Part VI-Pro Forma'!$G$9="Yes",ROUND((-$K$9*(1+'Part VI-Pro Forma'!$B$7)^('Part VI-Pro Forma'!J14-1)),),IF('Part VI-Pro Forma'!$G$10="Yes",ROUND((-(SUM(J15:J18)*'Part VI-Pro Forma'!$K$10)),),"Choose mgt fee")))</f>
        <v>-31446</v>
      </c>
      <c r="K22" s="19">
        <f>IF(AND('Part VI-Pro Forma'!$G$9="Yes",'Part VI-Pro Forma'!$G$10="Yes"),"Choose One!",IF('Part VI-Pro Forma'!$G$9="Yes",ROUND((-$K$9*(1+'Part VI-Pro Forma'!$B$7)^('Part VI-Pro Forma'!K14-1)),),IF('Part VI-Pro Forma'!$G$10="Yes",ROUND((-(SUM(K15:K18)*'Part VI-Pro Forma'!$K$10)),),"Choose mgt fee")))</f>
        <v>-32075</v>
      </c>
      <c r="N22" s="3558"/>
      <c r="O22" s="3560"/>
      <c r="Q22" s="47">
        <v>2</v>
      </c>
      <c r="R22" s="869">
        <f>-SUM(B32:C32)</f>
        <v>70491</v>
      </c>
      <c r="S22" s="869">
        <f>SUM(B33:C33)+R22</f>
        <v>70491.756580550456</v>
      </c>
      <c r="Z22" s="1719" t="s">
        <v>6459</v>
      </c>
      <c r="AA22" s="1721">
        <v>22</v>
      </c>
    </row>
    <row r="23" spans="1:27" ht="13.35" customHeight="1">
      <c r="A23" s="17" t="s">
        <v>1128</v>
      </c>
      <c r="B23" s="18">
        <f>-('Part V-Revenues &amp; Expenses'!$Q$234)</f>
        <v>-14000</v>
      </c>
      <c r="C23" s="18">
        <f t="shared" ref="C23:K23" si="6">$B$23*(1+$B$8)^(C14-1)</f>
        <v>-14420</v>
      </c>
      <c r="D23" s="18">
        <f t="shared" si="6"/>
        <v>-14852.599999999999</v>
      </c>
      <c r="E23" s="18">
        <f t="shared" si="6"/>
        <v>-15298.178</v>
      </c>
      <c r="F23" s="18">
        <f t="shared" si="6"/>
        <v>-15757.123339999998</v>
      </c>
      <c r="G23" s="18">
        <f t="shared" si="6"/>
        <v>-16229.837040199998</v>
      </c>
      <c r="H23" s="18">
        <f t="shared" si="6"/>
        <v>-16716.732151405999</v>
      </c>
      <c r="I23" s="18">
        <f t="shared" si="6"/>
        <v>-17218.23411594818</v>
      </c>
      <c r="J23" s="18">
        <f t="shared" si="6"/>
        <v>-17734.781139426625</v>
      </c>
      <c r="K23" s="19">
        <f t="shared" si="6"/>
        <v>-18266.824573609421</v>
      </c>
      <c r="N23" s="3558"/>
      <c r="O23" s="3560"/>
      <c r="Q23" s="47">
        <v>3</v>
      </c>
      <c r="R23" s="869">
        <f>-SUM(B32:D32)</f>
        <v>107576</v>
      </c>
      <c r="S23" s="869">
        <f>SUM(B33:D33)+R23</f>
        <v>107577.12710202561</v>
      </c>
      <c r="Z23" s="1719" t="s">
        <v>6459</v>
      </c>
      <c r="AA23" s="1721">
        <v>23</v>
      </c>
    </row>
    <row r="24" spans="1:27" ht="13.35"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145788</v>
      </c>
      <c r="S24" s="869">
        <f>SUM(B33:E33)+R24</f>
        <v>145789.53152472482</v>
      </c>
      <c r="Z24" s="1719" t="s">
        <v>6459</v>
      </c>
      <c r="AA24" s="1721">
        <v>24</v>
      </c>
    </row>
    <row r="25" spans="1:27" ht="13.35" customHeight="1">
      <c r="A25" s="17" t="s">
        <v>1129</v>
      </c>
      <c r="B25" s="18">
        <f>SUM(B20:B24)</f>
        <v>223838.228</v>
      </c>
      <c r="C25" s="18">
        <f t="shared" ref="C25:J25" si="7">SUM(C20:C24)</f>
        <v>225111.16255999991</v>
      </c>
      <c r="D25" s="18">
        <f t="shared" si="7"/>
        <v>226314.18751119988</v>
      </c>
      <c r="E25" s="18">
        <f t="shared" si="7"/>
        <v>227441.22141242394</v>
      </c>
      <c r="F25" s="18">
        <f t="shared" si="7"/>
        <v>228490.01469620259</v>
      </c>
      <c r="G25" s="18">
        <f t="shared" si="7"/>
        <v>229454.14371132242</v>
      </c>
      <c r="H25" s="18">
        <f t="shared" si="7"/>
        <v>230329.00456838065</v>
      </c>
      <c r="I25" s="18">
        <f t="shared" si="7"/>
        <v>231110.80678206487</v>
      </c>
      <c r="J25" s="18">
        <f t="shared" si="7"/>
        <v>231792.56670369249</v>
      </c>
      <c r="K25" s="1215">
        <f>SUM(K20:K24)</f>
        <v>232370.10073733222</v>
      </c>
      <c r="N25" s="3558"/>
      <c r="O25" s="3560"/>
      <c r="Q25" s="92">
        <v>5</v>
      </c>
      <c r="R25" s="869">
        <f>-SUM(B32:F32)</f>
        <v>185049</v>
      </c>
      <c r="S25" s="869">
        <f>SUM(B33:F33)+R25</f>
        <v>185050.72923120268</v>
      </c>
      <c r="Z25" s="1719" t="s">
        <v>6459</v>
      </c>
      <c r="AA25" s="1721">
        <v>25</v>
      </c>
    </row>
    <row r="26" spans="1:27" ht="13.35" customHeight="1">
      <c r="A26" s="341" t="s">
        <v>1486</v>
      </c>
      <c r="B26" s="342">
        <f>IF('Part II-Sources of Funds'!$P$40="", 0,-'Part II-Sources of Funds'!$P$40)</f>
        <v>-184228.81698972473</v>
      </c>
      <c r="C26" s="342">
        <f>IF('Part II-Sources of Funds'!$P$40="", 0,-'Part II-Sources of Funds'!$P$40)</f>
        <v>-184228.81698972473</v>
      </c>
      <c r="D26" s="342">
        <f>IF('Part II-Sources of Funds'!$P$40="", 0,-'Part II-Sources of Funds'!$P$40)</f>
        <v>-184228.81698972473</v>
      </c>
      <c r="E26" s="342">
        <f>IF('Part II-Sources of Funds'!$P$40="", 0,-'Part II-Sources of Funds'!$P$40)</f>
        <v>-184228.81698972473</v>
      </c>
      <c r="F26" s="342">
        <f>IF('Part II-Sources of Funds'!$P$40="", 0,-'Part II-Sources of Funds'!$P$40)</f>
        <v>-184228.81698972473</v>
      </c>
      <c r="G26" s="342">
        <f>IF('Part II-Sources of Funds'!$P$40="", 0,-'Part II-Sources of Funds'!$P$40)</f>
        <v>-184228.81698972473</v>
      </c>
      <c r="H26" s="342">
        <f>IF('Part II-Sources of Funds'!$P$40="", 0,-'Part II-Sources of Funds'!$P$40)</f>
        <v>-184228.81698972473</v>
      </c>
      <c r="I26" s="342">
        <f>IF('Part II-Sources of Funds'!$P$40="", 0,-'Part II-Sources of Funds'!$P$40)</f>
        <v>-184228.81698972473</v>
      </c>
      <c r="J26" s="342">
        <f>IF('Part II-Sources of Funds'!$P$40="", 0,-'Part II-Sources of Funds'!$P$40)</f>
        <v>-184228.81698972473</v>
      </c>
      <c r="K26" s="342">
        <f>IF('Part II-Sources of Funds'!$P$40="", 0,-'Part II-Sources of Funds'!$P$40)</f>
        <v>-184228.81698972473</v>
      </c>
      <c r="N26" s="3558"/>
      <c r="O26" s="3560"/>
      <c r="Q26" s="92">
        <v>6</v>
      </c>
      <c r="R26" s="869">
        <f>-SUM(B32:G32)</f>
        <v>225274</v>
      </c>
      <c r="S26" s="869">
        <f>SUM(B33:G33)+R26</f>
        <v>225276.05595280038</v>
      </c>
      <c r="Z26" s="1719" t="s">
        <v>6459</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8"/>
      <c r="O27" s="3560"/>
      <c r="Q27" s="92">
        <v>7</v>
      </c>
      <c r="R27" s="869">
        <f>-SUM(B32:H32)</f>
        <v>266374</v>
      </c>
      <c r="S27" s="869">
        <f>SUM(B33:H33)+R27</f>
        <v>266376.24353145633</v>
      </c>
      <c r="Z27" s="1719" t="s">
        <v>6459</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308255.5</v>
      </c>
      <c r="S28" s="869">
        <f>SUM(B33:I33)+R28</f>
        <v>308258.23332379642</v>
      </c>
      <c r="Z28" s="1719" t="s">
        <v>6459</v>
      </c>
      <c r="AA28" s="1721">
        <v>28</v>
      </c>
    </row>
    <row r="29" spans="1:27" ht="13.35" customHeight="1">
      <c r="A29" s="341" t="s">
        <v>3283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350819</v>
      </c>
      <c r="S29" s="869">
        <f>SUM(B33:J33)+R29</f>
        <v>350821.98303776421</v>
      </c>
      <c r="Z29" s="1719" t="s">
        <v>6459</v>
      </c>
      <c r="AA29" s="1721">
        <v>29</v>
      </c>
    </row>
    <row r="30" spans="1:27" ht="13.35" customHeight="1">
      <c r="A30" s="17" t="s">
        <v>711</v>
      </c>
      <c r="B30" s="138"/>
      <c r="C30" s="138"/>
      <c r="D30" s="138"/>
      <c r="E30" s="138"/>
      <c r="F30" s="138"/>
      <c r="G30" s="138"/>
      <c r="H30" s="138"/>
      <c r="I30" s="138"/>
      <c r="J30" s="138"/>
      <c r="K30" s="138"/>
      <c r="N30" s="3558"/>
      <c r="O30" s="3560"/>
      <c r="Q30" s="92">
        <v>10</v>
      </c>
      <c r="R30" s="869">
        <f>-SUM(B32:K32)</f>
        <v>393960</v>
      </c>
      <c r="S30" s="869">
        <f>SUM(B33:K33)+R30</f>
        <v>393963.2667853717</v>
      </c>
      <c r="Z30" s="1719" t="s">
        <v>6459</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58"/>
      <c r="O31" s="3560"/>
      <c r="Q31" s="92">
        <v>11</v>
      </c>
      <c r="R31" s="869">
        <f>-SUM(B32:K32)-B64</f>
        <v>437569</v>
      </c>
      <c r="S31" s="869">
        <f>SUM(B33:K33)+B65+R31</f>
        <v>437572.46812827862</v>
      </c>
      <c r="Z31" s="1719" t="s">
        <v>6459</v>
      </c>
      <c r="AA31" s="1721">
        <v>31</v>
      </c>
    </row>
    <row r="32" spans="1:27" ht="13.35" customHeight="1">
      <c r="A32" s="341" t="s">
        <v>3360</v>
      </c>
      <c r="B32" s="179">
        <v>-34609</v>
      </c>
      <c r="C32" s="179">
        <v>-35882</v>
      </c>
      <c r="D32" s="179">
        <v>-37085</v>
      </c>
      <c r="E32" s="179">
        <v>-38212</v>
      </c>
      <c r="F32" s="179">
        <v>-39261</v>
      </c>
      <c r="G32" s="179">
        <v>-40225</v>
      </c>
      <c r="H32" s="179">
        <v>-41100</v>
      </c>
      <c r="I32" s="179">
        <v>-41881.5</v>
      </c>
      <c r="J32" s="179">
        <v>-42563.5</v>
      </c>
      <c r="K32" s="179">
        <v>-43141</v>
      </c>
      <c r="N32" s="3558"/>
      <c r="O32" s="3560"/>
      <c r="Q32" s="92">
        <v>12</v>
      </c>
      <c r="R32" s="869">
        <f>-SUM(B32:K32) - SUM(B64:C64)</f>
        <v>479472</v>
      </c>
      <c r="S32" s="869">
        <f>SUM(B33:K33) + SUM(B65:C65)+R32</f>
        <v>481532.36588580743</v>
      </c>
      <c r="Z32" s="1719" t="s">
        <v>6459</v>
      </c>
      <c r="AA32" s="1721">
        <v>32</v>
      </c>
    </row>
    <row r="33" spans="1:27" ht="13.35" customHeight="1">
      <c r="A33" s="17" t="s">
        <v>1096</v>
      </c>
      <c r="B33" s="18">
        <f t="shared" ref="B33:K33" si="9">SUM(B25:B32)</f>
        <v>0.41101027527474798</v>
      </c>
      <c r="C33" s="18">
        <f t="shared" si="9"/>
        <v>0.3455702751816716</v>
      </c>
      <c r="D33" s="18">
        <f t="shared" si="9"/>
        <v>0.37052147515350953</v>
      </c>
      <c r="E33" s="18">
        <f t="shared" si="9"/>
        <v>0.4044226992118638</v>
      </c>
      <c r="F33" s="18">
        <f t="shared" si="9"/>
        <v>0.19770647786208428</v>
      </c>
      <c r="G33" s="18">
        <f t="shared" si="9"/>
        <v>0.32672159769572318</v>
      </c>
      <c r="H33" s="18">
        <f t="shared" si="9"/>
        <v>0.18757865592488088</v>
      </c>
      <c r="I33" s="18">
        <f t="shared" si="9"/>
        <v>0.48979234014404938</v>
      </c>
      <c r="J33" s="18">
        <f t="shared" si="9"/>
        <v>0.24971396775799803</v>
      </c>
      <c r="K33" s="19">
        <f t="shared" si="9"/>
        <v>0.28374760749284178</v>
      </c>
      <c r="N33" s="3558"/>
      <c r="O33" s="3560"/>
      <c r="Q33" s="92">
        <v>13</v>
      </c>
      <c r="R33" s="869">
        <f>-SUM(B32:K32) - SUM(B64:D64)</f>
        <v>479472</v>
      </c>
      <c r="S33" s="869">
        <f>SUM(B33:K33) + SUM(B65:D65)+R33</f>
        <v>525721.91246768995</v>
      </c>
      <c r="Z33" s="1719" t="s">
        <v>6459</v>
      </c>
      <c r="AA33" s="1721">
        <v>33</v>
      </c>
    </row>
    <row r="34" spans="1:27" ht="13.35" customHeight="1">
      <c r="A34" s="17" t="str">
        <f>IF('Part II-Sources of Funds'!$E$40 = "Neither", "", "DCR Mortgage A")</f>
        <v>DCR Mortgage A</v>
      </c>
      <c r="B34" s="20">
        <f t="shared" ref="B34:K34" si="10">IF(B26=0,"",-B25/B26)</f>
        <v>1.2150011689674176</v>
      </c>
      <c r="C34" s="20">
        <f t="shared" si="10"/>
        <v>1.221910699087621</v>
      </c>
      <c r="D34" s="20">
        <f t="shared" si="10"/>
        <v>1.2284407575814942</v>
      </c>
      <c r="E34" s="20">
        <f t="shared" si="10"/>
        <v>1.2345583341888873</v>
      </c>
      <c r="F34" s="20">
        <f t="shared" si="10"/>
        <v>1.2402512181845391</v>
      </c>
      <c r="G34" s="20">
        <f t="shared" si="10"/>
        <v>1.2454845417811053</v>
      </c>
      <c r="H34" s="20">
        <f t="shared" si="10"/>
        <v>1.2502333149174329</v>
      </c>
      <c r="I34" s="20">
        <f t="shared" si="10"/>
        <v>1.25447696271618</v>
      </c>
      <c r="J34" s="20">
        <f t="shared" si="10"/>
        <v>1.2581775777055584</v>
      </c>
      <c r="K34" s="21">
        <f t="shared" si="10"/>
        <v>1.2613124511910239</v>
      </c>
      <c r="N34" s="3558"/>
      <c r="O34" s="3560"/>
      <c r="Q34" s="92">
        <v>14</v>
      </c>
      <c r="R34" s="869">
        <f>-SUM(B32:K32) - SUM(B64:E64)</f>
        <v>479472</v>
      </c>
      <c r="S34" s="869">
        <f>SUM(B33:K33) + SUM(B65:E65)+R34</f>
        <v>570012.00448629528</v>
      </c>
      <c r="Z34" s="1719" t="s">
        <v>6459</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8"/>
      <c r="O35" s="3560"/>
      <c r="Q35" s="92">
        <v>15</v>
      </c>
      <c r="R35" s="869">
        <f>-SUM(B32:K32) - SUM(B64:F64)</f>
        <v>479472</v>
      </c>
      <c r="S35" s="869">
        <f>SUM(B33:K33) + SUM(B65:F65)+R35</f>
        <v>614268.24539531663</v>
      </c>
      <c r="Z35" s="1719" t="s">
        <v>6459</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479472</v>
      </c>
      <c r="S36" s="869">
        <f>SUM(B33:K33) + SUM(B65:G65)+R36</f>
        <v>658348.69989386969</v>
      </c>
      <c r="Z36" s="1719" t="s">
        <v>6459</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479472</v>
      </c>
      <c r="S37" s="869">
        <f>SUM(B33:K33) + SUM(B65:H65)+R37</f>
        <v>702103.63982669218</v>
      </c>
      <c r="Z37" s="1719" t="s">
        <v>6459</v>
      </c>
      <c r="AA37" s="1721">
        <v>37</v>
      </c>
    </row>
    <row r="38" spans="1:27" ht="13.35" customHeight="1">
      <c r="A38" s="341" t="s">
        <v>3212</v>
      </c>
      <c r="B38" s="20">
        <f t="shared" ref="B38:K38" si="14">IF(AND(B26=0,B27=0,B28=0,B29=0),"",-B25/(B26+B27+B28+B29))</f>
        <v>1.2150011689674176</v>
      </c>
      <c r="C38" s="20">
        <f t="shared" si="14"/>
        <v>1.221910699087621</v>
      </c>
      <c r="D38" s="20">
        <f t="shared" si="14"/>
        <v>1.2284407575814942</v>
      </c>
      <c r="E38" s="20">
        <f t="shared" si="14"/>
        <v>1.2345583341888873</v>
      </c>
      <c r="F38" s="20">
        <f t="shared" si="14"/>
        <v>1.2402512181845391</v>
      </c>
      <c r="G38" s="20">
        <f t="shared" si="14"/>
        <v>1.2454845417811053</v>
      </c>
      <c r="H38" s="20">
        <f t="shared" si="14"/>
        <v>1.2502333149174329</v>
      </c>
      <c r="I38" s="20">
        <f t="shared" si="14"/>
        <v>1.25447696271618</v>
      </c>
      <c r="J38" s="20">
        <f t="shared" si="14"/>
        <v>1.2581775777055584</v>
      </c>
      <c r="K38" s="21">
        <f t="shared" si="14"/>
        <v>1.2613124511910239</v>
      </c>
      <c r="N38" s="3558"/>
      <c r="O38" s="3560"/>
      <c r="Q38" s="47">
        <v>18</v>
      </c>
      <c r="R38" s="869">
        <f>-SUM(B32:K32) - SUM(B64:I64)</f>
        <v>479472</v>
      </c>
      <c r="S38" s="869">
        <f>SUM(B33:K33) + SUM(B65:I65)+R38</f>
        <v>745377.28130260436</v>
      </c>
      <c r="Z38" s="1719" t="s">
        <v>6459</v>
      </c>
      <c r="AA38" s="1721">
        <v>38</v>
      </c>
    </row>
    <row r="39" spans="1:27" ht="13.35" customHeight="1">
      <c r="A39" s="17" t="s">
        <v>718</v>
      </c>
      <c r="B39" s="220">
        <f t="shared" ref="B39:K39" si="15">IF(OR(B22="Choose mgt fee",B22="Choose One!"),"",(B15+B16+B17+B18+B19) / -(B21+B22+B23))</f>
        <v>1.6446953571428571</v>
      </c>
      <c r="C39" s="220">
        <f t="shared" si="15"/>
        <v>1.6299497119095419</v>
      </c>
      <c r="D39" s="220">
        <f t="shared" si="15"/>
        <v>1.6153286807361267</v>
      </c>
      <c r="E39" s="220">
        <f t="shared" si="15"/>
        <v>1.6008235463571996</v>
      </c>
      <c r="F39" s="220">
        <f t="shared" si="15"/>
        <v>1.5864430463056964</v>
      </c>
      <c r="G39" s="220">
        <f t="shared" si="15"/>
        <v>1.57217887549491</v>
      </c>
      <c r="H39" s="220">
        <f t="shared" si="15"/>
        <v>1.5580313722742474</v>
      </c>
      <c r="I39" s="220">
        <f t="shared" si="15"/>
        <v>1.5440043799360552</v>
      </c>
      <c r="J39" s="220">
        <f t="shared" si="15"/>
        <v>1.5300905843189214</v>
      </c>
      <c r="K39" s="221">
        <f t="shared" si="15"/>
        <v>1.5162937402688885</v>
      </c>
      <c r="N39" s="3558"/>
      <c r="O39" s="3560"/>
      <c r="Q39" s="92">
        <v>19</v>
      </c>
      <c r="R39" s="869">
        <f>-SUM(B32:K32) - SUM(B64:J64)</f>
        <v>479472</v>
      </c>
      <c r="S39" s="869">
        <f>SUM(B33:K33) + SUM(B65:J65)+R39</f>
        <v>788006.51274460705</v>
      </c>
      <c r="Z39" s="1719" t="s">
        <v>6459</v>
      </c>
      <c r="AA39" s="1721">
        <v>39</v>
      </c>
    </row>
    <row r="40" spans="1:27" ht="13.35" customHeight="1">
      <c r="A40" s="341" t="s">
        <v>2404</v>
      </c>
      <c r="B40" s="177">
        <f>IF('Part II-Sources of Funds'!$I$40="","",-FV('Part II-Sources of Funds'!$K$40/12,12,B26/12,'Part II-Sources of Funds'!$I$40))</f>
        <v>2578970.855012828</v>
      </c>
      <c r="C40" s="177">
        <f>IF('Part II-Sources of Funds'!$I$40="","",-FV('Part II-Sources of Funds'!$K$40/12,12,C26/12,B40))</f>
        <v>2556577.9418170429</v>
      </c>
      <c r="D40" s="177">
        <f>IF('Part II-Sources of Funds'!$I$40="","",-FV('Part II-Sources of Funds'!$K$40/12,12,D26/12,C40))</f>
        <v>2532732.818218349</v>
      </c>
      <c r="E40" s="177">
        <f>IF('Part II-Sources of Funds'!$I$40="","",-FV('Part II-Sources of Funds'!$K$40/12,12,E26/12,D40))</f>
        <v>2507341.3064277344</v>
      </c>
      <c r="F40" s="177">
        <f>IF('Part II-Sources of Funds'!$I$40="","",-FV('Part II-Sources of Funds'!$K$40/12,12,F26/12,E40))</f>
        <v>2480303.1211004737</v>
      </c>
      <c r="G40" s="177">
        <f>IF('Part II-Sources of Funds'!$I$40="","",-FV('Part II-Sources of Funds'!$K$40/12,12,G26/12,F40))</f>
        <v>2451511.4732529628</v>
      </c>
      <c r="H40" s="177">
        <f>IF('Part II-Sources of Funds'!$I$40="","",-FV('Part II-Sources of Funds'!$K$40/12,12,H26/12,G40))</f>
        <v>2420852.6484930301</v>
      </c>
      <c r="I40" s="177">
        <f>IF('Part II-Sources of Funds'!$I$40="","",-FV('Part II-Sources of Funds'!$K$40/12,12,I26/12,H40))</f>
        <v>2388205.5578979175</v>
      </c>
      <c r="J40" s="177">
        <f>IF('Part II-Sources of Funds'!$I$40="","",-FV('Part II-Sources of Funds'!$K$40/12,12,J26/12,I40))</f>
        <v>2353441.2597660986</v>
      </c>
      <c r="K40" s="177">
        <f>IF('Part II-Sources of Funds'!$I$40="","",-FV('Part II-Sources of Funds'!$K$40/12,12,K26/12,J40))</f>
        <v>2316422.4503540611</v>
      </c>
      <c r="N40" s="3558"/>
      <c r="O40" s="3560"/>
      <c r="Q40" s="92">
        <v>20</v>
      </c>
      <c r="R40" s="869">
        <f>-SUM(B32:K32) - SUM(B64:K64)</f>
        <v>479472</v>
      </c>
      <c r="S40" s="869">
        <f>SUM(B33:K33) + SUM(B65:K65)+R40</f>
        <v>829818.61357592558</v>
      </c>
      <c r="Z40" s="1719" t="s">
        <v>6459</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8"/>
      <c r="O41" s="3560"/>
      <c r="Z41" s="1719" t="s">
        <v>6459</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6459</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6459</v>
      </c>
      <c r="AA43" s="1721">
        <v>43</v>
      </c>
    </row>
    <row r="44" spans="1:27" ht="13.35" customHeight="1">
      <c r="A44" s="341" t="s">
        <v>3361</v>
      </c>
      <c r="B44" s="179">
        <f>IF('Part II-Sources of Funds'!$I$45="","",-FV('Part II-Sources of Funds'!$K$45/12,12,B32/12,'Part II-Sources of Funds'!$I$45))</f>
        <v>444863</v>
      </c>
      <c r="C44" s="179">
        <f>IF('Part II-Sources of Funds'!$I$45="","",IF(-FV('Part II-Sources of Funds'!$K$45/12,12,C32/12,B44)&gt;0,-FV('Part II-Sources of Funds'!$K$45/12,12,C32/12,B44),0))</f>
        <v>408981</v>
      </c>
      <c r="D44" s="179">
        <f>IF('Part II-Sources of Funds'!$I$45="","",IF(-FV('Part II-Sources of Funds'!$K$45/12,12,D32/12,C44)&gt;0,-FV('Part II-Sources of Funds'!$K$45/12,12,D32/12,C44),0))</f>
        <v>371896</v>
      </c>
      <c r="E44" s="179">
        <f>IF('Part II-Sources of Funds'!$I$45="","",IF(-FV('Part II-Sources of Funds'!$K$45/12,12,E32/12,D44)&gt;0,-FV('Part II-Sources of Funds'!$K$45/12,12,E32/12,D44),0))</f>
        <v>333684</v>
      </c>
      <c r="F44" s="179">
        <f>IF('Part II-Sources of Funds'!$I$45="","",IF(-FV('Part II-Sources of Funds'!$K$45/12,12,F32/12,E44)&gt;0,-FV('Part II-Sources of Funds'!$K$45/12,12,F32/12,E44),0))</f>
        <v>294423</v>
      </c>
      <c r="G44" s="179">
        <f>IF('Part II-Sources of Funds'!$I$45="","",IF(-FV('Part II-Sources of Funds'!$K$45/12,12,G32/12,F44)&gt;0,-FV('Part II-Sources of Funds'!$K$45/12,12,G32/12,F44),0))</f>
        <v>254198</v>
      </c>
      <c r="H44" s="179">
        <f>IF('Part II-Sources of Funds'!$I$45="","",IF(-FV('Part II-Sources of Funds'!$K$45/12,12,H32/12,G44)&gt;0,-FV('Part II-Sources of Funds'!$K$45/12,12,H32/12,G44),0))</f>
        <v>213098</v>
      </c>
      <c r="I44" s="179">
        <f>IF('Part II-Sources of Funds'!$I$45="","",IF(-FV('Part II-Sources of Funds'!$K$45/12,12,I32/12,H44)&gt;0,-FV('Part II-Sources of Funds'!$K$45/12,12,I32/12,H44),0))</f>
        <v>171216.5</v>
      </c>
      <c r="J44" s="179">
        <f>IF('Part II-Sources of Funds'!$I$45="","",IF(-FV('Part II-Sources of Funds'!$K$45/12,12,J32/12,I44)&gt;0,-FV('Part II-Sources of Funds'!$K$45/12,12,J32/12,I44),0))</f>
        <v>128653</v>
      </c>
      <c r="K44" s="179">
        <f>IF('Part II-Sources of Funds'!$I$45="","",IF(-FV('Part II-Sources of Funds'!$K$45/12,12,K32/12,J44)&gt;0,-FV('Part II-Sources of Funds'!$K$45/12,12,K32/12,J44),0))</f>
        <v>85512</v>
      </c>
      <c r="N44" s="3571"/>
      <c r="O44" s="3573"/>
      <c r="Z44" s="1719" t="s">
        <v>6459</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2408</v>
      </c>
      <c r="O46" s="3196"/>
      <c r="AA46" s="1721">
        <v>46</v>
      </c>
    </row>
    <row r="47" spans="1:27" ht="13.35" customHeight="1">
      <c r="A47" s="14" t="s">
        <v>2214</v>
      </c>
      <c r="B47" s="15">
        <f t="shared" ref="B47:K47" si="17">$B$15*(1+$B$6)^(B46-1)</f>
        <v>733810.2609484439</v>
      </c>
      <c r="C47" s="15">
        <f t="shared" si="17"/>
        <v>748486.46616741258</v>
      </c>
      <c r="D47" s="15">
        <f t="shared" si="17"/>
        <v>763456.19549076096</v>
      </c>
      <c r="E47" s="15">
        <f t="shared" si="17"/>
        <v>778725.31940057618</v>
      </c>
      <c r="F47" s="15">
        <f t="shared" si="17"/>
        <v>794299.8257885878</v>
      </c>
      <c r="G47" s="15">
        <f t="shared" si="17"/>
        <v>810185.82230435929</v>
      </c>
      <c r="H47" s="15">
        <f t="shared" si="17"/>
        <v>826389.53875044663</v>
      </c>
      <c r="I47" s="15">
        <f t="shared" si="17"/>
        <v>842917.3295254556</v>
      </c>
      <c r="J47" s="15">
        <f t="shared" si="17"/>
        <v>859775.67611596466</v>
      </c>
      <c r="K47" s="16">
        <f t="shared" si="17"/>
        <v>876971.18963828392</v>
      </c>
      <c r="N47" s="3561"/>
      <c r="O47" s="3563"/>
      <c r="Z47" s="1719" t="s">
        <v>6460</v>
      </c>
      <c r="AA47" s="1721">
        <v>47</v>
      </c>
    </row>
    <row r="48" spans="1:27" ht="13.35" customHeight="1">
      <c r="A48" s="17" t="s">
        <v>952</v>
      </c>
      <c r="B48" s="18">
        <f t="shared" ref="B48:K48" si="18">$B$16*(1+$B$6)^(B46-1)</f>
        <v>14676.205218968878</v>
      </c>
      <c r="C48" s="18">
        <f t="shared" si="18"/>
        <v>14969.729323348252</v>
      </c>
      <c r="D48" s="18">
        <f t="shared" si="18"/>
        <v>15269.12390981522</v>
      </c>
      <c r="E48" s="18">
        <f t="shared" si="18"/>
        <v>15574.506388011523</v>
      </c>
      <c r="F48" s="18">
        <f t="shared" si="18"/>
        <v>15885.996515771756</v>
      </c>
      <c r="G48" s="18">
        <f t="shared" si="18"/>
        <v>16203.716446087186</v>
      </c>
      <c r="H48" s="18">
        <f t="shared" si="18"/>
        <v>16527.790775008933</v>
      </c>
      <c r="I48" s="18">
        <f t="shared" si="18"/>
        <v>16858.346590509114</v>
      </c>
      <c r="J48" s="18">
        <f t="shared" si="18"/>
        <v>17195.513522319292</v>
      </c>
      <c r="K48" s="19">
        <f t="shared" si="18"/>
        <v>17539.42379276568</v>
      </c>
      <c r="N48" s="3558"/>
      <c r="O48" s="3560"/>
      <c r="Z48" s="1719" t="s">
        <v>6460</v>
      </c>
      <c r="AA48" s="1721">
        <v>48</v>
      </c>
    </row>
    <row r="49" spans="1:27" ht="13.35" customHeight="1">
      <c r="A49" s="17" t="s">
        <v>2215</v>
      </c>
      <c r="B49" s="18">
        <f t="shared" ref="B49:K49" si="19">-(B47+B48)*$B$9</f>
        <v>-52394.0526317189</v>
      </c>
      <c r="C49" s="18">
        <f t="shared" si="19"/>
        <v>-53441.933684353266</v>
      </c>
      <c r="D49" s="18">
        <f t="shared" si="19"/>
        <v>-54510.77235804034</v>
      </c>
      <c r="E49" s="18">
        <f t="shared" si="19"/>
        <v>-55600.987805201141</v>
      </c>
      <c r="F49" s="18">
        <f t="shared" si="19"/>
        <v>-56713.007561305174</v>
      </c>
      <c r="G49" s="18">
        <f t="shared" si="19"/>
        <v>-57847.267712531262</v>
      </c>
      <c r="H49" s="18">
        <f t="shared" si="19"/>
        <v>-59004.2130667819</v>
      </c>
      <c r="I49" s="18">
        <f t="shared" si="19"/>
        <v>-60184.297328117536</v>
      </c>
      <c r="J49" s="18">
        <f t="shared" si="19"/>
        <v>-61387.983274679878</v>
      </c>
      <c r="K49" s="19">
        <f t="shared" si="19"/>
        <v>-62615.742940173477</v>
      </c>
      <c r="N49" s="3558"/>
      <c r="O49" s="3560"/>
      <c r="Z49" s="1719" t="s">
        <v>6460</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6460</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6460</v>
      </c>
      <c r="AA51" s="1721">
        <v>51</v>
      </c>
    </row>
    <row r="52" spans="1:27" ht="13.35" customHeight="1">
      <c r="A52" s="341" t="s">
        <v>3836</v>
      </c>
      <c r="B52" s="18">
        <f t="shared" ref="B52:K52" si="20">SUM(B47:B51)</f>
        <v>696092.41353569389</v>
      </c>
      <c r="C52" s="18">
        <f t="shared" si="20"/>
        <v>710014.26180640759</v>
      </c>
      <c r="D52" s="18">
        <f t="shared" si="20"/>
        <v>724214.54704253585</v>
      </c>
      <c r="E52" s="18">
        <f t="shared" si="20"/>
        <v>738698.83798338659</v>
      </c>
      <c r="F52" s="18">
        <f t="shared" si="20"/>
        <v>753472.81474305433</v>
      </c>
      <c r="G52" s="18">
        <f t="shared" si="20"/>
        <v>768542.27103791526</v>
      </c>
      <c r="H52" s="18">
        <f t="shared" si="20"/>
        <v>783913.11645867373</v>
      </c>
      <c r="I52" s="18">
        <f t="shared" si="20"/>
        <v>799591.37878784724</v>
      </c>
      <c r="J52" s="18">
        <f t="shared" si="20"/>
        <v>815583.20636360405</v>
      </c>
      <c r="K52" s="19">
        <f t="shared" si="20"/>
        <v>831894.87049087614</v>
      </c>
      <c r="N52" s="3558"/>
      <c r="O52" s="3560"/>
      <c r="Z52" s="1719" t="s">
        <v>6460</v>
      </c>
      <c r="AA52" s="1721">
        <v>52</v>
      </c>
    </row>
    <row r="53" spans="1:27" ht="13.35" customHeight="1">
      <c r="A53" s="17" t="s">
        <v>572</v>
      </c>
      <c r="B53" s="18">
        <f t="shared" ref="B53:K53" si="21">$B$21*(1+$B$7)^(B46-1)</f>
        <v>-411723.56589224451</v>
      </c>
      <c r="C53" s="18">
        <f t="shared" si="21"/>
        <v>-424075.27286901185</v>
      </c>
      <c r="D53" s="18">
        <f t="shared" si="21"/>
        <v>-436797.53105508216</v>
      </c>
      <c r="E53" s="18">
        <f t="shared" si="21"/>
        <v>-449901.45698673459</v>
      </c>
      <c r="F53" s="18">
        <f t="shared" si="21"/>
        <v>-463398.50069633668</v>
      </c>
      <c r="G53" s="18">
        <f t="shared" si="21"/>
        <v>-477300.45571722678</v>
      </c>
      <c r="H53" s="18">
        <f t="shared" si="21"/>
        <v>-491619.46938874351</v>
      </c>
      <c r="I53" s="18">
        <f t="shared" si="21"/>
        <v>-506368.05347040581</v>
      </c>
      <c r="J53" s="18">
        <f t="shared" si="21"/>
        <v>-521559.095074518</v>
      </c>
      <c r="K53" s="19">
        <f t="shared" si="21"/>
        <v>-537205.86792675348</v>
      </c>
      <c r="N53" s="3558"/>
      <c r="O53" s="3560"/>
      <c r="Z53" s="1719" t="s">
        <v>6460</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-32716</v>
      </c>
      <c r="C54" s="18">
        <f>IF(AND('Part VI-Pro Forma'!$G$9="Yes",'Part VI-Pro Forma'!$G$10="Yes"),"Choose One!",IF('Part VI-Pro Forma'!$G$9="Yes",ROUND((-$K$9*(1+'Part VI-Pro Forma'!$B$7)^('Part VI-Pro Forma'!C46-1)),),IF('Part VI-Pro Forma'!$G$10="Yes",ROUND((-(SUM(C47:C50)*'Part VI-Pro Forma'!$K$10)),),"Choose mgt fee")))</f>
        <v>-33371</v>
      </c>
      <c r="D54" s="18">
        <f>IF(AND('Part VI-Pro Forma'!$G$9="Yes",'Part VI-Pro Forma'!$G$10="Yes"),"Choose One!",IF('Part VI-Pro Forma'!$G$9="Yes",ROUND((-$K$9*(1+'Part VI-Pro Forma'!$B$7)^('Part VI-Pro Forma'!D46-1)),),IF('Part VI-Pro Forma'!$G$10="Yes",ROUND((-(SUM(D47:D50)*'Part VI-Pro Forma'!$K$10)),),"Choose mgt fee")))</f>
        <v>-34038</v>
      </c>
      <c r="E54" s="18">
        <f>IF(AND('Part VI-Pro Forma'!$G$9="Yes",'Part VI-Pro Forma'!$G$10="Yes"),"Choose One!",IF('Part VI-Pro Forma'!$G$9="Yes",ROUND((-$K$9*(1+'Part VI-Pro Forma'!$B$7)^('Part VI-Pro Forma'!E46-1)),),IF('Part VI-Pro Forma'!$G$10="Yes",ROUND((-(SUM(E47:E50)*'Part VI-Pro Forma'!$K$10)),),"Choose mgt fee")))</f>
        <v>-34719</v>
      </c>
      <c r="F54" s="18">
        <f>IF(AND('Part VI-Pro Forma'!$G$9="Yes",'Part VI-Pro Forma'!$G$10="Yes"),"Choose One!",IF('Part VI-Pro Forma'!$G$9="Yes",ROUND((-$K$9*(1+'Part VI-Pro Forma'!$B$7)^('Part VI-Pro Forma'!F46-1)),),IF('Part VI-Pro Forma'!$G$10="Yes",ROUND((-(SUM(F47:F50)*'Part VI-Pro Forma'!$K$10)),),"Choose mgt fee")))</f>
        <v>-35413</v>
      </c>
      <c r="G54" s="18">
        <f>IF(AND('Part VI-Pro Forma'!$G$9="Yes",'Part VI-Pro Forma'!$G$10="Yes"),"Choose One!",IF('Part VI-Pro Forma'!$G$9="Yes",ROUND((-$K$9*(1+'Part VI-Pro Forma'!$B$7)^('Part VI-Pro Forma'!G46-1)),),IF('Part VI-Pro Forma'!$G$10="Yes",ROUND((-(SUM(G47:G50)*'Part VI-Pro Forma'!$K$10)),),"Choose mgt fee")))</f>
        <v>-36121</v>
      </c>
      <c r="H54" s="18">
        <f>IF(AND('Part VI-Pro Forma'!$G$9="Yes",'Part VI-Pro Forma'!$G$10="Yes"),"Choose One!",IF('Part VI-Pro Forma'!$G$9="Yes",ROUND((-$K$9*(1+'Part VI-Pro Forma'!$B$7)^('Part VI-Pro Forma'!H46-1)),),IF('Part VI-Pro Forma'!$G$10="Yes",ROUND((-(SUM(H47:H50)*'Part VI-Pro Forma'!$K$10)),),"Choose mgt fee")))</f>
        <v>-36844</v>
      </c>
      <c r="I54" s="18">
        <f>IF(AND('Part VI-Pro Forma'!$G$9="Yes",'Part VI-Pro Forma'!$G$10="Yes"),"Choose One!",IF('Part VI-Pro Forma'!$G$9="Yes",ROUND((-$K$9*(1+'Part VI-Pro Forma'!$B$7)^('Part VI-Pro Forma'!I46-1)),),IF('Part VI-Pro Forma'!$G$10="Yes",ROUND((-(SUM(I47:I50)*'Part VI-Pro Forma'!$K$10)),),"Choose mgt fee")))</f>
        <v>-37581</v>
      </c>
      <c r="J54" s="18">
        <f>IF(AND('Part VI-Pro Forma'!$G$9="Yes",'Part VI-Pro Forma'!$G$10="Yes"),"Choose One!",IF('Part VI-Pro Forma'!$G$9="Yes",ROUND((-$K$9*(1+'Part VI-Pro Forma'!$B$7)^('Part VI-Pro Forma'!J46-1)),),IF('Part VI-Pro Forma'!$G$10="Yes",ROUND((-(SUM(J47:J50)*'Part VI-Pro Forma'!$K$10)),),"Choose mgt fee")))</f>
        <v>-38332</v>
      </c>
      <c r="K54" s="19">
        <f>IF(AND('Part VI-Pro Forma'!$G$9="Yes",'Part VI-Pro Forma'!$G$10="Yes"),"Choose One!",IF('Part VI-Pro Forma'!$G$9="Yes",ROUND((-$K$9*(1+'Part VI-Pro Forma'!$B$7)^('Part VI-Pro Forma'!K46-1)),),IF('Part VI-Pro Forma'!$G$10="Yes",ROUND((-(SUM(K47:K50)*'Part VI-Pro Forma'!$K$10)),),"Choose mgt fee")))</f>
        <v>-39099</v>
      </c>
      <c r="N54" s="3558"/>
      <c r="O54" s="3560"/>
      <c r="Z54" s="1719" t="s">
        <v>6460</v>
      </c>
      <c r="AA54" s="1721">
        <v>54</v>
      </c>
    </row>
    <row r="55" spans="1:27" ht="13.35" customHeight="1">
      <c r="A55" s="17" t="s">
        <v>1128</v>
      </c>
      <c r="B55" s="18">
        <f t="shared" ref="B55:K55" si="22">$B$23*(1+$B$8)^(B46-1)</f>
        <v>-18814.829310817706</v>
      </c>
      <c r="C55" s="18">
        <f t="shared" si="22"/>
        <v>-19379.274190142238</v>
      </c>
      <c r="D55" s="18">
        <f t="shared" si="22"/>
        <v>-19960.6524158465</v>
      </c>
      <c r="E55" s="18">
        <f t="shared" si="22"/>
        <v>-20559.471988321893</v>
      </c>
      <c r="F55" s="18">
        <f t="shared" si="22"/>
        <v>-21176.256147971555</v>
      </c>
      <c r="G55" s="18">
        <f t="shared" si="22"/>
        <v>-21811.543832410702</v>
      </c>
      <c r="H55" s="18">
        <f t="shared" si="22"/>
        <v>-22465.890147383019</v>
      </c>
      <c r="I55" s="18">
        <f t="shared" si="22"/>
        <v>-23139.866851804509</v>
      </c>
      <c r="J55" s="18">
        <f t="shared" si="22"/>
        <v>-23834.062857358644</v>
      </c>
      <c r="K55" s="19">
        <f t="shared" si="22"/>
        <v>-24549.084743079406</v>
      </c>
      <c r="N55" s="3558"/>
      <c r="O55" s="3560"/>
      <c r="Q55" s="92"/>
      <c r="R55" s="869"/>
      <c r="S55" s="869"/>
      <c r="Z55" s="1719" t="s">
        <v>6460</v>
      </c>
      <c r="AA55" s="1721">
        <v>55</v>
      </c>
    </row>
    <row r="56" spans="1:27" ht="13.35"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6460</v>
      </c>
      <c r="AA56" s="1721">
        <v>56</v>
      </c>
    </row>
    <row r="57" spans="1:27" ht="13.35" customHeight="1">
      <c r="A57" s="17" t="s">
        <v>1129</v>
      </c>
      <c r="B57" s="18">
        <f t="shared" ref="B57:K57" si="23">SUM(B52:B56)</f>
        <v>232838.01833263168</v>
      </c>
      <c r="C57" s="18">
        <f t="shared" si="23"/>
        <v>233188.71474725351</v>
      </c>
      <c r="D57" s="18">
        <f t="shared" si="23"/>
        <v>233418.36357160719</v>
      </c>
      <c r="E57" s="18">
        <f t="shared" si="23"/>
        <v>233518.90900833011</v>
      </c>
      <c r="F57" s="18">
        <f t="shared" si="23"/>
        <v>233485.0578987461</v>
      </c>
      <c r="G57" s="18">
        <f t="shared" si="23"/>
        <v>233309.27148827777</v>
      </c>
      <c r="H57" s="18">
        <f t="shared" si="23"/>
        <v>232983.75692254718</v>
      </c>
      <c r="I57" s="18">
        <f t="shared" si="23"/>
        <v>232502.45846563691</v>
      </c>
      <c r="J57" s="18">
        <f t="shared" si="23"/>
        <v>231858.04843172739</v>
      </c>
      <c r="K57" s="1215">
        <f t="shared" si="23"/>
        <v>231040.91782104326</v>
      </c>
      <c r="N57" s="3558"/>
      <c r="O57" s="3560"/>
      <c r="Z57" s="1719" t="s">
        <v>6460</v>
      </c>
      <c r="AA57" s="1721">
        <v>57</v>
      </c>
    </row>
    <row r="58" spans="1:27" ht="13.35" customHeight="1">
      <c r="A58" s="17" t="str">
        <f>$A26</f>
        <v>Mortgage A</v>
      </c>
      <c r="B58" s="342">
        <f>IF('Part II-Sources of Funds'!$P$40="", 0,-'Part II-Sources of Funds'!$P$40)</f>
        <v>-184228.81698972473</v>
      </c>
      <c r="C58" s="342">
        <f>IF('Part II-Sources of Funds'!$P$40="", 0,-'Part II-Sources of Funds'!$P$40)</f>
        <v>-184228.81698972473</v>
      </c>
      <c r="D58" s="342">
        <f>IF('Part II-Sources of Funds'!$P$40="", 0,-'Part II-Sources of Funds'!$P$40)</f>
        <v>-184228.81698972473</v>
      </c>
      <c r="E58" s="342">
        <f>IF('Part II-Sources of Funds'!$P$40="", 0,-'Part II-Sources of Funds'!$P$40)</f>
        <v>-184228.81698972473</v>
      </c>
      <c r="F58" s="342">
        <f>IF('Part II-Sources of Funds'!$P$40="", 0,-'Part II-Sources of Funds'!$P$40)</f>
        <v>-184228.81698972473</v>
      </c>
      <c r="G58" s="342">
        <f>IF('Part II-Sources of Funds'!$P$40="", 0,-'Part II-Sources of Funds'!$P$40)</f>
        <v>-184228.81698972473</v>
      </c>
      <c r="H58" s="342">
        <f>IF('Part II-Sources of Funds'!$P$40="", 0,-'Part II-Sources of Funds'!$P$40)</f>
        <v>-184228.81698972473</v>
      </c>
      <c r="I58" s="342">
        <f>IF('Part II-Sources of Funds'!$P$40="", 0,-'Part II-Sources of Funds'!$P$40)</f>
        <v>-184228.81698972473</v>
      </c>
      <c r="J58" s="342">
        <f>IF('Part II-Sources of Funds'!$P$40="", 0,-'Part II-Sources of Funds'!$P$40)</f>
        <v>-184228.81698972473</v>
      </c>
      <c r="K58" s="342">
        <f>IF('Part II-Sources of Funds'!$P$40="", 0,-'Part II-Sources of Funds'!$P$40)</f>
        <v>-184228.81698972473</v>
      </c>
      <c r="N58" s="3558"/>
      <c r="O58" s="3560"/>
      <c r="Z58" s="1719" t="s">
        <v>6460</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8"/>
      <c r="O59" s="3560"/>
      <c r="Z59" s="1719" t="s">
        <v>6460</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6460</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6460</v>
      </c>
      <c r="AA61" s="1721">
        <v>61</v>
      </c>
    </row>
    <row r="62" spans="1:27" ht="13.35" customHeight="1">
      <c r="A62" s="17" t="s">
        <v>711</v>
      </c>
      <c r="B62" s="138"/>
      <c r="C62" s="138"/>
      <c r="D62" s="138"/>
      <c r="E62" s="138"/>
      <c r="F62" s="138"/>
      <c r="G62" s="138"/>
      <c r="H62" s="138"/>
      <c r="I62" s="138"/>
      <c r="J62" s="138"/>
      <c r="K62" s="138"/>
      <c r="N62" s="3558"/>
      <c r="O62" s="3560"/>
      <c r="Q62" s="92"/>
      <c r="R62" s="869"/>
      <c r="Z62" s="1719" t="s">
        <v>6460</v>
      </c>
      <c r="AA62" s="1721">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58"/>
      <c r="O63" s="3560"/>
      <c r="Z63" s="1719" t="s">
        <v>6460</v>
      </c>
      <c r="AA63" s="1721">
        <v>63</v>
      </c>
    </row>
    <row r="64" spans="1:27" ht="13.35" customHeight="1">
      <c r="A64" s="341" t="s">
        <v>3360</v>
      </c>
      <c r="B64" s="179">
        <v>-43609</v>
      </c>
      <c r="C64" s="179">
        <v>-41903</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8"/>
      <c r="O64" s="3560"/>
      <c r="Z64" s="1719" t="s">
        <v>6460</v>
      </c>
      <c r="AA64" s="1721">
        <v>64</v>
      </c>
    </row>
    <row r="65" spans="1:27" ht="13.35" customHeight="1">
      <c r="A65" s="17" t="s">
        <v>1096</v>
      </c>
      <c r="B65" s="18">
        <f t="shared" ref="B65:K65" si="25">SUM(B57:B64)</f>
        <v>0.20134290694841184</v>
      </c>
      <c r="C65" s="18">
        <f t="shared" si="25"/>
        <v>2056.8977575287863</v>
      </c>
      <c r="D65" s="18">
        <f t="shared" si="25"/>
        <v>44189.54658188246</v>
      </c>
      <c r="E65" s="18">
        <f t="shared" si="25"/>
        <v>44290.092018605385</v>
      </c>
      <c r="F65" s="18">
        <f t="shared" si="25"/>
        <v>44256.240909021377</v>
      </c>
      <c r="G65" s="18">
        <f t="shared" si="25"/>
        <v>44080.454498553037</v>
      </c>
      <c r="H65" s="18">
        <f t="shared" si="25"/>
        <v>43754.939932822454</v>
      </c>
      <c r="I65" s="18">
        <f t="shared" si="25"/>
        <v>43273.641475912184</v>
      </c>
      <c r="J65" s="18">
        <f t="shared" si="25"/>
        <v>42629.231442002667</v>
      </c>
      <c r="K65" s="497">
        <f t="shared" si="25"/>
        <v>41812.10083131853</v>
      </c>
      <c r="N65" s="3558"/>
      <c r="O65" s="3560"/>
      <c r="Z65" s="1719" t="s">
        <v>6460</v>
      </c>
      <c r="AA65" s="1721">
        <v>65</v>
      </c>
    </row>
    <row r="66" spans="1:27" ht="13.35" customHeight="1">
      <c r="A66" s="17" t="str">
        <f>$A34</f>
        <v>DCR Mortgage A</v>
      </c>
      <c r="B66" s="20">
        <f t="shared" ref="B66:K66" si="26">IF(B58=0,"",-B57/B58)</f>
        <v>1.2638523230902476</v>
      </c>
      <c r="C66" s="20">
        <f t="shared" si="26"/>
        <v>1.2657559146149189</v>
      </c>
      <c r="D66" s="20">
        <f t="shared" si="26"/>
        <v>1.2670024558895474</v>
      </c>
      <c r="E66" s="20">
        <f t="shared" si="26"/>
        <v>1.2675482197845005</v>
      </c>
      <c r="F66" s="20">
        <f t="shared" si="26"/>
        <v>1.2673644748626303</v>
      </c>
      <c r="G66" s="20">
        <f t="shared" si="26"/>
        <v>1.266410300519329</v>
      </c>
      <c r="H66" s="20">
        <f t="shared" si="26"/>
        <v>1.2646433968880217</v>
      </c>
      <c r="I66" s="20">
        <f t="shared" si="26"/>
        <v>1.2620308932375364</v>
      </c>
      <c r="J66" s="20">
        <f t="shared" si="26"/>
        <v>1.2585330146513352</v>
      </c>
      <c r="K66" s="21">
        <f t="shared" si="26"/>
        <v>1.2540976031666613</v>
      </c>
      <c r="N66" s="3558"/>
      <c r="O66" s="3560"/>
      <c r="Z66" s="1719" t="s">
        <v>6460</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8"/>
      <c r="O67" s="3560"/>
      <c r="Z67" s="1719" t="s">
        <v>6460</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8"/>
      <c r="O68" s="3560"/>
      <c r="Z68" s="1719" t="s">
        <v>6460</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8"/>
      <c r="O69" s="3560"/>
      <c r="Z69" s="1719" t="s">
        <v>6460</v>
      </c>
      <c r="AA69" s="1721">
        <v>69</v>
      </c>
    </row>
    <row r="70" spans="1:27" ht="13.35" customHeight="1">
      <c r="A70" s="341" t="s">
        <v>3212</v>
      </c>
      <c r="B70" s="20">
        <f t="shared" ref="B70:K70" si="30">IF(AND(B58=0,B59=0,B60=0,B61=0),"",-B57/(B58+B59+B60+B61))</f>
        <v>1.2638523230902476</v>
      </c>
      <c r="C70" s="20">
        <f t="shared" si="30"/>
        <v>1.2657559146149189</v>
      </c>
      <c r="D70" s="20">
        <f t="shared" si="30"/>
        <v>1.2670024558895474</v>
      </c>
      <c r="E70" s="20">
        <f t="shared" si="30"/>
        <v>1.2675482197845005</v>
      </c>
      <c r="F70" s="20">
        <f t="shared" si="30"/>
        <v>1.2673644748626303</v>
      </c>
      <c r="G70" s="20">
        <f t="shared" si="30"/>
        <v>1.266410300519329</v>
      </c>
      <c r="H70" s="20">
        <f t="shared" si="30"/>
        <v>1.2646433968880217</v>
      </c>
      <c r="I70" s="20">
        <f t="shared" si="30"/>
        <v>1.2620308932375364</v>
      </c>
      <c r="J70" s="20">
        <f t="shared" si="30"/>
        <v>1.2585330146513352</v>
      </c>
      <c r="K70" s="21">
        <f t="shared" si="30"/>
        <v>1.2540976031666613</v>
      </c>
      <c r="N70" s="3558"/>
      <c r="O70" s="3560"/>
      <c r="Z70" s="1719" t="s">
        <v>6460</v>
      </c>
      <c r="AA70" s="1721">
        <v>70</v>
      </c>
    </row>
    <row r="71" spans="1:27" ht="13.35" customHeight="1">
      <c r="A71" s="17" t="s">
        <v>718</v>
      </c>
      <c r="B71" s="220">
        <f t="shared" ref="B71:K71" si="31">IF(OR(B54="Choose mgt fee",B54="Choose One!"),"",(B47+B48+B49+B50+B51) / -(B53+B54+B55))</f>
        <v>1.5026137274543716</v>
      </c>
      <c r="C71" s="220">
        <f t="shared" si="31"/>
        <v>1.4890440878964157</v>
      </c>
      <c r="D71" s="220">
        <f t="shared" si="31"/>
        <v>1.4755912361030683</v>
      </c>
      <c r="E71" s="220">
        <f t="shared" si="31"/>
        <v>1.4622489842027357</v>
      </c>
      <c r="F71" s="220">
        <f t="shared" si="31"/>
        <v>1.4490202987003304</v>
      </c>
      <c r="G71" s="220">
        <f t="shared" si="31"/>
        <v>1.4359022550638543</v>
      </c>
      <c r="H71" s="220">
        <f t="shared" si="31"/>
        <v>1.422892250866274</v>
      </c>
      <c r="I71" s="220">
        <f t="shared" si="31"/>
        <v>1.4099929484313201</v>
      </c>
      <c r="J71" s="220">
        <f t="shared" si="31"/>
        <v>1.3972041384222578</v>
      </c>
      <c r="K71" s="221">
        <f t="shared" si="31"/>
        <v>1.3845209252505317</v>
      </c>
      <c r="N71" s="3558"/>
      <c r="O71" s="3560"/>
      <c r="Z71" s="1719" t="s">
        <v>6460</v>
      </c>
      <c r="AA71" s="1721">
        <v>71</v>
      </c>
    </row>
    <row r="72" spans="1:27" ht="13.35" customHeight="1">
      <c r="A72" s="341" t="s">
        <v>2404</v>
      </c>
      <c r="B72" s="177">
        <f>IF('Part II-Sources of Funds'!$I$40="","",-FV('Part II-Sources of Funds'!$K$40/12,12,B58/12,K40))</f>
        <v>2277002.9215866886</v>
      </c>
      <c r="C72" s="177">
        <f>IF('Part II-Sources of Funds'!$I$40="","",-FV('Part II-Sources of Funds'!$K$40/12,12,C58/12,B72))</f>
        <v>2235026.9835994337</v>
      </c>
      <c r="D72" s="177">
        <f>IF('Part II-Sources of Funds'!$I$40="","",-FV('Part II-Sources of Funds'!$K$40/12,12,D58/12,C72))</f>
        <v>2190328.8498315769</v>
      </c>
      <c r="E72" s="177">
        <f>IF('Part II-Sources of Funds'!$I$40="","",-FV('Part II-Sources of Funds'!$K$40/12,12,E58/12,D72))</f>
        <v>2142731.9822419635</v>
      </c>
      <c r="F72" s="177">
        <f>IF('Part II-Sources of Funds'!$I$40="","",-FV('Part II-Sources of Funds'!$K$40/12,12,F58/12,E72))</f>
        <v>2092048.3940610997</v>
      </c>
      <c r="G72" s="177">
        <f>IF('Part II-Sources of Funds'!$I$40="","",-FV('Part II-Sources of Funds'!$K$40/12,12,G58/12,F72))</f>
        <v>2038077.9073257931</v>
      </c>
      <c r="H72" s="177">
        <f>IF('Part II-Sources of Funds'!$I$40="","",-FV('Part II-Sources of Funds'!$K$40/12,12,H58/12,G72))</f>
        <v>1980607.362263917</v>
      </c>
      <c r="I72" s="177">
        <f>IF('Part II-Sources of Funds'!$I$40="","",-FV('Part II-Sources of Funds'!$K$40/12,12,I58/12,H72))</f>
        <v>1919409.7754067197</v>
      </c>
      <c r="J72" s="177">
        <f>IF('Part II-Sources of Funds'!$I$40="","",-FV('Part II-Sources of Funds'!$K$40/12,12,J58/12,I72))</f>
        <v>1854243.4431035896</v>
      </c>
      <c r="K72" s="177">
        <f>IF('Part II-Sources of Funds'!$I$40="","",-FV('Part II-Sources of Funds'!$K$40/12,12,K58/12,J72))</f>
        <v>1784850.9868985536</v>
      </c>
      <c r="N72" s="3558"/>
      <c r="O72" s="3560"/>
      <c r="Z72" s="1719" t="s">
        <v>6460</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8"/>
      <c r="O73" s="3560"/>
      <c r="Z73" s="1719" t="s">
        <v>6460</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6460</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6460</v>
      </c>
      <c r="AA75" s="1721">
        <v>75</v>
      </c>
    </row>
    <row r="76" spans="1:27" ht="13.35" customHeight="1">
      <c r="A76" s="341" t="s">
        <v>3361</v>
      </c>
      <c r="B76" s="179">
        <f>IF('Part II-Sources of Funds'!$I$45="","",IF(-FV('Part II-Sources of Funds'!$K$45/12,12,B64/12,K44)&gt;0,-FV('Part II-Sources of Funds'!$K$45/12,12,B64/12,K44),0))</f>
        <v>41903</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9" t="s">
        <v>6460</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2409</v>
      </c>
      <c r="O78" s="3196"/>
      <c r="AA78" s="1721">
        <v>78</v>
      </c>
    </row>
    <row r="79" spans="1:27" ht="13.35" customHeight="1">
      <c r="A79" s="14" t="s">
        <v>2214</v>
      </c>
      <c r="B79" s="15">
        <f t="shared" ref="B79:K79" si="33">$B$15*(1+$B$6)^(B78-1)</f>
        <v>894510.61343104963</v>
      </c>
      <c r="C79" s="15">
        <f t="shared" si="33"/>
        <v>912400.82569967059</v>
      </c>
      <c r="D79" s="15">
        <f t="shared" si="33"/>
        <v>930648.84221366409</v>
      </c>
      <c r="E79" s="15">
        <f t="shared" si="33"/>
        <v>949261.81905793713</v>
      </c>
      <c r="F79" s="15">
        <f t="shared" si="33"/>
        <v>968247.05543909594</v>
      </c>
      <c r="G79" s="15">
        <f t="shared" si="33"/>
        <v>987611.9965478779</v>
      </c>
      <c r="H79" s="15">
        <f t="shared" si="33"/>
        <v>1007364.2364788356</v>
      </c>
      <c r="I79" s="15">
        <f t="shared" si="33"/>
        <v>1027511.5212084121</v>
      </c>
      <c r="J79" s="15">
        <f t="shared" si="33"/>
        <v>1048061.7516325805</v>
      </c>
      <c r="K79" s="16">
        <f t="shared" si="33"/>
        <v>1069022.9866652321</v>
      </c>
      <c r="N79" s="3561"/>
      <c r="O79" s="3563"/>
      <c r="Z79" s="1719" t="s">
        <v>6461</v>
      </c>
      <c r="AA79" s="1721">
        <v>79</v>
      </c>
    </row>
    <row r="80" spans="1:27" ht="13.35" customHeight="1">
      <c r="A80" s="17" t="s">
        <v>952</v>
      </c>
      <c r="B80" s="18">
        <f t="shared" ref="B80:K80" si="34">$B$16*(1+$B$6)^(B78-1)</f>
        <v>17890.212268620995</v>
      </c>
      <c r="C80" s="18">
        <f t="shared" si="34"/>
        <v>18248.016513993414</v>
      </c>
      <c r="D80" s="18">
        <f t="shared" si="34"/>
        <v>18612.976844273282</v>
      </c>
      <c r="E80" s="18">
        <f t="shared" si="34"/>
        <v>18985.236381158746</v>
      </c>
      <c r="F80" s="18">
        <f t="shared" si="34"/>
        <v>19364.941108781921</v>
      </c>
      <c r="G80" s="18">
        <f t="shared" si="34"/>
        <v>19752.239930957559</v>
      </c>
      <c r="H80" s="18">
        <f t="shared" si="34"/>
        <v>20147.284729576713</v>
      </c>
      <c r="I80" s="18">
        <f t="shared" si="34"/>
        <v>20550.230424168243</v>
      </c>
      <c r="J80" s="18">
        <f t="shared" si="34"/>
        <v>20961.23503265161</v>
      </c>
      <c r="K80" s="19">
        <f t="shared" si="34"/>
        <v>21380.45973330464</v>
      </c>
      <c r="N80" s="3558"/>
      <c r="O80" s="3560"/>
      <c r="Z80" s="1719" t="s">
        <v>6461</v>
      </c>
      <c r="AA80" s="1721">
        <v>80</v>
      </c>
    </row>
    <row r="81" spans="1:27" ht="13.35" customHeight="1">
      <c r="A81" s="17" t="s">
        <v>2215</v>
      </c>
      <c r="B81" s="18">
        <f t="shared" ref="B81:K81" si="35">-(B79+B80)*$B$9</f>
        <v>-63868.057798976944</v>
      </c>
      <c r="C81" s="18">
        <f t="shared" si="35"/>
        <v>-65145.418954956484</v>
      </c>
      <c r="D81" s="18">
        <f t="shared" si="35"/>
        <v>-66448.327334055619</v>
      </c>
      <c r="E81" s="18">
        <f t="shared" si="35"/>
        <v>-67777.293880736717</v>
      </c>
      <c r="F81" s="18">
        <f t="shared" si="35"/>
        <v>-69132.83975835146</v>
      </c>
      <c r="G81" s="18">
        <f t="shared" si="35"/>
        <v>-70515.496553518489</v>
      </c>
      <c r="H81" s="18">
        <f t="shared" si="35"/>
        <v>-71925.806484588858</v>
      </c>
      <c r="I81" s="18">
        <f t="shared" si="35"/>
        <v>-73364.322614280638</v>
      </c>
      <c r="J81" s="18">
        <f t="shared" si="35"/>
        <v>-74831.609066566249</v>
      </c>
      <c r="K81" s="19">
        <f t="shared" si="35"/>
        <v>-76328.241247897575</v>
      </c>
      <c r="N81" s="3558"/>
      <c r="O81" s="3560"/>
      <c r="Z81" s="1719" t="s">
        <v>6461</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6461</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6461</v>
      </c>
      <c r="AA83" s="1721">
        <v>83</v>
      </c>
    </row>
    <row r="84" spans="1:27" ht="13.35" customHeight="1">
      <c r="A84" s="341" t="s">
        <v>3836</v>
      </c>
      <c r="B84" s="18">
        <f t="shared" ref="B84:K84" si="36">SUM(B79:B83)</f>
        <v>848532.7679006937</v>
      </c>
      <c r="C84" s="18">
        <f t="shared" si="36"/>
        <v>865503.42325870751</v>
      </c>
      <c r="D84" s="18">
        <f t="shared" si="36"/>
        <v>882813.4917238818</v>
      </c>
      <c r="E84" s="18">
        <f t="shared" si="36"/>
        <v>900469.76155835914</v>
      </c>
      <c r="F84" s="18">
        <f t="shared" si="36"/>
        <v>918479.15678952646</v>
      </c>
      <c r="G84" s="18">
        <f t="shared" si="36"/>
        <v>936848.739925317</v>
      </c>
      <c r="H84" s="18">
        <f t="shared" si="36"/>
        <v>955585.71472382336</v>
      </c>
      <c r="I84" s="18">
        <f t="shared" si="36"/>
        <v>974697.42901829979</v>
      </c>
      <c r="J84" s="18">
        <f t="shared" si="36"/>
        <v>994191.37759866589</v>
      </c>
      <c r="K84" s="19">
        <f t="shared" si="36"/>
        <v>1014075.2051506391</v>
      </c>
      <c r="N84" s="3558"/>
      <c r="O84" s="3560"/>
      <c r="Z84" s="1719" t="s">
        <v>6461</v>
      </c>
      <c r="AA84" s="1721">
        <v>84</v>
      </c>
    </row>
    <row r="85" spans="1:27" ht="13.35" customHeight="1">
      <c r="A85" s="17" t="s">
        <v>572</v>
      </c>
      <c r="B85" s="18">
        <f t="shared" ref="B85:K85" si="37">$B$21*(1+$B$7)^(B78-1)</f>
        <v>-553322.04396455607</v>
      </c>
      <c r="C85" s="18">
        <f t="shared" si="37"/>
        <v>-569921.70528349269</v>
      </c>
      <c r="D85" s="18">
        <f t="shared" si="37"/>
        <v>-587019.35644199757</v>
      </c>
      <c r="E85" s="18">
        <f t="shared" si="37"/>
        <v>-604629.93713525753</v>
      </c>
      <c r="F85" s="18">
        <f t="shared" si="37"/>
        <v>-622768.83524931513</v>
      </c>
      <c r="G85" s="18">
        <f t="shared" si="37"/>
        <v>-641451.90030679456</v>
      </c>
      <c r="H85" s="18">
        <f t="shared" si="37"/>
        <v>-660695.4573159985</v>
      </c>
      <c r="I85" s="18">
        <f t="shared" si="37"/>
        <v>-680516.32103547838</v>
      </c>
      <c r="J85" s="18">
        <f t="shared" si="37"/>
        <v>-700931.81066654273</v>
      </c>
      <c r="K85" s="19">
        <f t="shared" si="37"/>
        <v>-721959.76498653903</v>
      </c>
      <c r="N85" s="3558"/>
      <c r="O85" s="3560"/>
      <c r="Z85" s="1719" t="s">
        <v>6461</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-39881</v>
      </c>
      <c r="C86" s="18">
        <f>IF(AND('Part VI-Pro Forma'!$G$9="Yes",'Part VI-Pro Forma'!$G$10="Yes"),"Choose One!",IF('Part VI-Pro Forma'!$G$9="Yes",ROUND((-$K$9*(1+'Part VI-Pro Forma'!$B$7)^('Part VI-Pro Forma'!C78-1)),),IF('Part VI-Pro Forma'!$G$10="Yes",ROUND((-(SUM(C79:C82)*'Part VI-Pro Forma'!$K$10)),),"Choose mgt fee")))</f>
        <v>-40679</v>
      </c>
      <c r="D86" s="18">
        <f>IF(AND('Part VI-Pro Forma'!$G$9="Yes",'Part VI-Pro Forma'!$G$10="Yes"),"Choose One!",IF('Part VI-Pro Forma'!$G$9="Yes",ROUND((-$K$9*(1+'Part VI-Pro Forma'!$B$7)^('Part VI-Pro Forma'!D78-1)),),IF('Part VI-Pro Forma'!$G$10="Yes",ROUND((-(SUM(D79:D82)*'Part VI-Pro Forma'!$K$10)),),"Choose mgt fee")))</f>
        <v>-41492</v>
      </c>
      <c r="E86" s="18">
        <f>IF(AND('Part VI-Pro Forma'!$G$9="Yes",'Part VI-Pro Forma'!$G$10="Yes"),"Choose One!",IF('Part VI-Pro Forma'!$G$9="Yes",ROUND((-$K$9*(1+'Part VI-Pro Forma'!$B$7)^('Part VI-Pro Forma'!E78-1)),),IF('Part VI-Pro Forma'!$G$10="Yes",ROUND((-(SUM(E79:E82)*'Part VI-Pro Forma'!$K$10)),),"Choose mgt fee")))</f>
        <v>-42322</v>
      </c>
      <c r="F86" s="18">
        <f>IF(AND('Part VI-Pro Forma'!$G$9="Yes",'Part VI-Pro Forma'!$G$10="Yes"),"Choose One!",IF('Part VI-Pro Forma'!$G$9="Yes",ROUND((-$K$9*(1+'Part VI-Pro Forma'!$B$7)^('Part VI-Pro Forma'!F78-1)),),IF('Part VI-Pro Forma'!$G$10="Yes",ROUND((-(SUM(F79:F82)*'Part VI-Pro Forma'!$K$10)),),"Choose mgt fee")))</f>
        <v>-43169</v>
      </c>
      <c r="G86" s="18">
        <f>IF(AND('Part VI-Pro Forma'!$G$9="Yes",'Part VI-Pro Forma'!$G$10="Yes"),"Choose One!",IF('Part VI-Pro Forma'!$G$9="Yes",ROUND((-$K$9*(1+'Part VI-Pro Forma'!$B$7)^('Part VI-Pro Forma'!G78-1)),),IF('Part VI-Pro Forma'!$G$10="Yes",ROUND((-(SUM(G79:G82)*'Part VI-Pro Forma'!$K$10)),),"Choose mgt fee")))</f>
        <v>-44032</v>
      </c>
      <c r="H86" s="18">
        <f>IF(AND('Part VI-Pro Forma'!$G$9="Yes",'Part VI-Pro Forma'!$G$10="Yes"),"Choose One!",IF('Part VI-Pro Forma'!$G$9="Yes",ROUND((-$K$9*(1+'Part VI-Pro Forma'!$B$7)^('Part VI-Pro Forma'!H78-1)),),IF('Part VI-Pro Forma'!$G$10="Yes",ROUND((-(SUM(H79:H82)*'Part VI-Pro Forma'!$K$10)),),"Choose mgt fee")))</f>
        <v>-44913</v>
      </c>
      <c r="I86" s="18">
        <f>IF(AND('Part VI-Pro Forma'!$G$9="Yes",'Part VI-Pro Forma'!$G$10="Yes"),"Choose One!",IF('Part VI-Pro Forma'!$G$9="Yes",ROUND((-$K$9*(1+'Part VI-Pro Forma'!$B$7)^('Part VI-Pro Forma'!I78-1)),),IF('Part VI-Pro Forma'!$G$10="Yes",ROUND((-(SUM(I79:I82)*'Part VI-Pro Forma'!$K$10)),),"Choose mgt fee")))</f>
        <v>-45811</v>
      </c>
      <c r="J86" s="18">
        <f>IF(AND('Part VI-Pro Forma'!$G$9="Yes",'Part VI-Pro Forma'!$G$10="Yes"),"Choose One!",IF('Part VI-Pro Forma'!$G$9="Yes",ROUND((-$K$9*(1+'Part VI-Pro Forma'!$B$7)^('Part VI-Pro Forma'!J78-1)),),IF('Part VI-Pro Forma'!$G$10="Yes",ROUND((-(SUM(J79:J82)*'Part VI-Pro Forma'!$K$10)),),"Choose mgt fee")))</f>
        <v>-46727</v>
      </c>
      <c r="K86" s="19">
        <f>IF(AND('Part VI-Pro Forma'!$G$9="Yes",'Part VI-Pro Forma'!$G$10="Yes"),"Choose One!",IF('Part VI-Pro Forma'!$G$9="Yes",ROUND((-$K$9*(1+'Part VI-Pro Forma'!$B$7)^('Part VI-Pro Forma'!K78-1)),),IF('Part VI-Pro Forma'!$G$10="Yes",ROUND((-(SUM(K79:K82)*'Part VI-Pro Forma'!$K$10)),),"Choose mgt fee")))</f>
        <v>-47662</v>
      </c>
      <c r="N86" s="3558"/>
      <c r="O86" s="3560"/>
      <c r="Z86" s="1719" t="s">
        <v>6461</v>
      </c>
      <c r="AA86" s="1721">
        <v>86</v>
      </c>
    </row>
    <row r="87" spans="1:27" ht="13.35" customHeight="1">
      <c r="A87" s="17" t="s">
        <v>1128</v>
      </c>
      <c r="B87" s="18">
        <f t="shared" ref="B87:K87" si="38">$B$23*(1+$B$8)^(B78-1)</f>
        <v>-25285.557285371786</v>
      </c>
      <c r="C87" s="18">
        <f t="shared" si="38"/>
        <v>-26044.124003932935</v>
      </c>
      <c r="D87" s="18">
        <f t="shared" si="38"/>
        <v>-26825.447724050926</v>
      </c>
      <c r="E87" s="18">
        <f t="shared" si="38"/>
        <v>-27630.211155772457</v>
      </c>
      <c r="F87" s="18">
        <f t="shared" si="38"/>
        <v>-28459.117490445624</v>
      </c>
      <c r="G87" s="18">
        <f t="shared" si="38"/>
        <v>-29312.891015158995</v>
      </c>
      <c r="H87" s="18">
        <f t="shared" si="38"/>
        <v>-30192.277745613766</v>
      </c>
      <c r="I87" s="18">
        <f t="shared" si="38"/>
        <v>-31098.046077982177</v>
      </c>
      <c r="J87" s="18">
        <f t="shared" si="38"/>
        <v>-32030.987460321641</v>
      </c>
      <c r="K87" s="19">
        <f t="shared" si="38"/>
        <v>-32991.917084131288</v>
      </c>
      <c r="N87" s="3558"/>
      <c r="O87" s="3560"/>
      <c r="Q87" s="92"/>
      <c r="R87" s="869"/>
      <c r="S87" s="869"/>
      <c r="Z87" s="1719" t="s">
        <v>6461</v>
      </c>
      <c r="AA87" s="1721">
        <v>87</v>
      </c>
    </row>
    <row r="88" spans="1:27" ht="13.35"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6461</v>
      </c>
      <c r="AA88" s="1721">
        <v>88</v>
      </c>
    </row>
    <row r="89" spans="1:27" ht="13.35" customHeight="1">
      <c r="A89" s="17" t="s">
        <v>1129</v>
      </c>
      <c r="B89" s="18">
        <f t="shared" ref="B89:K89" si="39">SUM(B84:B88)</f>
        <v>230044.16665076584</v>
      </c>
      <c r="C89" s="18">
        <f t="shared" si="39"/>
        <v>228858.59397128189</v>
      </c>
      <c r="D89" s="18">
        <f t="shared" si="39"/>
        <v>227476.6875578333</v>
      </c>
      <c r="E89" s="18">
        <f t="shared" si="39"/>
        <v>225887.61326732917</v>
      </c>
      <c r="F89" s="18">
        <f t="shared" si="39"/>
        <v>224082.20404976571</v>
      </c>
      <c r="G89" s="18">
        <f t="shared" si="39"/>
        <v>222051.94860336345</v>
      </c>
      <c r="H89" s="18">
        <f t="shared" si="39"/>
        <v>219784.97966221109</v>
      </c>
      <c r="I89" s="18">
        <f t="shared" si="39"/>
        <v>217272.06190483924</v>
      </c>
      <c r="J89" s="18">
        <f t="shared" si="39"/>
        <v>214501.57947180152</v>
      </c>
      <c r="K89" s="1215">
        <f t="shared" si="39"/>
        <v>211461.52307996876</v>
      </c>
      <c r="N89" s="3558"/>
      <c r="O89" s="3560"/>
      <c r="Z89" s="1719" t="s">
        <v>6461</v>
      </c>
      <c r="AA89" s="1721">
        <v>89</v>
      </c>
    </row>
    <row r="90" spans="1:27" ht="13.35" customHeight="1">
      <c r="A90" s="17" t="str">
        <f>$A58</f>
        <v>Mortgage A</v>
      </c>
      <c r="B90" s="342">
        <f>IF('Part II-Sources of Funds'!$P$40="", 0,-'Part II-Sources of Funds'!$P$40)</f>
        <v>-184228.81698972473</v>
      </c>
      <c r="C90" s="342">
        <f>IF('Part II-Sources of Funds'!$P$40="", 0,-'Part II-Sources of Funds'!$P$40)</f>
        <v>-184228.81698972473</v>
      </c>
      <c r="D90" s="342">
        <f>IF('Part II-Sources of Funds'!$P$40="", 0,-'Part II-Sources of Funds'!$P$40)</f>
        <v>-184228.81698972473</v>
      </c>
      <c r="E90" s="342">
        <f>IF('Part II-Sources of Funds'!$P$40="", 0,-'Part II-Sources of Funds'!$P$40)</f>
        <v>-184228.81698972473</v>
      </c>
      <c r="F90" s="342">
        <f>IF('Part II-Sources of Funds'!$P$40="", 0,-'Part II-Sources of Funds'!$P$40)</f>
        <v>-184228.81698972473</v>
      </c>
      <c r="G90" s="342">
        <f>IF('Part II-Sources of Funds'!$P$40="", 0,-'Part II-Sources of Funds'!$P$40)</f>
        <v>-184228.81698972473</v>
      </c>
      <c r="H90" s="342">
        <f>IF('Part II-Sources of Funds'!$P$40="", 0,-'Part II-Sources of Funds'!$P$40)</f>
        <v>-184228.81698972473</v>
      </c>
      <c r="I90" s="342">
        <f>IF('Part II-Sources of Funds'!$P$40="", 0,-'Part II-Sources of Funds'!$P$40)</f>
        <v>-184228.81698972473</v>
      </c>
      <c r="J90" s="342">
        <f>IF('Part II-Sources of Funds'!$P$40="", 0,-'Part II-Sources of Funds'!$P$40)</f>
        <v>-184228.81698972473</v>
      </c>
      <c r="K90" s="342">
        <f>IF('Part II-Sources of Funds'!$P$40="", 0,-'Part II-Sources of Funds'!$P$40)</f>
        <v>-184228.81698972473</v>
      </c>
      <c r="N90" s="3558"/>
      <c r="O90" s="3560"/>
      <c r="Z90" s="1719" t="s">
        <v>6461</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8"/>
      <c r="O91" s="3560"/>
      <c r="Z91" s="1719" t="s">
        <v>6461</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6461</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6461</v>
      </c>
      <c r="AA93" s="1721">
        <v>93</v>
      </c>
    </row>
    <row r="94" spans="1:27" ht="13.35" customHeight="1">
      <c r="A94" s="17" t="s">
        <v>711</v>
      </c>
      <c r="B94" s="138"/>
      <c r="C94" s="138"/>
      <c r="D94" s="138"/>
      <c r="E94" s="138"/>
      <c r="F94" s="138"/>
      <c r="G94" s="138"/>
      <c r="H94" s="138"/>
      <c r="I94" s="138"/>
      <c r="J94" s="138"/>
      <c r="K94" s="138"/>
      <c r="N94" s="3558"/>
      <c r="O94" s="3560"/>
      <c r="Z94" s="1719" t="s">
        <v>6461</v>
      </c>
      <c r="AA94" s="1721">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58"/>
      <c r="O95" s="3560"/>
      <c r="Z95" s="1719" t="s">
        <v>6461</v>
      </c>
      <c r="AA95" s="1721">
        <v>95</v>
      </c>
    </row>
    <row r="96" spans="1:27" ht="13.35" customHeight="1">
      <c r="A96" s="17" t="s">
        <v>1096</v>
      </c>
      <c r="B96" s="18">
        <f t="shared" ref="B96:K96" si="41">SUM(B89:B95)</f>
        <v>40815.349661041109</v>
      </c>
      <c r="C96" s="18">
        <f t="shared" si="41"/>
        <v>39629.776981557166</v>
      </c>
      <c r="D96" s="18">
        <f t="shared" si="41"/>
        <v>38247.87056810857</v>
      </c>
      <c r="E96" s="18">
        <f t="shared" si="41"/>
        <v>36658.796277604444</v>
      </c>
      <c r="F96" s="18">
        <f t="shared" si="41"/>
        <v>34853.387060040986</v>
      </c>
      <c r="G96" s="18">
        <f t="shared" si="41"/>
        <v>32823.131613638718</v>
      </c>
      <c r="H96" s="18">
        <f t="shared" si="41"/>
        <v>30556.16267248636</v>
      </c>
      <c r="I96" s="18">
        <f t="shared" si="41"/>
        <v>28043.244915114512</v>
      </c>
      <c r="J96" s="18">
        <f t="shared" si="41"/>
        <v>25272.762482076796</v>
      </c>
      <c r="K96" s="19">
        <f t="shared" si="41"/>
        <v>22232.706090244028</v>
      </c>
      <c r="N96" s="3558"/>
      <c r="O96" s="3560"/>
      <c r="Z96" s="1719" t="s">
        <v>6461</v>
      </c>
      <c r="AA96" s="1721">
        <v>96</v>
      </c>
    </row>
    <row r="97" spans="1:27" ht="13.35" customHeight="1">
      <c r="A97" s="17" t="str">
        <f>$A66</f>
        <v>DCR Mortgage A</v>
      </c>
      <c r="B97" s="20">
        <f t="shared" ref="B97:K97" si="42">IF(B90=0,"",-B89/B90)</f>
        <v>1.248687205452752</v>
      </c>
      <c r="C97" s="20">
        <f t="shared" si="42"/>
        <v>1.2422518784563783</v>
      </c>
      <c r="D97" s="20">
        <f t="shared" si="42"/>
        <v>1.234750845577653</v>
      </c>
      <c r="E97" s="20">
        <f t="shared" si="42"/>
        <v>1.2261252987361253</v>
      </c>
      <c r="F97" s="20">
        <f t="shared" si="42"/>
        <v>1.2163254788867466</v>
      </c>
      <c r="G97" s="20">
        <f t="shared" si="42"/>
        <v>1.2053051864071205</v>
      </c>
      <c r="H97" s="20">
        <f t="shared" si="42"/>
        <v>1.1930000053925847</v>
      </c>
      <c r="I97" s="20">
        <f t="shared" si="42"/>
        <v>1.1793598062183588</v>
      </c>
      <c r="J97" s="20">
        <f t="shared" si="42"/>
        <v>1.1643215376222344</v>
      </c>
      <c r="K97" s="21">
        <f t="shared" si="42"/>
        <v>1.1478200128254794</v>
      </c>
      <c r="N97" s="3558"/>
      <c r="O97" s="3560"/>
      <c r="Z97" s="1719" t="s">
        <v>6461</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8"/>
      <c r="O98" s="3560"/>
      <c r="Z98" s="1719" t="s">
        <v>6461</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8"/>
      <c r="O99" s="3560"/>
      <c r="Z99" s="1719" t="s">
        <v>6461</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8"/>
      <c r="O100" s="3560"/>
      <c r="Z100" s="1719" t="s">
        <v>6461</v>
      </c>
      <c r="AA100" s="1721">
        <v>100</v>
      </c>
    </row>
    <row r="101" spans="1:27" ht="13.35" customHeight="1">
      <c r="A101" s="341" t="s">
        <v>3212</v>
      </c>
      <c r="B101" s="20">
        <f t="shared" ref="B101:K101" si="46">IF(AND(B90=0,B91=0,B92=0,B93=0),"",-B89/(B90+B91+B92+B93))</f>
        <v>1.248687205452752</v>
      </c>
      <c r="C101" s="20">
        <f t="shared" si="46"/>
        <v>1.2422518784563783</v>
      </c>
      <c r="D101" s="20">
        <f t="shared" si="46"/>
        <v>1.234750845577653</v>
      </c>
      <c r="E101" s="20">
        <f t="shared" si="46"/>
        <v>1.2261252987361253</v>
      </c>
      <c r="F101" s="20">
        <f t="shared" si="46"/>
        <v>1.2163254788867466</v>
      </c>
      <c r="G101" s="20">
        <f t="shared" si="46"/>
        <v>1.2053051864071205</v>
      </c>
      <c r="H101" s="20">
        <f t="shared" si="46"/>
        <v>1.1930000053925847</v>
      </c>
      <c r="I101" s="20">
        <f t="shared" si="46"/>
        <v>1.1793598062183588</v>
      </c>
      <c r="J101" s="20">
        <f t="shared" si="46"/>
        <v>1.1643215376222344</v>
      </c>
      <c r="K101" s="21">
        <f t="shared" si="46"/>
        <v>1.1478200128254794</v>
      </c>
      <c r="N101" s="3558"/>
      <c r="O101" s="3560"/>
      <c r="Z101" s="1719" t="s">
        <v>6461</v>
      </c>
      <c r="AA101" s="1721">
        <v>101</v>
      </c>
    </row>
    <row r="102" spans="1:27" ht="13.35" customHeight="1">
      <c r="A102" s="17" t="s">
        <v>718</v>
      </c>
      <c r="B102" s="220">
        <f>IF(OR(B86="Choose mgt fee",B86="Choose One!"),"",(B79+B80+B81+B82+B83) / -(B85+B86+B87))</f>
        <v>1.371945685313942</v>
      </c>
      <c r="C102" s="220">
        <f t="shared" ref="C102:K102" si="47">IF(OR(C86="Choose mgt fee",C86="Choose One!"),"",(C79+C80+C81+C82+C83) / -(C85+C86+C87))</f>
        <v>1.3594760900319183</v>
      </c>
      <c r="D102" s="220">
        <f t="shared" si="47"/>
        <v>1.3471141649785863</v>
      </c>
      <c r="E102" s="220">
        <f t="shared" si="47"/>
        <v>1.3348556048208322</v>
      </c>
      <c r="F102" s="220">
        <f t="shared" si="47"/>
        <v>1.3227004426872031</v>
      </c>
      <c r="G102" s="220">
        <f t="shared" si="47"/>
        <v>1.3106504552051752</v>
      </c>
      <c r="H102" s="220">
        <f t="shared" si="47"/>
        <v>1.2987017669176526</v>
      </c>
      <c r="I102" s="220">
        <f t="shared" si="47"/>
        <v>1.2868560670642186</v>
      </c>
      <c r="J102" s="220">
        <f t="shared" si="47"/>
        <v>1.2751114353261035</v>
      </c>
      <c r="K102" s="221">
        <f t="shared" si="47"/>
        <v>1.2634661329650116</v>
      </c>
      <c r="N102" s="3558"/>
      <c r="O102" s="3560"/>
      <c r="Z102" s="1719" t="s">
        <v>6461</v>
      </c>
      <c r="AA102" s="1721">
        <v>102</v>
      </c>
    </row>
    <row r="103" spans="1:27" ht="13.35" customHeight="1">
      <c r="A103" s="341" t="s">
        <v>2404</v>
      </c>
      <c r="B103" s="177">
        <f>IF('Part II-Sources of Funds'!$I$40="","",-FV('Part II-Sources of Funds'!$K$40/12,12,B90/12,K72))</f>
        <v>1710958.3369981609</v>
      </c>
      <c r="C103" s="177">
        <f>IF('Part II-Sources of Funds'!$I$40="","",-FV('Part II-Sources of Funds'!$K$40/12,12,C90/12,B103))</f>
        <v>1632273.6498158998</v>
      </c>
      <c r="D103" s="177">
        <f>IF('Part II-Sources of Funds'!$I$40="","",-FV('Part II-Sources of Funds'!$K$40/12,12,D90/12,C103))</f>
        <v>1548486.1553179203</v>
      </c>
      <c r="E103" s="177">
        <f>IF('Part II-Sources of Funds'!$I$40="","",-FV('Part II-Sources of Funds'!$K$40/12,12,E90/12,D103))</f>
        <v>1459264.9296175831</v>
      </c>
      <c r="F103" s="177">
        <f>IF('Part II-Sources of Funds'!$I$40="","",-FV('Part II-Sources of Funds'!$K$40/12,12,F90/12,E103))</f>
        <v>1364257.587971122</v>
      </c>
      <c r="G103" s="177">
        <f>IF('Part II-Sources of Funds'!$I$40="","",-FV('Part II-Sources of Funds'!$K$40/12,12,G90/12,F103))</f>
        <v>1263088.8930123255</v>
      </c>
      <c r="H103" s="177">
        <f>IF('Part II-Sources of Funds'!$I$40="","",-FV('Part II-Sources of Funds'!$K$40/12,12,H90/12,G103))</f>
        <v>1155359.2727293724</v>
      </c>
      <c r="I103" s="177">
        <f>IF('Part II-Sources of Funds'!$I$40="","",-FV('Part II-Sources of Funds'!$K$40/12,12,I90/12,H103))</f>
        <v>1040643.2423304832</v>
      </c>
      <c r="J103" s="177">
        <f>IF('Part II-Sources of Funds'!$I$40="","",-FV('Part II-Sources of Funds'!$K$40/12,12,J90/12,I103))</f>
        <v>918487.72376544424</v>
      </c>
      <c r="K103" s="177">
        <f>IF('Part II-Sources of Funds'!$I$40="","",-FV('Part II-Sources of Funds'!$K$40/12,12,K90/12,J103))</f>
        <v>788410.25626585353</v>
      </c>
      <c r="N103" s="3558"/>
      <c r="O103" s="3560"/>
      <c r="Z103" s="1719" t="s">
        <v>6461</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8"/>
      <c r="O104" s="3560"/>
      <c r="Z104" s="1719" t="s">
        <v>6461</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6461</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9" t="s">
        <v>6461</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196" t="s">
        <v>3204</v>
      </c>
      <c r="O108" s="3196"/>
      <c r="AA108" s="1721">
        <v>108</v>
      </c>
    </row>
    <row r="109" spans="1:27" ht="13.35" customHeight="1">
      <c r="A109" s="14" t="s">
        <v>2214</v>
      </c>
      <c r="B109" s="15">
        <f>$B$15*(1+$B$6)^(B108-1)</f>
        <v>1090403.4463985367</v>
      </c>
      <c r="C109" s="15">
        <f>$B$15*(1+$B$6)^(C108-1)</f>
        <v>1112211.5153265072</v>
      </c>
      <c r="D109" s="15">
        <f>$B$15*(1+$B$6)^(D108-1)</f>
        <v>1134455.7456330375</v>
      </c>
      <c r="E109" s="15">
        <f>$B$15*(1+$B$6)^(E108-1)</f>
        <v>1157144.8605456983</v>
      </c>
      <c r="F109" s="497">
        <f>$B$15*(1+$B$6)^(F108-1)</f>
        <v>1180287.7577566123</v>
      </c>
      <c r="G109" s="13"/>
      <c r="H109" s="13"/>
      <c r="I109" s="13"/>
      <c r="J109" s="13"/>
      <c r="K109" s="13"/>
      <c r="N109" s="3561"/>
      <c r="O109" s="3563"/>
      <c r="Z109" s="1719" t="s">
        <v>6462</v>
      </c>
      <c r="AA109" s="1721">
        <v>109</v>
      </c>
    </row>
    <row r="110" spans="1:27" ht="13.35" customHeight="1">
      <c r="A110" s="17" t="s">
        <v>952</v>
      </c>
      <c r="B110" s="18">
        <f>$B$16*(1+$B$6)^(B108-1)</f>
        <v>21808.068927970737</v>
      </c>
      <c r="C110" s="18">
        <f>$B$16*(1+$B$6)^(C108-1)</f>
        <v>22244.230306530146</v>
      </c>
      <c r="D110" s="18">
        <f>$B$16*(1+$B$6)^(D108-1)</f>
        <v>22689.114912660752</v>
      </c>
      <c r="E110" s="18">
        <f>$B$16*(1+$B$6)^(E108-1)</f>
        <v>23142.897210913969</v>
      </c>
      <c r="F110" s="19">
        <f>$B$16*(1+$B$6)^(F108-1)</f>
        <v>23605.755155132247</v>
      </c>
      <c r="G110" s="13"/>
      <c r="H110" s="13"/>
      <c r="I110" s="13"/>
      <c r="J110" s="13"/>
      <c r="K110" s="13"/>
      <c r="N110" s="3558"/>
      <c r="O110" s="3560"/>
      <c r="Z110" s="1719" t="s">
        <v>6462</v>
      </c>
      <c r="AA110" s="1721">
        <v>110</v>
      </c>
    </row>
    <row r="111" spans="1:27" ht="13.35" customHeight="1">
      <c r="A111" s="17" t="s">
        <v>2215</v>
      </c>
      <c r="B111" s="18">
        <f>-(B109+B110)*$B$9</f>
        <v>-77854.806072855528</v>
      </c>
      <c r="C111" s="18">
        <f>-(C109+C110)*$B$9</f>
        <v>-79411.902194312614</v>
      </c>
      <c r="D111" s="18">
        <f>-(D109+D110)*$B$9</f>
        <v>-81000.140238198888</v>
      </c>
      <c r="E111" s="18">
        <f>-(E109+E110)*$B$9</f>
        <v>-82620.143042962867</v>
      </c>
      <c r="F111" s="19">
        <f>-(F109+F110)*$B$9</f>
        <v>-84272.545903822116</v>
      </c>
      <c r="G111" s="13"/>
      <c r="H111" s="13"/>
      <c r="I111" s="13"/>
      <c r="J111" s="13"/>
      <c r="K111" s="13"/>
      <c r="N111" s="3558"/>
      <c r="O111" s="3560"/>
      <c r="Z111" s="1719" t="s">
        <v>6462</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6462</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6462</v>
      </c>
      <c r="AA113" s="1721">
        <v>113</v>
      </c>
    </row>
    <row r="114" spans="1:27" ht="13.35" customHeight="1">
      <c r="A114" s="341" t="s">
        <v>3836</v>
      </c>
      <c r="B114" s="18">
        <f>SUM(B109:B113)</f>
        <v>1034356.7092536519</v>
      </c>
      <c r="C114" s="18">
        <f>SUM(C109:C113)</f>
        <v>1055043.8434387248</v>
      </c>
      <c r="D114" s="18">
        <f>SUM(D109:D113)</f>
        <v>1076144.7203074994</v>
      </c>
      <c r="E114" s="18">
        <f>SUM(E109:E113)</f>
        <v>1097667.6147136495</v>
      </c>
      <c r="F114" s="19">
        <f>SUM(F109:F113)</f>
        <v>1119620.9670079222</v>
      </c>
      <c r="G114" s="13"/>
      <c r="H114" s="13"/>
      <c r="I114" s="13"/>
      <c r="J114" s="13"/>
      <c r="K114" s="13"/>
      <c r="N114" s="3558"/>
      <c r="O114" s="3560"/>
      <c r="Z114" s="1719" t="s">
        <v>6462</v>
      </c>
      <c r="AA114" s="1721">
        <v>114</v>
      </c>
    </row>
    <row r="115" spans="1:27" ht="13.35" customHeight="1">
      <c r="A115" s="17" t="s">
        <v>572</v>
      </c>
      <c r="B115" s="18">
        <f>$B$21*(1+$B$7)^(B108-1)</f>
        <v>-743618.5579361351</v>
      </c>
      <c r="C115" s="18">
        <f>$B$21*(1+$B$7)^(C108-1)</f>
        <v>-765927.11467421928</v>
      </c>
      <c r="D115" s="18">
        <f>$B$21*(1+$B$7)^(D108-1)</f>
        <v>-788904.92811444576</v>
      </c>
      <c r="E115" s="18">
        <f>$B$21*(1+$B$7)^(E108-1)</f>
        <v>-812572.07595787919</v>
      </c>
      <c r="F115" s="19">
        <f>$B$21*(1+$B$7)^(F108-1)</f>
        <v>-836949.23823661543</v>
      </c>
      <c r="G115" s="13"/>
      <c r="H115" s="13"/>
      <c r="I115" s="13"/>
      <c r="J115" s="13"/>
      <c r="K115" s="13"/>
      <c r="N115" s="3558"/>
      <c r="O115" s="3560"/>
      <c r="Z115" s="1719" t="s">
        <v>6462</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-48615</v>
      </c>
      <c r="C116" s="18">
        <f>IF(AND('Part VI-Pro Forma'!$G$9="Yes",'Part VI-Pro Forma'!$G$10="Yes"),"Choose One!",IF('Part VI-Pro Forma'!$G$9="Yes",ROUND((-$K$9*(1+'Part VI-Pro Forma'!$B$7)^('Part VI-Pro Forma'!C108-1)),),IF('Part VI-Pro Forma'!$G$10="Yes",ROUND((-(SUM(C109:C112)*'Part VI-Pro Forma'!$K$10)),),"Choose mgt fee")))</f>
        <v>-49587</v>
      </c>
      <c r="D116" s="18">
        <f>IF(AND('Part VI-Pro Forma'!$G$9="Yes",'Part VI-Pro Forma'!$G$10="Yes"),"Choose One!",IF('Part VI-Pro Forma'!$G$9="Yes",ROUND((-$K$9*(1+'Part VI-Pro Forma'!$B$7)^('Part VI-Pro Forma'!D108-1)),),IF('Part VI-Pro Forma'!$G$10="Yes",ROUND((-(SUM(D109:D112)*'Part VI-Pro Forma'!$K$10)),),"Choose mgt fee")))</f>
        <v>-50579</v>
      </c>
      <c r="E116" s="18">
        <f>IF(AND('Part VI-Pro Forma'!$G$9="Yes",'Part VI-Pro Forma'!$G$10="Yes"),"Choose One!",IF('Part VI-Pro Forma'!$G$9="Yes",ROUND((-$K$9*(1+'Part VI-Pro Forma'!$B$7)^('Part VI-Pro Forma'!E108-1)),),IF('Part VI-Pro Forma'!$G$10="Yes",ROUND((-(SUM(E109:E112)*'Part VI-Pro Forma'!$K$10)),),"Choose mgt fee")))</f>
        <v>-51590</v>
      </c>
      <c r="F116" s="19">
        <f>IF(AND('Part VI-Pro Forma'!$G$9="Yes",'Part VI-Pro Forma'!$G$10="Yes"),"Choose One!",IF('Part VI-Pro Forma'!$G$9="Yes",ROUND((-$K$9*(1+'Part VI-Pro Forma'!$B$7)^('Part VI-Pro Forma'!F108-1)),),IF('Part VI-Pro Forma'!$G$10="Yes",ROUND((-(SUM(F109:F112)*'Part VI-Pro Forma'!$K$10)),),"Choose mgt fee")))</f>
        <v>-52622</v>
      </c>
      <c r="G116" s="13"/>
      <c r="H116" s="13"/>
      <c r="I116" s="13"/>
      <c r="J116" s="13"/>
      <c r="K116" s="13"/>
      <c r="N116" s="3558"/>
      <c r="O116" s="3560"/>
      <c r="Z116" s="1719" t="s">
        <v>6462</v>
      </c>
      <c r="AA116" s="1721">
        <v>116</v>
      </c>
    </row>
    <row r="117" spans="1:27" ht="13.35" customHeight="1">
      <c r="A117" s="17" t="s">
        <v>1128</v>
      </c>
      <c r="B117" s="18">
        <f>$B$23*(1+$B$8)^(B108-1)</f>
        <v>-33981.674596655226</v>
      </c>
      <c r="C117" s="18">
        <f>$B$23*(1+$B$8)^(C108-1)</f>
        <v>-35001.124834554888</v>
      </c>
      <c r="D117" s="18">
        <f>$B$23*(1+$B$8)^(D108-1)</f>
        <v>-36051.158579591531</v>
      </c>
      <c r="E117" s="18">
        <f>$B$23*(1+$B$8)^(E108-1)</f>
        <v>-37132.693336979275</v>
      </c>
      <c r="F117" s="19">
        <f>$B$23*(1+$B$8)^(F108-1)</f>
        <v>-38246.674137088652</v>
      </c>
      <c r="G117" s="13"/>
      <c r="H117" s="13"/>
      <c r="I117" s="13"/>
      <c r="J117" s="13"/>
      <c r="K117" s="13"/>
      <c r="N117" s="3558"/>
      <c r="O117" s="3560"/>
      <c r="Q117" s="92">
        <v>10</v>
      </c>
      <c r="R117" s="869">
        <f>-SUM(B123:K123)</f>
        <v>0</v>
      </c>
      <c r="S117" s="869">
        <f>SUM(B124:K124)+R117</f>
        <v>0</v>
      </c>
      <c r="Z117" s="1719" t="s">
        <v>6462</v>
      </c>
      <c r="AA117" s="1721">
        <v>117</v>
      </c>
    </row>
    <row r="118" spans="1:27" ht="13.35"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6462</v>
      </c>
      <c r="AA118" s="1721">
        <v>118</v>
      </c>
    </row>
    <row r="119" spans="1:27" ht="13.35" customHeight="1">
      <c r="A119" s="17" t="s">
        <v>1129</v>
      </c>
      <c r="B119" s="18">
        <f>SUM(B114:B118)</f>
        <v>208141.47672086157</v>
      </c>
      <c r="C119" s="18">
        <f>SUM(C114:C118)</f>
        <v>204528.60392995059</v>
      </c>
      <c r="D119" s="18">
        <f>SUM(D114:D118)</f>
        <v>200609.63361346209</v>
      </c>
      <c r="E119" s="18">
        <f>SUM(E114:E118)</f>
        <v>196372.84541879102</v>
      </c>
      <c r="F119" s="1215">
        <f>SUM(F114:F118)</f>
        <v>191803.05463421816</v>
      </c>
      <c r="G119" s="13"/>
      <c r="H119" s="13"/>
      <c r="I119" s="13"/>
      <c r="J119" s="13"/>
      <c r="K119" s="13"/>
      <c r="N119" s="3558"/>
      <c r="O119" s="3560"/>
      <c r="Z119" s="1719" t="s">
        <v>6462</v>
      </c>
      <c r="AA119" s="1721">
        <v>119</v>
      </c>
    </row>
    <row r="120" spans="1:27" ht="13.35" customHeight="1">
      <c r="A120" s="17" t="str">
        <f>$A90</f>
        <v>Mortgage A</v>
      </c>
      <c r="B120" s="342">
        <f>IF('Part II-Sources of Funds'!$P$40="", 0,-'Part II-Sources of Funds'!$P$40)</f>
        <v>-184228.81698972473</v>
      </c>
      <c r="C120" s="342">
        <f>IF('Part II-Sources of Funds'!$P$40="", 0,-'Part II-Sources of Funds'!$P$40)</f>
        <v>-184228.81698972473</v>
      </c>
      <c r="D120" s="342">
        <f>IF('Part II-Sources of Funds'!$P$40="", 0,-'Part II-Sources of Funds'!$P$40)</f>
        <v>-184228.81698972473</v>
      </c>
      <c r="E120" s="342">
        <f>IF('Part II-Sources of Funds'!$P$40="", 0,-'Part II-Sources of Funds'!$P$40)</f>
        <v>-184228.81698972473</v>
      </c>
      <c r="F120" s="342">
        <f>IF('Part II-Sources of Funds'!$P$40="", 0,-'Part II-Sources of Funds'!$P$40)</f>
        <v>-184228.81698972473</v>
      </c>
      <c r="G120" s="13"/>
      <c r="H120" s="13"/>
      <c r="I120" s="13"/>
      <c r="J120" s="13"/>
      <c r="K120" s="13"/>
      <c r="N120" s="3558"/>
      <c r="O120" s="3560"/>
      <c r="Z120" s="1719" t="s">
        <v>6462</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8"/>
      <c r="O121" s="3560"/>
      <c r="Z121" s="1719" t="s">
        <v>6462</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6462</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6462</v>
      </c>
      <c r="AA123" s="1721">
        <v>123</v>
      </c>
    </row>
    <row r="124" spans="1:27" ht="13.35" customHeight="1">
      <c r="A124" s="17" t="s">
        <v>711</v>
      </c>
      <c r="B124" s="138"/>
      <c r="C124" s="138"/>
      <c r="D124" s="138"/>
      <c r="E124" s="138"/>
      <c r="F124" s="138"/>
      <c r="G124" s="13"/>
      <c r="H124" s="13"/>
      <c r="I124" s="13"/>
      <c r="J124" s="13"/>
      <c r="K124" s="13"/>
      <c r="N124" s="3558"/>
      <c r="O124" s="3560"/>
      <c r="Z124" s="1719" t="s">
        <v>6462</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58"/>
      <c r="O125" s="3560"/>
      <c r="Z125" s="1719" t="s">
        <v>6462</v>
      </c>
      <c r="AA125" s="1721">
        <v>125</v>
      </c>
    </row>
    <row r="126" spans="1:27" ht="13.35" customHeight="1">
      <c r="A126" s="17" t="s">
        <v>1096</v>
      </c>
      <c r="B126" s="18">
        <f>SUM(B119:B125)</f>
        <v>18912.659731136839</v>
      </c>
      <c r="C126" s="18">
        <f>SUM(C119:C125)</f>
        <v>15299.786940225866</v>
      </c>
      <c r="D126" s="18">
        <f>SUM(D119:D125)</f>
        <v>11380.816623737366</v>
      </c>
      <c r="E126" s="18">
        <f>SUM(E119:E125)</f>
        <v>7144.0284290662967</v>
      </c>
      <c r="F126" s="19">
        <f>SUM(F119:F125)</f>
        <v>2574.2376444934343</v>
      </c>
      <c r="G126" s="13"/>
      <c r="H126" s="13"/>
      <c r="I126" s="13"/>
      <c r="J126" s="13"/>
      <c r="K126" s="13"/>
      <c r="N126" s="3558"/>
      <c r="O126" s="3560"/>
      <c r="Z126" s="1719" t="s">
        <v>6462</v>
      </c>
      <c r="AA126" s="1721">
        <v>126</v>
      </c>
    </row>
    <row r="127" spans="1:27" ht="13.35" customHeight="1">
      <c r="A127" s="17" t="str">
        <f>$A97</f>
        <v>DCR Mortgage A</v>
      </c>
      <c r="B127" s="20">
        <f>IF(B120=0,"",-B119/B120)</f>
        <v>1.1297986933958901</v>
      </c>
      <c r="C127" s="20">
        <f>IF(C120=0,"",-C119/C120)</f>
        <v>1.1101879025872379</v>
      </c>
      <c r="D127" s="20">
        <f>IF(D120=0,"",-D119/D120)</f>
        <v>1.0889156044716446</v>
      </c>
      <c r="E127" s="20">
        <f>IF(E120=0,"",-E119/E120)</f>
        <v>1.065918180594644</v>
      </c>
      <c r="F127" s="21">
        <f>IF(F120=0,"",-F119/F120)</f>
        <v>1.0411132078480203</v>
      </c>
      <c r="G127" s="13"/>
      <c r="H127" s="13"/>
      <c r="I127" s="13"/>
      <c r="J127" s="13"/>
      <c r="K127" s="13"/>
      <c r="N127" s="3558"/>
      <c r="O127" s="3560"/>
      <c r="Z127" s="1719" t="s">
        <v>6462</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9" t="s">
        <v>6462</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6462</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6462</v>
      </c>
      <c r="AA130" s="1721">
        <v>130</v>
      </c>
    </row>
    <row r="131" spans="1:27" ht="13.35" customHeight="1">
      <c r="A131" s="341" t="s">
        <v>3212</v>
      </c>
      <c r="B131" s="20">
        <f>IF(AND(B120=0,B121=0,B122=0,B123=0),"",-B119/(B120+B121+B122+B123))</f>
        <v>1.1297986933958901</v>
      </c>
      <c r="C131" s="20">
        <f>IF(AND(C120=0,C121=0,C122=0,C123=0),"",-C119/(C120+C121+C122+C123))</f>
        <v>1.1101879025872379</v>
      </c>
      <c r="D131" s="20">
        <f>IF(AND(D120=0,D121=0,D122=0,D123=0),"",-D119/(D120+D121+D122+D123))</f>
        <v>1.0889156044716446</v>
      </c>
      <c r="E131" s="20">
        <f>IF(AND(E120=0,E121=0,E122=0,E123=0),"",-E119/(E120+E121+E122+E123))</f>
        <v>1.065918180594644</v>
      </c>
      <c r="F131" s="21">
        <f>IF(AND(F120=0,F121=0,F122=0,F123=0),"",-F119/(F120+F121+F122+F123))</f>
        <v>1.0411132078480203</v>
      </c>
      <c r="G131" s="13"/>
      <c r="H131" s="13"/>
      <c r="I131" s="13"/>
      <c r="J131" s="13"/>
      <c r="K131" s="13"/>
      <c r="N131" s="3558"/>
      <c r="O131" s="3560"/>
      <c r="Z131" s="1719" t="s">
        <v>6462</v>
      </c>
      <c r="AA131" s="1721">
        <v>131</v>
      </c>
    </row>
    <row r="132" spans="1:27" ht="13.35" customHeight="1">
      <c r="A132" s="17" t="s">
        <v>718</v>
      </c>
      <c r="B132" s="220">
        <f>IF(OR(B116="Choose mgt fee",B116="Choose One!"),"",(B109+B110+B111+B112+B113) / -(B115+B116+B117))</f>
        <v>1.2519216162146962</v>
      </c>
      <c r="C132" s="220">
        <f>IF(OR(C116="Choose mgt fee",C116="Choose One!"),"",(C109+C110+C111+C112+C113) / -(C115+C116+C117))</f>
        <v>1.2404761189794538</v>
      </c>
      <c r="D132" s="220">
        <f>IF(OR(D116="Choose mgt fee",D116="Choose One!"),"",(D109+D110+D111+D112+D113) / -(D115+D116+D117))</f>
        <v>1.2291280345724931</v>
      </c>
      <c r="E132" s="220">
        <f>IF(OR(E116="Choose mgt fee",E116="Choose One!"),"",(E109+E110+E111+E112+E113) / -(E115+E116+E117))</f>
        <v>1.2178786032148243</v>
      </c>
      <c r="F132" s="498">
        <f>IF(OR(F116="Choose mgt fee",F116="Choose One!"),"",(F109+F110+F111+F112+F113) / -(F115+F116+F117))</f>
        <v>1.2067248886621669</v>
      </c>
      <c r="G132" s="13"/>
      <c r="H132" s="13"/>
      <c r="I132" s="13"/>
      <c r="J132" s="13"/>
      <c r="K132" s="13"/>
      <c r="N132" s="3558"/>
      <c r="O132" s="3560"/>
      <c r="Z132" s="1719" t="s">
        <v>6462</v>
      </c>
      <c r="AA132" s="1721">
        <v>132</v>
      </c>
    </row>
    <row r="133" spans="1:27" ht="13.35" customHeight="1">
      <c r="A133" s="341" t="s">
        <v>2404</v>
      </c>
      <c r="B133" s="177">
        <f>IF('Part II-Sources of Funds'!$I$40="","",-FV('Part II-Sources of Funds'!$K$40/12,12,B120/12,K103))</f>
        <v>649897.09083650494</v>
      </c>
      <c r="C133" s="177">
        <f>IF('Part II-Sources of Funds'!$I$40="","",-FV('Part II-Sources of Funds'!$K$40/12,12,C120/12,B133))</f>
        <v>502401.16117198841</v>
      </c>
      <c r="D133" s="177">
        <f>IF('Part II-Sources of Funds'!$I$40="","",-FV('Part II-Sources of Funds'!$K$40/12,12,D120/12,C133))</f>
        <v>345339.92298451375</v>
      </c>
      <c r="E133" s="177">
        <f>IF('Part II-Sources of Funds'!$I$40="","",-FV('Part II-Sources of Funds'!$K$40/12,12,E120/12,D133))</f>
        <v>178093.05320925126</v>
      </c>
      <c r="F133" s="177">
        <f>IF('Part II-Sources of Funds'!$I$40="","",-FV('Part II-Sources of Funds'!$K$40/12,12,F120/12,E133))</f>
        <v>5.8673322200775146E-8</v>
      </c>
      <c r="G133" s="13"/>
      <c r="H133" s="13"/>
      <c r="I133" s="13"/>
      <c r="J133" s="13"/>
      <c r="K133" s="13"/>
      <c r="N133" s="3558"/>
      <c r="O133" s="3560"/>
      <c r="Z133" s="1719" t="s">
        <v>6462</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8"/>
      <c r="O134" s="3560"/>
      <c r="Z134" s="1719" t="s">
        <v>6462</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6462</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9" t="s">
        <v>6462</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7113</v>
      </c>
      <c r="B140" s="3675"/>
      <c r="C140" s="3675"/>
      <c r="D140" s="3675"/>
      <c r="E140" s="3675"/>
      <c r="F140" s="3676"/>
      <c r="G140" s="3677"/>
      <c r="H140" s="3678"/>
      <c r="I140" s="3678"/>
      <c r="J140" s="3678"/>
      <c r="K140" s="3679"/>
      <c r="N140" s="3302" t="s">
        <v>2451</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sqref="A1:Q1"/>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0" t="str">
        <f>CONCATENATE("PART SEVEN - THRESHOLD CRITERIA","  -  ",'Part I-Project Identification'!$O$7," ",'Part I-Project Identification'!$F$25,", ",'Part I-Project Identification'!F26,", ",'Part I-Project Identification'!J26," County")</f>
        <v>PART SEVEN - THRESHOLD CRITERIA  -  2023-0 Peaks of Douglas, Douglasville, Douglas County</v>
      </c>
      <c r="B1" s="3680"/>
      <c r="C1" s="3680"/>
      <c r="D1" s="3680"/>
      <c r="E1" s="3680"/>
      <c r="F1" s="3680"/>
      <c r="G1" s="3680"/>
      <c r="H1" s="3680"/>
      <c r="I1" s="3680"/>
      <c r="J1" s="3680"/>
      <c r="K1" s="3680"/>
      <c r="L1" s="3680"/>
      <c r="M1" s="3680"/>
      <c r="N1" s="3680"/>
      <c r="O1" s="3680"/>
      <c r="P1" s="3680"/>
      <c r="Q1" s="3680"/>
    </row>
    <row r="2" spans="1:17" s="2011" customFormat="1" ht="12.75"/>
    <row r="3" spans="1:17" s="2011" customFormat="1" ht="12.75">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2"/>
      <c r="P3" s="3682" t="s">
        <v>6769</v>
      </c>
      <c r="Q3" s="3684" t="s">
        <v>6529</v>
      </c>
    </row>
    <row r="4" spans="1:17" s="2011" customFormat="1" ht="12.75">
      <c r="A4" s="2013"/>
      <c r="B4" s="3686"/>
      <c r="C4" s="3686"/>
      <c r="D4" s="3686"/>
      <c r="E4" s="2013"/>
      <c r="F4" s="2013"/>
      <c r="G4" s="2013"/>
      <c r="H4" s="2013"/>
      <c r="I4" s="2012"/>
      <c r="J4" s="2014"/>
      <c r="K4" s="2013"/>
      <c r="L4" s="2013"/>
      <c r="M4" s="2013"/>
      <c r="N4" s="2013"/>
      <c r="O4" s="2012"/>
      <c r="P4" s="3682"/>
      <c r="Q4" s="3684"/>
    </row>
    <row r="5" spans="1:17" s="2011" customFormat="1" ht="12.75">
      <c r="A5" s="2012"/>
      <c r="B5" s="2012"/>
      <c r="C5" s="2012"/>
      <c r="D5" s="2012"/>
      <c r="E5" s="3687" t="str">
        <f>'Part I-Project Identification'!$A$6</f>
        <v>April 2023</v>
      </c>
      <c r="F5" s="3687"/>
      <c r="G5" s="3687"/>
      <c r="H5" s="3687"/>
      <c r="I5" s="3687"/>
      <c r="J5" s="2014"/>
      <c r="K5" s="2013"/>
      <c r="L5" s="2013"/>
      <c r="M5" s="2013"/>
      <c r="N5" s="2013"/>
      <c r="O5" s="2012"/>
      <c r="P5" s="3683"/>
      <c r="Q5" s="3685"/>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1" t="s">
        <v>6770</v>
      </c>
      <c r="B7" s="3691"/>
      <c r="C7" s="3691"/>
      <c r="D7" s="3691"/>
      <c r="E7" s="3691"/>
      <c r="F7" s="3691"/>
      <c r="G7" s="3691"/>
      <c r="H7" s="3691"/>
      <c r="I7" s="3691"/>
      <c r="J7" s="3691"/>
      <c r="K7" s="3691"/>
      <c r="L7" s="3691"/>
      <c r="M7" s="3691"/>
      <c r="N7" s="3691"/>
      <c r="O7" s="3691"/>
      <c r="P7" s="3691"/>
      <c r="Q7" s="369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6771</v>
      </c>
      <c r="B9" s="2019"/>
      <c r="C9" s="2019"/>
      <c r="D9" s="2019"/>
      <c r="E9" s="2019"/>
      <c r="F9" s="2019"/>
      <c r="G9" s="2019"/>
      <c r="H9" s="2019"/>
      <c r="I9" s="2020"/>
      <c r="J9" s="2020"/>
      <c r="K9" s="2021"/>
      <c r="L9" s="2021"/>
      <c r="M9" s="2021"/>
      <c r="N9" s="2021"/>
      <c r="O9" s="2021"/>
      <c r="P9" s="3692"/>
      <c r="Q9" s="3693"/>
    </row>
    <row r="10" spans="1:17" s="2022" customFormat="1" ht="15">
      <c r="A10" s="2023" t="s">
        <v>3065</v>
      </c>
      <c r="B10" s="2019"/>
      <c r="C10" s="2019"/>
      <c r="D10" s="2019"/>
      <c r="E10" s="2019"/>
      <c r="F10" s="2019"/>
      <c r="G10" s="2019"/>
      <c r="H10" s="2024"/>
      <c r="I10" s="2025"/>
      <c r="J10" s="2025"/>
      <c r="K10" s="2024"/>
      <c r="L10" s="2024"/>
      <c r="M10" s="2026"/>
      <c r="N10" s="2026"/>
      <c r="O10" s="2019"/>
      <c r="P10" s="2019"/>
      <c r="Q10" s="2019"/>
    </row>
    <row r="11" spans="1:17" s="2022" customFormat="1" ht="14.25">
      <c r="A11" s="3694" t="s">
        <v>1329</v>
      </c>
      <c r="B11" s="3695"/>
      <c r="C11" s="3695"/>
      <c r="D11" s="3695"/>
      <c r="E11" s="3695"/>
      <c r="F11" s="3695"/>
      <c r="G11" s="3695"/>
      <c r="H11" s="3695"/>
      <c r="I11" s="3695"/>
      <c r="J11" s="3695"/>
      <c r="K11" s="3695"/>
      <c r="L11" s="3695"/>
      <c r="M11" s="3695"/>
      <c r="N11" s="3695"/>
      <c r="O11" s="3695"/>
      <c r="P11" s="3695"/>
      <c r="Q11" s="3696"/>
    </row>
    <row r="12" spans="1:17" s="2022" customFormat="1" ht="14.25">
      <c r="A12" s="3688" t="s">
        <v>218</v>
      </c>
      <c r="B12" s="3689"/>
      <c r="C12" s="3689"/>
      <c r="D12" s="3689"/>
      <c r="E12" s="3689"/>
      <c r="F12" s="3689"/>
      <c r="G12" s="3689"/>
      <c r="H12" s="3689"/>
      <c r="I12" s="3689"/>
      <c r="J12" s="3689"/>
      <c r="K12" s="3689"/>
      <c r="L12" s="3689"/>
      <c r="M12" s="3689"/>
      <c r="N12" s="3689"/>
      <c r="O12" s="3689"/>
      <c r="P12" s="3689"/>
      <c r="Q12" s="3690"/>
    </row>
    <row r="13" spans="1:17" s="2022" customFormat="1" ht="14.25">
      <c r="A13" s="3688" t="s">
        <v>1325</v>
      </c>
      <c r="B13" s="3689"/>
      <c r="C13" s="3689"/>
      <c r="D13" s="3689"/>
      <c r="E13" s="3689"/>
      <c r="F13" s="3689"/>
      <c r="G13" s="3689"/>
      <c r="H13" s="3689"/>
      <c r="I13" s="3689"/>
      <c r="J13" s="3689"/>
      <c r="K13" s="3689"/>
      <c r="L13" s="3689"/>
      <c r="M13" s="3689"/>
      <c r="N13" s="3689"/>
      <c r="O13" s="3689"/>
      <c r="P13" s="3689"/>
      <c r="Q13" s="3690"/>
    </row>
    <row r="14" spans="1:17" s="2022" customFormat="1" ht="14.25">
      <c r="A14" s="3688" t="s">
        <v>1326</v>
      </c>
      <c r="B14" s="3689"/>
      <c r="C14" s="3689"/>
      <c r="D14" s="3689"/>
      <c r="E14" s="3689"/>
      <c r="F14" s="3689"/>
      <c r="G14" s="3689"/>
      <c r="H14" s="3689"/>
      <c r="I14" s="3689"/>
      <c r="J14" s="3689"/>
      <c r="K14" s="3689"/>
      <c r="L14" s="3689"/>
      <c r="M14" s="3689"/>
      <c r="N14" s="3689"/>
      <c r="O14" s="3689"/>
      <c r="P14" s="3689"/>
      <c r="Q14" s="3690"/>
    </row>
    <row r="15" spans="1:17" s="2022" customFormat="1" ht="14.25">
      <c r="A15" s="3688" t="s">
        <v>1327</v>
      </c>
      <c r="B15" s="3689"/>
      <c r="C15" s="3689"/>
      <c r="D15" s="3689"/>
      <c r="E15" s="3689"/>
      <c r="F15" s="3689"/>
      <c r="G15" s="3689"/>
      <c r="H15" s="3689"/>
      <c r="I15" s="3689"/>
      <c r="J15" s="3689"/>
      <c r="K15" s="3689"/>
      <c r="L15" s="3689"/>
      <c r="M15" s="3689"/>
      <c r="N15" s="3689"/>
      <c r="O15" s="3689"/>
      <c r="P15" s="3689"/>
      <c r="Q15" s="3690"/>
    </row>
    <row r="16" spans="1:17" s="2022" customFormat="1" ht="14.25">
      <c r="A16" s="3688" t="s">
        <v>1328</v>
      </c>
      <c r="B16" s="3689"/>
      <c r="C16" s="3689"/>
      <c r="D16" s="3689"/>
      <c r="E16" s="3689"/>
      <c r="F16" s="3689"/>
      <c r="G16" s="3689"/>
      <c r="H16" s="3689"/>
      <c r="I16" s="3689"/>
      <c r="J16" s="3689"/>
      <c r="K16" s="3689"/>
      <c r="L16" s="3689"/>
      <c r="M16" s="3689"/>
      <c r="N16" s="3689"/>
      <c r="O16" s="3689"/>
      <c r="P16" s="3689"/>
      <c r="Q16" s="3690"/>
    </row>
    <row r="17" spans="1:17" s="2022" customFormat="1" ht="14.25">
      <c r="A17" s="3688" t="s">
        <v>1330</v>
      </c>
      <c r="B17" s="3689"/>
      <c r="C17" s="3689"/>
      <c r="D17" s="3689"/>
      <c r="E17" s="3689"/>
      <c r="F17" s="3689"/>
      <c r="G17" s="3689"/>
      <c r="H17" s="3689"/>
      <c r="I17" s="3689"/>
      <c r="J17" s="3689"/>
      <c r="K17" s="3689"/>
      <c r="L17" s="3689"/>
      <c r="M17" s="3689"/>
      <c r="N17" s="3689"/>
      <c r="O17" s="3689"/>
      <c r="P17" s="3689"/>
      <c r="Q17" s="3690"/>
    </row>
    <row r="18" spans="1:17" s="2022" customFormat="1" ht="14.25">
      <c r="A18" s="3688" t="s">
        <v>1871</v>
      </c>
      <c r="B18" s="3689"/>
      <c r="C18" s="3689"/>
      <c r="D18" s="3689"/>
      <c r="E18" s="3689"/>
      <c r="F18" s="3689"/>
      <c r="G18" s="3689"/>
      <c r="H18" s="3689"/>
      <c r="I18" s="3689"/>
      <c r="J18" s="3689"/>
      <c r="K18" s="3689"/>
      <c r="L18" s="3689"/>
      <c r="M18" s="3689"/>
      <c r="N18" s="3689"/>
      <c r="O18" s="3689"/>
      <c r="P18" s="3689"/>
      <c r="Q18" s="3690"/>
    </row>
    <row r="19" spans="1:17" s="2022" customFormat="1" ht="14.25">
      <c r="A19" s="3688" t="s">
        <v>1872</v>
      </c>
      <c r="B19" s="3689"/>
      <c r="C19" s="3689"/>
      <c r="D19" s="3689"/>
      <c r="E19" s="3689"/>
      <c r="F19" s="3689"/>
      <c r="G19" s="3689"/>
      <c r="H19" s="3689"/>
      <c r="I19" s="3689"/>
      <c r="J19" s="3689"/>
      <c r="K19" s="3689"/>
      <c r="L19" s="3689"/>
      <c r="M19" s="3689"/>
      <c r="N19" s="3689"/>
      <c r="O19" s="3689"/>
      <c r="P19" s="3689"/>
      <c r="Q19" s="3690"/>
    </row>
    <row r="20" spans="1:17" s="2022" customFormat="1" ht="14.25">
      <c r="A20" s="3688" t="s">
        <v>1873</v>
      </c>
      <c r="B20" s="3689"/>
      <c r="C20" s="3689"/>
      <c r="D20" s="3689"/>
      <c r="E20" s="3689"/>
      <c r="F20" s="3689"/>
      <c r="G20" s="3689"/>
      <c r="H20" s="3689"/>
      <c r="I20" s="3689"/>
      <c r="J20" s="3689"/>
      <c r="K20" s="3689"/>
      <c r="L20" s="3689"/>
      <c r="M20" s="3689"/>
      <c r="N20" s="3689"/>
      <c r="O20" s="3689"/>
      <c r="P20" s="3689"/>
      <c r="Q20" s="3690"/>
    </row>
    <row r="21" spans="1:17" s="2022" customFormat="1" ht="14.25">
      <c r="A21" s="3688" t="s">
        <v>1874</v>
      </c>
      <c r="B21" s="3689"/>
      <c r="C21" s="3689"/>
      <c r="D21" s="3689"/>
      <c r="E21" s="3689"/>
      <c r="F21" s="3689"/>
      <c r="G21" s="3689"/>
      <c r="H21" s="3689"/>
      <c r="I21" s="3689"/>
      <c r="J21" s="3689"/>
      <c r="K21" s="3689"/>
      <c r="L21" s="3689"/>
      <c r="M21" s="3689"/>
      <c r="N21" s="3689"/>
      <c r="O21" s="3689"/>
      <c r="P21" s="3689"/>
      <c r="Q21" s="3690"/>
    </row>
    <row r="22" spans="1:17" s="2022" customFormat="1" ht="14.25">
      <c r="A22" s="3688" t="s">
        <v>1875</v>
      </c>
      <c r="B22" s="3689"/>
      <c r="C22" s="3689"/>
      <c r="D22" s="3689"/>
      <c r="E22" s="3689"/>
      <c r="F22" s="3689"/>
      <c r="G22" s="3689"/>
      <c r="H22" s="3689"/>
      <c r="I22" s="3689"/>
      <c r="J22" s="3689"/>
      <c r="K22" s="3689"/>
      <c r="L22" s="3689"/>
      <c r="M22" s="3689"/>
      <c r="N22" s="3689"/>
      <c r="O22" s="3689"/>
      <c r="P22" s="3689"/>
      <c r="Q22" s="3690"/>
    </row>
    <row r="23" spans="1:17" s="2022" customFormat="1" ht="14.25">
      <c r="A23" s="3688" t="s">
        <v>1876</v>
      </c>
      <c r="B23" s="3689"/>
      <c r="C23" s="3689"/>
      <c r="D23" s="3689"/>
      <c r="E23" s="3689"/>
      <c r="F23" s="3689"/>
      <c r="G23" s="3689"/>
      <c r="H23" s="3689"/>
      <c r="I23" s="3689"/>
      <c r="J23" s="3689"/>
      <c r="K23" s="3689"/>
      <c r="L23" s="3689"/>
      <c r="M23" s="3689"/>
      <c r="N23" s="3689"/>
      <c r="O23" s="3689"/>
      <c r="P23" s="3689"/>
      <c r="Q23" s="3690"/>
    </row>
    <row r="24" spans="1:17" s="2022" customFormat="1" ht="14.25">
      <c r="A24" s="3688" t="s">
        <v>1877</v>
      </c>
      <c r="B24" s="3689"/>
      <c r="C24" s="3689"/>
      <c r="D24" s="3689"/>
      <c r="E24" s="3689"/>
      <c r="F24" s="3689"/>
      <c r="G24" s="3689"/>
      <c r="H24" s="3689"/>
      <c r="I24" s="3689"/>
      <c r="J24" s="3689"/>
      <c r="K24" s="3689"/>
      <c r="L24" s="3689"/>
      <c r="M24" s="3689"/>
      <c r="N24" s="3689"/>
      <c r="O24" s="3689"/>
      <c r="P24" s="3689"/>
      <c r="Q24" s="3690"/>
    </row>
    <row r="25" spans="1:17" s="2022" customFormat="1" ht="14.25">
      <c r="A25" s="3688" t="s">
        <v>1878</v>
      </c>
      <c r="B25" s="3689"/>
      <c r="C25" s="3689"/>
      <c r="D25" s="3689"/>
      <c r="E25" s="3689"/>
      <c r="F25" s="3689"/>
      <c r="G25" s="3689"/>
      <c r="H25" s="3689"/>
      <c r="I25" s="3689"/>
      <c r="J25" s="3689"/>
      <c r="K25" s="3689"/>
      <c r="L25" s="3689"/>
      <c r="M25" s="3689"/>
      <c r="N25" s="3689"/>
      <c r="O25" s="3689"/>
      <c r="P25" s="3689"/>
      <c r="Q25" s="3690"/>
    </row>
    <row r="26" spans="1:17" s="2022" customFormat="1" ht="14.25">
      <c r="A26" s="3688" t="s">
        <v>1879</v>
      </c>
      <c r="B26" s="3689"/>
      <c r="C26" s="3689"/>
      <c r="D26" s="3689"/>
      <c r="E26" s="3689"/>
      <c r="F26" s="3689"/>
      <c r="G26" s="3689"/>
      <c r="H26" s="3689"/>
      <c r="I26" s="3689"/>
      <c r="J26" s="3689"/>
      <c r="K26" s="3689"/>
      <c r="L26" s="3689"/>
      <c r="M26" s="3689"/>
      <c r="N26" s="3689"/>
      <c r="O26" s="3689"/>
      <c r="P26" s="3689"/>
      <c r="Q26" s="3690"/>
    </row>
    <row r="27" spans="1:17" s="2022" customFormat="1" ht="14.25">
      <c r="A27" s="3688" t="s">
        <v>1880</v>
      </c>
      <c r="B27" s="3689"/>
      <c r="C27" s="3689"/>
      <c r="D27" s="3689"/>
      <c r="E27" s="3689"/>
      <c r="F27" s="3689"/>
      <c r="G27" s="3689"/>
      <c r="H27" s="3689"/>
      <c r="I27" s="3689"/>
      <c r="J27" s="3689"/>
      <c r="K27" s="3689"/>
      <c r="L27" s="3689"/>
      <c r="M27" s="3689"/>
      <c r="N27" s="3689"/>
      <c r="O27" s="3689"/>
      <c r="P27" s="3689"/>
      <c r="Q27" s="3690"/>
    </row>
    <row r="28" spans="1:17" s="2022" customFormat="1" ht="14.25">
      <c r="A28" s="3697" t="s">
        <v>1881</v>
      </c>
      <c r="B28" s="3698"/>
      <c r="C28" s="3698"/>
      <c r="D28" s="3698"/>
      <c r="E28" s="3698"/>
      <c r="F28" s="3698"/>
      <c r="G28" s="3698"/>
      <c r="H28" s="3698"/>
      <c r="I28" s="3698"/>
      <c r="J28" s="3698"/>
      <c r="K28" s="3698"/>
      <c r="L28" s="3698"/>
      <c r="M28" s="3698"/>
      <c r="N28" s="3698"/>
      <c r="O28" s="3698"/>
      <c r="P28" s="3698"/>
      <c r="Q28" s="3699"/>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6631</v>
      </c>
      <c r="C31" s="2029"/>
      <c r="D31" s="2029"/>
      <c r="E31" s="2029"/>
      <c r="F31" s="2029"/>
      <c r="G31" s="2029"/>
      <c r="I31" s="2031"/>
      <c r="J31" s="2031"/>
      <c r="K31" s="2031"/>
      <c r="L31" s="2026"/>
      <c r="M31" s="2026"/>
      <c r="O31" s="2032" t="s">
        <v>1730</v>
      </c>
      <c r="P31" s="3700"/>
      <c r="Q31" s="3701"/>
    </row>
    <row r="32" spans="1:17" ht="20.25" customHeight="1">
      <c r="B32" s="2034" t="s">
        <v>6772</v>
      </c>
      <c r="C32" s="2034"/>
      <c r="D32" s="2034"/>
      <c r="E32" s="2034"/>
      <c r="F32" s="2034"/>
      <c r="G32" s="2031"/>
      <c r="H32" s="2031"/>
      <c r="I32" s="2031"/>
      <c r="J32" s="2031"/>
      <c r="K32" s="2026"/>
      <c r="L32" s="2026"/>
      <c r="M32" s="2026"/>
      <c r="N32" s="2026"/>
      <c r="O32" s="2026"/>
      <c r="P32" s="2026"/>
    </row>
    <row r="33" spans="1:17" ht="46.5" customHeight="1">
      <c r="A33" s="3702" t="s">
        <v>7052</v>
      </c>
      <c r="B33" s="3702"/>
      <c r="C33" s="3702"/>
      <c r="D33" s="3702"/>
      <c r="E33" s="3702"/>
      <c r="F33" s="3702"/>
      <c r="G33" s="3702"/>
      <c r="H33" s="3702"/>
      <c r="I33" s="3702"/>
      <c r="J33" s="3702"/>
      <c r="K33" s="3702"/>
      <c r="L33" s="3702"/>
      <c r="M33" s="3702"/>
      <c r="N33" s="3702"/>
      <c r="O33" s="3702"/>
      <c r="P33" s="3702"/>
      <c r="Q33" s="3703"/>
    </row>
    <row r="34" spans="1:17" ht="20.25" customHeight="1">
      <c r="B34" s="2034" t="s">
        <v>1729</v>
      </c>
      <c r="C34" s="2035"/>
      <c r="D34" s="2036"/>
      <c r="E34" s="2036"/>
      <c r="F34" s="2036"/>
      <c r="G34" s="2036"/>
      <c r="H34" s="2036"/>
      <c r="I34" s="2036"/>
      <c r="J34" s="2036"/>
      <c r="K34" s="2036"/>
      <c r="L34" s="2036"/>
      <c r="M34" s="2036"/>
      <c r="N34" s="2036"/>
      <c r="O34" s="2036"/>
      <c r="P34" s="2036"/>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1730</v>
      </c>
      <c r="P38" s="3705"/>
      <c r="Q38" s="3706"/>
    </row>
    <row r="39" spans="1:17" ht="20.25" customHeight="1">
      <c r="A39" s="2042"/>
      <c r="B39" s="3718" t="s">
        <v>6773</v>
      </c>
      <c r="C39" s="3718"/>
      <c r="D39" s="3718"/>
      <c r="E39" s="3718"/>
      <c r="F39" s="3718"/>
      <c r="G39" s="3718"/>
      <c r="H39" s="3718"/>
      <c r="I39" s="3718"/>
      <c r="J39" s="3718"/>
      <c r="K39" s="3718"/>
      <c r="L39" s="3718"/>
      <c r="M39" s="3718"/>
      <c r="N39" s="3718"/>
      <c r="O39" s="3718"/>
      <c r="P39" s="3719" t="s">
        <v>2648</v>
      </c>
      <c r="Q39" s="3720"/>
    </row>
    <row r="40" spans="1:17" ht="20.25" customHeight="1">
      <c r="B40" s="2045" t="s">
        <v>3238</v>
      </c>
      <c r="D40" s="2045"/>
      <c r="E40" s="2045"/>
      <c r="F40" s="2045"/>
      <c r="G40" s="2045"/>
      <c r="H40" s="2043"/>
      <c r="I40" s="2031"/>
      <c r="J40" s="2031"/>
    </row>
    <row r="41" spans="1:17" ht="20.25" customHeight="1">
      <c r="A41" s="3721" t="s">
        <v>7104</v>
      </c>
      <c r="B41" s="3722"/>
      <c r="C41" s="3722"/>
      <c r="D41" s="3722"/>
      <c r="E41" s="3722"/>
      <c r="F41" s="3722"/>
      <c r="G41" s="3722"/>
      <c r="H41" s="3722"/>
      <c r="I41" s="3722"/>
      <c r="J41" s="3722"/>
      <c r="K41" s="3722"/>
      <c r="L41" s="3722"/>
      <c r="M41" s="3722"/>
      <c r="N41" s="3722"/>
      <c r="O41" s="3722"/>
      <c r="P41" s="3722"/>
      <c r="Q41" s="3723"/>
    </row>
    <row r="42" spans="1:17" ht="20.25" customHeight="1">
      <c r="A42" s="2026"/>
      <c r="B42" s="2034" t="s">
        <v>1729</v>
      </c>
      <c r="C42" s="2026"/>
      <c r="D42" s="2026"/>
      <c r="E42" s="2026"/>
      <c r="F42" s="2026"/>
      <c r="G42" s="2026"/>
      <c r="H42" s="2026"/>
      <c r="I42" s="2036"/>
      <c r="J42" s="2036"/>
      <c r="K42" s="2036"/>
      <c r="L42" s="2036"/>
      <c r="M42" s="2036"/>
      <c r="N42" s="2036"/>
      <c r="O42" s="2036"/>
      <c r="P42" s="2036"/>
      <c r="Q42" s="2026"/>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1730</v>
      </c>
      <c r="P46" s="3705"/>
      <c r="Q46" s="3709"/>
    </row>
    <row r="47" spans="1:17" ht="20.25" customHeight="1">
      <c r="A47" s="2053"/>
      <c r="B47" s="2043" t="s">
        <v>6774</v>
      </c>
      <c r="C47" s="2042"/>
      <c r="D47" s="2036"/>
      <c r="E47" s="2036"/>
      <c r="F47" s="2036"/>
      <c r="G47" s="2036"/>
      <c r="H47" s="2036"/>
      <c r="I47" s="2036"/>
      <c r="J47" s="2036"/>
      <c r="L47" s="2051"/>
      <c r="M47" s="2052"/>
      <c r="O47" s="2032"/>
      <c r="P47" s="3719" t="s">
        <v>2648</v>
      </c>
      <c r="Q47" s="3720"/>
    </row>
    <row r="48" spans="1:17" ht="20.25" customHeight="1">
      <c r="B48" s="2045" t="s">
        <v>3238</v>
      </c>
      <c r="D48" s="2045"/>
      <c r="E48" s="2045"/>
      <c r="F48" s="2045"/>
      <c r="G48" s="2045"/>
      <c r="H48" s="2043"/>
      <c r="I48" s="2031"/>
      <c r="J48" s="2031"/>
      <c r="K48" s="2034" t="s">
        <v>1729</v>
      </c>
      <c r="L48" s="2026"/>
      <c r="M48" s="2026"/>
      <c r="N48" s="2026"/>
      <c r="O48" s="2026"/>
      <c r="P48" s="2026"/>
      <c r="Q48" s="2026"/>
    </row>
    <row r="49" spans="1:17" ht="68.25" customHeight="1">
      <c r="A49" s="3702" t="s">
        <v>7078</v>
      </c>
      <c r="B49" s="3702"/>
      <c r="C49" s="3702"/>
      <c r="D49" s="3702"/>
      <c r="E49" s="3702"/>
      <c r="F49" s="3702"/>
      <c r="G49" s="3702"/>
      <c r="H49" s="3702"/>
      <c r="I49" s="3702"/>
      <c r="J49" s="3702"/>
      <c r="K49" s="3707"/>
      <c r="L49" s="3707"/>
      <c r="M49" s="3707"/>
      <c r="N49" s="3707"/>
      <c r="O49" s="3707"/>
      <c r="P49" s="3707"/>
      <c r="Q49" s="3708"/>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4017</v>
      </c>
      <c r="C52" s="2042"/>
      <c r="D52" s="2036"/>
      <c r="E52" s="2036"/>
      <c r="F52" s="2036"/>
      <c r="G52" s="2036"/>
      <c r="H52" s="2054"/>
      <c r="J52" s="2053"/>
      <c r="K52" s="2020"/>
      <c r="L52" s="2053"/>
      <c r="M52" s="2055"/>
      <c r="O52" s="2032" t="s">
        <v>1730</v>
      </c>
      <c r="P52" s="3705"/>
      <c r="Q52" s="3709"/>
    </row>
    <row r="53" spans="1:17" ht="33" customHeight="1">
      <c r="A53" s="2053"/>
      <c r="B53" s="3710" t="s">
        <v>2263</v>
      </c>
      <c r="C53" s="3710"/>
      <c r="D53" s="3710"/>
      <c r="E53" s="3710"/>
      <c r="F53" s="3710"/>
      <c r="G53" s="3710"/>
      <c r="H53" s="3711"/>
      <c r="I53" s="3712" t="s">
        <v>7053</v>
      </c>
      <c r="J53" s="3713"/>
      <c r="K53" s="3713"/>
      <c r="L53" s="3713"/>
      <c r="M53" s="3713"/>
      <c r="N53" s="3713"/>
      <c r="O53" s="3713"/>
      <c r="P53" s="3713"/>
      <c r="Q53" s="3714"/>
    </row>
    <row r="54" spans="1:17" ht="20.25" customHeight="1">
      <c r="A54" s="2053"/>
      <c r="B54" s="2030" t="s">
        <v>6775</v>
      </c>
      <c r="D54" s="2056"/>
      <c r="E54" s="2056"/>
      <c r="F54" s="2056"/>
      <c r="I54" s="3715">
        <v>0.93</v>
      </c>
      <c r="J54" s="3716"/>
      <c r="K54" s="3717"/>
      <c r="L54" s="2044"/>
      <c r="M54" s="2057"/>
      <c r="N54" s="2057"/>
      <c r="O54" s="2057"/>
      <c r="P54" s="2057"/>
      <c r="Q54" s="2026"/>
    </row>
    <row r="55" spans="1:17" ht="20.25" customHeight="1">
      <c r="A55" s="2053"/>
      <c r="B55" s="2030" t="s">
        <v>6776</v>
      </c>
      <c r="D55" s="2056"/>
      <c r="E55" s="2056"/>
      <c r="F55" s="2056"/>
      <c r="H55" s="2044" t="s">
        <v>6777</v>
      </c>
      <c r="I55" s="3733">
        <v>0.112</v>
      </c>
      <c r="J55" s="3716"/>
      <c r="K55" s="3717"/>
      <c r="L55" s="2058"/>
      <c r="M55" s="2059" t="s">
        <v>6778</v>
      </c>
      <c r="N55" s="3733" t="s">
        <v>2812</v>
      </c>
      <c r="O55" s="3717"/>
      <c r="P55" s="2033"/>
      <c r="Q55" s="2033"/>
    </row>
    <row r="56" spans="1:17" ht="20.25" customHeight="1">
      <c r="B56" s="2060" t="s">
        <v>3238</v>
      </c>
      <c r="D56" s="2060"/>
      <c r="E56" s="2060"/>
      <c r="F56" s="2060"/>
      <c r="G56" s="2060"/>
      <c r="H56" s="2043"/>
      <c r="I56" s="2031"/>
      <c r="J56" s="2031"/>
      <c r="K56" s="2031"/>
      <c r="L56" s="2026"/>
      <c r="M56" s="2026"/>
      <c r="N56" s="2026"/>
      <c r="O56" s="2026"/>
      <c r="P56" s="2026"/>
      <c r="Q56" s="2026"/>
    </row>
    <row r="57" spans="1:17" ht="75.75" customHeight="1">
      <c r="A57" s="3702" t="s">
        <v>7124</v>
      </c>
      <c r="B57" s="3702"/>
      <c r="C57" s="3702"/>
      <c r="D57" s="3702"/>
      <c r="E57" s="3702"/>
      <c r="F57" s="3702"/>
      <c r="G57" s="3702"/>
      <c r="H57" s="3702"/>
      <c r="I57" s="3702"/>
      <c r="J57" s="3702"/>
      <c r="K57" s="3702"/>
      <c r="L57" s="3702"/>
      <c r="M57" s="3702"/>
      <c r="N57" s="3702"/>
      <c r="O57" s="3702"/>
      <c r="P57" s="3702"/>
      <c r="Q57" s="3703"/>
    </row>
    <row r="58" spans="1:17" ht="20.25" customHeight="1">
      <c r="B58" s="2034" t="s">
        <v>1729</v>
      </c>
      <c r="C58" s="2035"/>
      <c r="D58" s="2036"/>
      <c r="E58" s="2036"/>
      <c r="F58" s="2036"/>
      <c r="G58" s="2036"/>
      <c r="H58" s="2036"/>
      <c r="I58" s="2036"/>
      <c r="J58" s="2036"/>
      <c r="K58" s="2036"/>
      <c r="L58" s="2036"/>
      <c r="M58" s="2036"/>
      <c r="N58" s="2036"/>
      <c r="O58" s="2036"/>
      <c r="P58" s="2036"/>
      <c r="Q58" s="2036"/>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1730</v>
      </c>
      <c r="P62" s="3734"/>
      <c r="Q62" s="3735"/>
    </row>
    <row r="63" spans="1:17" ht="20.25" customHeight="1">
      <c r="A63" s="2053"/>
      <c r="B63" s="2030" t="s">
        <v>6779</v>
      </c>
      <c r="I63" s="2062"/>
      <c r="J63" s="3736"/>
      <c r="K63" s="3736"/>
      <c r="L63" s="3736"/>
      <c r="M63" s="3736"/>
      <c r="N63" s="3736"/>
      <c r="O63" s="3736"/>
      <c r="P63" s="3736"/>
      <c r="Q63" s="3737"/>
    </row>
    <row r="64" spans="1:17" ht="20.25" customHeight="1">
      <c r="A64" s="2053"/>
      <c r="B64" s="2030" t="s">
        <v>3946</v>
      </c>
      <c r="O64" s="2044"/>
      <c r="P64" s="2065" t="s">
        <v>2651</v>
      </c>
      <c r="Q64" s="2066"/>
    </row>
    <row r="65" spans="1:17" ht="33" customHeight="1">
      <c r="B65" s="2042"/>
      <c r="C65" s="3710" t="s">
        <v>6780</v>
      </c>
      <c r="D65" s="3710"/>
      <c r="E65" s="3710"/>
      <c r="F65" s="3710"/>
      <c r="G65" s="3710"/>
      <c r="H65" s="3710"/>
      <c r="I65" s="3710"/>
      <c r="J65" s="3710"/>
      <c r="K65" s="3710"/>
      <c r="L65" s="3710"/>
      <c r="M65" s="3710"/>
      <c r="N65" s="3710"/>
      <c r="O65" s="3710"/>
      <c r="P65" s="2065" t="s">
        <v>2651</v>
      </c>
      <c r="Q65" s="2066"/>
    </row>
    <row r="66" spans="1:17" ht="33" customHeight="1">
      <c r="A66" s="2053"/>
      <c r="B66" s="2042"/>
      <c r="C66" s="3710" t="s">
        <v>6781</v>
      </c>
      <c r="D66" s="3710"/>
      <c r="E66" s="3710"/>
      <c r="F66" s="3710"/>
      <c r="G66" s="3710"/>
      <c r="H66" s="3710"/>
      <c r="I66" s="3710"/>
      <c r="J66" s="3710"/>
      <c r="K66" s="3710"/>
      <c r="L66" s="3710"/>
      <c r="M66" s="3710"/>
      <c r="N66" s="3710"/>
      <c r="O66" s="3710"/>
      <c r="P66" s="2067" t="s">
        <v>7050</v>
      </c>
      <c r="Q66" s="2068"/>
    </row>
    <row r="67" spans="1:17" ht="20.25" customHeight="1">
      <c r="B67" s="2060" t="s">
        <v>6772</v>
      </c>
      <c r="D67" s="2060"/>
      <c r="E67" s="2060"/>
      <c r="F67" s="2060"/>
      <c r="G67" s="2060"/>
      <c r="H67" s="2043"/>
      <c r="I67" s="2031"/>
      <c r="J67" s="2031"/>
      <c r="K67" s="2031"/>
      <c r="L67" s="2026"/>
      <c r="M67" s="2026"/>
      <c r="N67" s="2026"/>
      <c r="O67" s="2026"/>
      <c r="P67" s="2026"/>
      <c r="Q67" s="2026"/>
    </row>
    <row r="68" spans="1:17" ht="20.25" customHeight="1">
      <c r="A68" s="3721" t="s">
        <v>7068</v>
      </c>
      <c r="B68" s="3724"/>
      <c r="C68" s="3724"/>
      <c r="D68" s="3724"/>
      <c r="E68" s="3724"/>
      <c r="F68" s="3724"/>
      <c r="G68" s="3724"/>
      <c r="H68" s="3724"/>
      <c r="I68" s="3724"/>
      <c r="J68" s="3724"/>
      <c r="K68" s="3724"/>
      <c r="L68" s="3724"/>
      <c r="M68" s="3724"/>
      <c r="N68" s="3724"/>
      <c r="O68" s="3724"/>
      <c r="P68" s="3724"/>
      <c r="Q68" s="3725"/>
    </row>
    <row r="69" spans="1:17" ht="20.25" customHeight="1">
      <c r="B69" s="2034" t="s">
        <v>1729</v>
      </c>
      <c r="C69" s="2035"/>
      <c r="D69" s="2036"/>
      <c r="E69" s="2036"/>
      <c r="F69" s="2036"/>
      <c r="G69" s="2036"/>
      <c r="H69" s="2036"/>
      <c r="I69" s="2036"/>
      <c r="J69" s="2036"/>
      <c r="K69" s="2036"/>
      <c r="L69" s="2036"/>
      <c r="M69" s="2036"/>
      <c r="N69" s="2036"/>
      <c r="O69" s="2036"/>
      <c r="P69" s="2036"/>
      <c r="Q69" s="2036"/>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1730</v>
      </c>
      <c r="P73" s="3705"/>
      <c r="Q73" s="3709"/>
    </row>
    <row r="74" spans="1:17" ht="32.25" customHeight="1">
      <c r="A74" s="2053"/>
      <c r="B74" s="3710" t="s">
        <v>6782</v>
      </c>
      <c r="C74" s="3710"/>
      <c r="D74" s="3710"/>
      <c r="E74" s="3710"/>
      <c r="F74" s="3710"/>
      <c r="G74" s="3710"/>
      <c r="H74" s="3710"/>
      <c r="I74" s="3710"/>
      <c r="J74" s="3710"/>
      <c r="K74" s="3711"/>
      <c r="L74" s="3729" t="s">
        <v>7110</v>
      </c>
      <c r="M74" s="3730"/>
      <c r="N74" s="3730"/>
      <c r="O74" s="3730"/>
      <c r="P74" s="3731"/>
      <c r="Q74" s="3732"/>
    </row>
    <row r="75" spans="1:17" ht="20.25" customHeight="1">
      <c r="B75" s="2030" t="s">
        <v>6783</v>
      </c>
      <c r="C75" s="2033"/>
      <c r="O75" s="2044"/>
      <c r="P75" s="2070" t="s">
        <v>2651</v>
      </c>
      <c r="Q75" s="2061"/>
    </row>
    <row r="76" spans="1:17" ht="20.25" customHeight="1">
      <c r="A76" s="2053"/>
      <c r="B76" s="2030" t="s">
        <v>6629</v>
      </c>
      <c r="D76" s="2056"/>
      <c r="E76" s="2056"/>
      <c r="F76" s="2056"/>
      <c r="G76" s="2056"/>
      <c r="H76" s="2056"/>
      <c r="K76" s="2056"/>
      <c r="L76" s="2036"/>
      <c r="O76" s="2044"/>
      <c r="P76" s="2067" t="s">
        <v>2651</v>
      </c>
      <c r="Q76" s="2068"/>
    </row>
    <row r="77" spans="1:17" ht="20.25" customHeight="1">
      <c r="A77" s="2053"/>
      <c r="B77" s="2030" t="s">
        <v>6784</v>
      </c>
      <c r="D77" s="2056"/>
      <c r="E77" s="2056"/>
      <c r="F77" s="2056"/>
      <c r="G77" s="2056"/>
      <c r="H77" s="2056"/>
      <c r="K77" s="2056"/>
      <c r="L77" s="2036"/>
      <c r="M77" s="2036"/>
      <c r="N77" s="2036"/>
      <c r="O77" s="2044"/>
    </row>
    <row r="78" spans="1:17" ht="20.25" customHeight="1">
      <c r="A78" s="2053"/>
      <c r="B78" s="2042"/>
      <c r="C78" s="2030" t="s">
        <v>6785</v>
      </c>
      <c r="E78" s="2056"/>
      <c r="F78" s="2056"/>
      <c r="G78" s="2056"/>
      <c r="H78" s="2056"/>
      <c r="K78" s="2056"/>
      <c r="L78" s="2036"/>
      <c r="M78" s="2036"/>
      <c r="O78" s="2044"/>
      <c r="P78" s="2070" t="s">
        <v>2651</v>
      </c>
      <c r="Q78" s="2061"/>
    </row>
    <row r="79" spans="1:17" ht="20.25" customHeight="1">
      <c r="A79" s="2053"/>
      <c r="B79" s="2042"/>
      <c r="C79" s="2030" t="s">
        <v>6786</v>
      </c>
      <c r="E79" s="2056"/>
      <c r="F79" s="2056"/>
      <c r="G79" s="2056"/>
      <c r="K79" s="2056"/>
      <c r="L79" s="2036"/>
      <c r="M79" s="2036"/>
      <c r="O79" s="2044"/>
      <c r="P79" s="2063" t="s">
        <v>2651</v>
      </c>
      <c r="Q79" s="2064"/>
    </row>
    <row r="80" spans="1:17" s="2081" customFormat="1" ht="20.25" customHeight="1">
      <c r="A80" s="2071"/>
      <c r="B80" s="2072"/>
      <c r="C80" s="2072"/>
      <c r="D80" s="2023" t="s">
        <v>6787</v>
      </c>
      <c r="E80" s="2073"/>
      <c r="F80" s="2073"/>
      <c r="G80" s="2023"/>
      <c r="H80" s="2023"/>
      <c r="I80" s="2074"/>
      <c r="J80" s="2075"/>
      <c r="K80" s="2076"/>
      <c r="L80" s="2077"/>
      <c r="M80" s="2077"/>
      <c r="N80" s="2075"/>
      <c r="O80" s="2078"/>
      <c r="P80" s="2079"/>
      <c r="Q80" s="2080"/>
    </row>
    <row r="81" spans="1:23" ht="20.25" customHeight="1">
      <c r="A81" s="2053"/>
      <c r="B81" s="2042"/>
      <c r="C81" s="2030" t="s">
        <v>6788</v>
      </c>
      <c r="E81" s="2056"/>
      <c r="F81" s="2056"/>
      <c r="G81" s="2056"/>
      <c r="K81" s="2056"/>
      <c r="L81" s="2036"/>
      <c r="M81" s="2036"/>
      <c r="O81" s="2044"/>
      <c r="P81" s="2067" t="s">
        <v>2651</v>
      </c>
      <c r="Q81" s="2068"/>
    </row>
    <row r="82" spans="1:23" ht="32.25" customHeight="1">
      <c r="A82" s="2053"/>
      <c r="B82" s="3739" t="s">
        <v>6789</v>
      </c>
      <c r="C82" s="3739"/>
      <c r="D82" s="3739"/>
      <c r="E82" s="3739"/>
      <c r="F82" s="3739"/>
      <c r="G82" s="3739"/>
      <c r="H82" s="3739"/>
      <c r="I82" s="3739"/>
      <c r="J82" s="3739"/>
      <c r="K82" s="3739"/>
      <c r="L82" s="3739"/>
      <c r="M82" s="3739"/>
      <c r="N82" s="3739"/>
      <c r="O82" s="3739"/>
      <c r="P82" s="3739"/>
      <c r="Q82" s="3739"/>
    </row>
    <row r="83" spans="1:23" ht="29.25" customHeight="1">
      <c r="B83" s="3736" t="s">
        <v>7123</v>
      </c>
      <c r="C83" s="3736"/>
      <c r="D83" s="3736"/>
      <c r="E83" s="3736"/>
      <c r="F83" s="3736"/>
      <c r="G83" s="3736"/>
      <c r="H83" s="3736"/>
      <c r="I83" s="3736"/>
      <c r="J83" s="3736"/>
      <c r="K83" s="3736"/>
      <c r="L83" s="3736"/>
      <c r="M83" s="3736"/>
      <c r="N83" s="3736"/>
      <c r="O83" s="3736"/>
      <c r="P83" s="3736"/>
      <c r="Q83" s="3737"/>
    </row>
    <row r="84" spans="1:23" ht="20.25" customHeight="1">
      <c r="B84" s="2060" t="s">
        <v>3238</v>
      </c>
      <c r="D84" s="2060"/>
      <c r="E84" s="2060"/>
      <c r="F84" s="2060"/>
      <c r="G84" s="2060"/>
      <c r="H84" s="2043"/>
      <c r="I84" s="2031"/>
      <c r="J84" s="2031"/>
      <c r="K84" s="2031"/>
      <c r="L84" s="2026"/>
      <c r="M84" s="2026"/>
      <c r="N84" s="2026"/>
      <c r="O84" s="2026"/>
      <c r="P84" s="2026"/>
      <c r="Q84" s="2026"/>
    </row>
    <row r="85" spans="1:23" ht="34.5" customHeight="1">
      <c r="A85" s="3702" t="s">
        <v>7121</v>
      </c>
      <c r="B85" s="3702"/>
      <c r="C85" s="3702"/>
      <c r="D85" s="3702"/>
      <c r="E85" s="3702"/>
      <c r="F85" s="3702"/>
      <c r="G85" s="3702"/>
      <c r="H85" s="3702"/>
      <c r="I85" s="3702"/>
      <c r="J85" s="3702"/>
      <c r="K85" s="3702"/>
      <c r="L85" s="3702"/>
      <c r="M85" s="3702"/>
      <c r="N85" s="3702"/>
      <c r="O85" s="3702"/>
      <c r="P85" s="3702"/>
      <c r="Q85" s="3703"/>
    </row>
    <row r="86" spans="1:23" ht="20.25" customHeight="1">
      <c r="B86" s="2034" t="s">
        <v>1729</v>
      </c>
      <c r="C86" s="2035"/>
      <c r="D86" s="2036"/>
      <c r="E86" s="2036"/>
      <c r="F86" s="2036"/>
      <c r="G86" s="2036"/>
      <c r="H86" s="2036"/>
      <c r="I86" s="2036"/>
      <c r="J86" s="2036"/>
      <c r="K86" s="2036"/>
      <c r="L86" s="2036"/>
      <c r="M86" s="2036"/>
      <c r="N86" s="2036"/>
      <c r="O86" s="2036"/>
      <c r="P86" s="2036"/>
      <c r="Q86" s="2036"/>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1730</v>
      </c>
      <c r="P90" s="3705"/>
      <c r="Q90" s="3709"/>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7054</v>
      </c>
      <c r="M91" s="3741"/>
      <c r="N91" s="3742"/>
      <c r="O91" s="3705" t="s">
        <v>1646</v>
      </c>
      <c r="P91" s="3743"/>
      <c r="Q91" s="3744"/>
    </row>
    <row r="92" spans="1:23" ht="20.25" customHeight="1">
      <c r="A92" s="2053"/>
      <c r="B92" s="2030" t="s">
        <v>636</v>
      </c>
      <c r="G92" s="3736" t="s">
        <v>7107</v>
      </c>
      <c r="H92" s="3736"/>
      <c r="I92" s="3736"/>
      <c r="J92" s="3736"/>
      <c r="K92" s="3736"/>
      <c r="L92" s="3736"/>
      <c r="M92" s="3736"/>
      <c r="N92" s="3736"/>
      <c r="O92" s="3736"/>
      <c r="P92" s="3736"/>
      <c r="Q92" s="3737"/>
      <c r="W92" s="2082"/>
    </row>
    <row r="93" spans="1:23" ht="20.25" customHeight="1">
      <c r="B93" s="2060" t="s">
        <v>3238</v>
      </c>
      <c r="D93" s="2060"/>
      <c r="E93" s="2060"/>
      <c r="F93" s="2060"/>
      <c r="G93" s="2060"/>
      <c r="H93" s="2043"/>
      <c r="I93" s="2031"/>
      <c r="J93" s="2031"/>
      <c r="K93" s="2031"/>
      <c r="L93" s="2026"/>
      <c r="M93" s="2026"/>
      <c r="N93" s="2026"/>
      <c r="O93" s="2026"/>
      <c r="P93" s="2026"/>
      <c r="Q93" s="2026"/>
    </row>
    <row r="94" spans="1:23" ht="48.75" customHeight="1">
      <c r="A94" s="3702" t="s">
        <v>7111</v>
      </c>
      <c r="B94" s="3702"/>
      <c r="C94" s="3702"/>
      <c r="D94" s="3702"/>
      <c r="E94" s="3702"/>
      <c r="F94" s="3702"/>
      <c r="G94" s="3702"/>
      <c r="H94" s="3702"/>
      <c r="I94" s="3702"/>
      <c r="J94" s="3702"/>
      <c r="K94" s="3702"/>
      <c r="L94" s="3702"/>
      <c r="M94" s="3702"/>
      <c r="N94" s="3702"/>
      <c r="O94" s="3702"/>
      <c r="P94" s="3702"/>
      <c r="Q94" s="3738"/>
    </row>
    <row r="95" spans="1:23" ht="20.25" customHeight="1">
      <c r="B95" s="2034" t="s">
        <v>1729</v>
      </c>
      <c r="C95" s="2035"/>
      <c r="D95" s="2036"/>
      <c r="E95" s="2036"/>
      <c r="F95" s="2036"/>
      <c r="G95" s="2036"/>
      <c r="H95" s="2036"/>
      <c r="I95" s="2036"/>
      <c r="J95" s="2036"/>
      <c r="K95" s="2036"/>
      <c r="L95" s="2036"/>
      <c r="M95" s="2036"/>
      <c r="N95" s="2036"/>
      <c r="O95" s="2036"/>
      <c r="P95" s="2036"/>
      <c r="Q95" s="2036"/>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1730</v>
      </c>
      <c r="P99" s="3705"/>
      <c r="Q99" s="3709"/>
    </row>
    <row r="100" spans="1:17" ht="20.25" customHeight="1">
      <c r="B100" s="2060" t="s">
        <v>3238</v>
      </c>
      <c r="D100" s="2060"/>
      <c r="E100" s="2060"/>
      <c r="F100" s="2060"/>
      <c r="G100" s="2060"/>
      <c r="H100" s="2043"/>
      <c r="I100" s="2031"/>
      <c r="J100" s="2031"/>
      <c r="K100" s="2031"/>
      <c r="L100" s="2026"/>
      <c r="M100" s="2026"/>
      <c r="N100" s="2026"/>
      <c r="O100" s="2026"/>
      <c r="P100" s="2026"/>
      <c r="Q100" s="2026"/>
    </row>
    <row r="101" spans="1:17" ht="36" customHeight="1">
      <c r="A101" s="3702" t="s">
        <v>7125</v>
      </c>
      <c r="B101" s="3702"/>
      <c r="C101" s="3702"/>
      <c r="D101" s="3702"/>
      <c r="E101" s="3702"/>
      <c r="F101" s="3702"/>
      <c r="G101" s="3702"/>
      <c r="H101" s="3702"/>
      <c r="I101" s="3702"/>
      <c r="J101" s="3702"/>
      <c r="K101" s="3702"/>
      <c r="L101" s="3702"/>
      <c r="M101" s="3702"/>
      <c r="N101" s="3702"/>
      <c r="O101" s="3702"/>
      <c r="P101" s="3702"/>
      <c r="Q101" s="3738"/>
    </row>
    <row r="102" spans="1:17" ht="20.25" customHeight="1">
      <c r="B102" s="2034" t="s">
        <v>1729</v>
      </c>
      <c r="C102" s="2035"/>
      <c r="D102" s="2036"/>
      <c r="E102" s="2036"/>
      <c r="F102" s="2036"/>
      <c r="G102" s="2036"/>
      <c r="H102" s="2036"/>
      <c r="I102" s="2036"/>
      <c r="J102" s="2036"/>
      <c r="K102" s="2036"/>
      <c r="L102" s="2036"/>
      <c r="M102" s="2036"/>
      <c r="N102" s="2036"/>
      <c r="O102" s="2036"/>
      <c r="P102" s="2036"/>
      <c r="Q102" s="2036"/>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2426</v>
      </c>
      <c r="C106" s="3745"/>
      <c r="D106" s="3745"/>
      <c r="N106" s="2069"/>
      <c r="O106" s="2032" t="s">
        <v>1730</v>
      </c>
      <c r="P106" s="3705"/>
      <c r="Q106" s="3709"/>
    </row>
    <row r="107" spans="1:17" ht="20.25" customHeight="1">
      <c r="B107" s="2060" t="s">
        <v>3238</v>
      </c>
      <c r="D107" s="2060"/>
      <c r="E107" s="2060"/>
      <c r="F107" s="2060"/>
      <c r="G107" s="2060"/>
      <c r="H107" s="2043"/>
      <c r="I107" s="2031"/>
      <c r="J107" s="2031"/>
      <c r="K107" s="2031"/>
      <c r="L107" s="2026"/>
      <c r="M107" s="2026"/>
      <c r="N107" s="2026"/>
      <c r="O107" s="2026"/>
      <c r="P107" s="2026"/>
      <c r="Q107" s="2026"/>
    </row>
    <row r="108" spans="1:17" ht="36" customHeight="1">
      <c r="A108" s="3702" t="s">
        <v>7079</v>
      </c>
      <c r="B108" s="3702"/>
      <c r="C108" s="3702"/>
      <c r="D108" s="3702"/>
      <c r="E108" s="3702"/>
      <c r="F108" s="3702"/>
      <c r="G108" s="3702"/>
      <c r="H108" s="3702"/>
      <c r="I108" s="3702"/>
      <c r="J108" s="3702"/>
      <c r="K108" s="3702"/>
      <c r="L108" s="3702"/>
      <c r="M108" s="3702"/>
      <c r="N108" s="3702"/>
      <c r="O108" s="3702"/>
      <c r="P108" s="3702"/>
      <c r="Q108" s="3738"/>
    </row>
    <row r="109" spans="1:17" ht="20.25" customHeight="1">
      <c r="B109" s="2034" t="s">
        <v>1729</v>
      </c>
      <c r="C109" s="2035"/>
      <c r="D109" s="2036"/>
      <c r="E109" s="2036"/>
      <c r="F109" s="2036"/>
      <c r="G109" s="2036"/>
      <c r="H109" s="2036"/>
      <c r="I109" s="2036"/>
      <c r="J109" s="2036"/>
      <c r="K109" s="2036"/>
      <c r="L109" s="2036"/>
      <c r="M109" s="2036"/>
      <c r="N109" s="2036"/>
      <c r="O109" s="2036"/>
      <c r="P109" s="2036"/>
      <c r="Q109" s="2036"/>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1730</v>
      </c>
      <c r="P113" s="3734"/>
      <c r="Q113" s="3735"/>
    </row>
    <row r="114" spans="1:21" ht="20.25" customHeight="1">
      <c r="A114" s="2053"/>
      <c r="B114" s="2030" t="s">
        <v>6790</v>
      </c>
      <c r="H114" s="2030" t="s">
        <v>6791</v>
      </c>
      <c r="J114" s="3749" t="s">
        <v>7055</v>
      </c>
      <c r="K114" s="3750"/>
      <c r="L114" s="3750"/>
      <c r="M114" s="3750"/>
      <c r="N114" s="3750"/>
      <c r="O114" s="3750"/>
      <c r="P114" s="3750"/>
      <c r="Q114" s="3751"/>
    </row>
    <row r="115" spans="1:21" ht="20.25" customHeight="1">
      <c r="A115" s="2053"/>
      <c r="B115" s="2053"/>
      <c r="H115" s="2030" t="s">
        <v>6792</v>
      </c>
      <c r="J115" s="3746" t="s">
        <v>7080</v>
      </c>
      <c r="K115" s="3747"/>
      <c r="L115" s="3747"/>
      <c r="M115" s="3747"/>
      <c r="N115" s="3747"/>
      <c r="O115" s="3747"/>
      <c r="P115" s="3747"/>
      <c r="Q115" s="3748"/>
    </row>
    <row r="116" spans="1:21" ht="20.25" customHeight="1">
      <c r="A116" s="2053"/>
      <c r="B116" s="2060" t="s">
        <v>3238</v>
      </c>
      <c r="C116" s="2083"/>
      <c r="D116" s="2083"/>
      <c r="E116" s="2083"/>
      <c r="F116" s="2083"/>
      <c r="H116" s="2033"/>
      <c r="I116" s="2033"/>
      <c r="J116" s="2033"/>
      <c r="K116" s="2033"/>
      <c r="L116" s="2033"/>
      <c r="M116" s="2033"/>
      <c r="N116" s="2033"/>
      <c r="O116" s="2033"/>
      <c r="P116" s="2033"/>
      <c r="Q116" s="2033"/>
    </row>
    <row r="117" spans="1:21" ht="36" customHeight="1">
      <c r="A117" s="3702" t="s">
        <v>7081</v>
      </c>
      <c r="B117" s="3702"/>
      <c r="C117" s="3702"/>
      <c r="D117" s="3702"/>
      <c r="E117" s="3702"/>
      <c r="F117" s="3702"/>
      <c r="G117" s="3702"/>
      <c r="H117" s="3702"/>
      <c r="I117" s="3702"/>
      <c r="J117" s="3702"/>
      <c r="K117" s="3702"/>
      <c r="L117" s="3702"/>
      <c r="M117" s="3702"/>
      <c r="N117" s="3702"/>
      <c r="O117" s="3702"/>
      <c r="P117" s="3702"/>
      <c r="Q117" s="3738"/>
    </row>
    <row r="118" spans="1:21" ht="20.25" customHeight="1">
      <c r="B118" s="2034" t="s">
        <v>1729</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6793</v>
      </c>
      <c r="C122" s="2029"/>
      <c r="D122" s="2029"/>
      <c r="E122" s="2029"/>
      <c r="F122" s="2029"/>
      <c r="G122" s="2036"/>
      <c r="H122" s="2036"/>
      <c r="J122" s="2036"/>
      <c r="K122" s="2036"/>
      <c r="L122" s="2036"/>
      <c r="M122" s="2036"/>
      <c r="N122" s="2069"/>
      <c r="O122" s="2032" t="s">
        <v>1730</v>
      </c>
      <c r="P122" s="3705"/>
      <c r="Q122" s="3709"/>
    </row>
    <row r="123" spans="1:21" ht="20.25" customHeight="1">
      <c r="A123" s="2053"/>
      <c r="B123" s="2030" t="s">
        <v>6794</v>
      </c>
      <c r="H123" s="2030" t="s">
        <v>6795</v>
      </c>
      <c r="J123" s="3749" t="s">
        <v>7082</v>
      </c>
      <c r="K123" s="3750"/>
      <c r="L123" s="3750"/>
      <c r="M123" s="3750"/>
      <c r="N123" s="3750"/>
      <c r="O123" s="3750"/>
      <c r="P123" s="3750"/>
      <c r="Q123" s="3751"/>
      <c r="R123" s="2084"/>
    </row>
    <row r="124" spans="1:21" ht="20.25" customHeight="1">
      <c r="A124" s="2083"/>
      <c r="B124" s="2053"/>
      <c r="H124" s="2030" t="s">
        <v>6796</v>
      </c>
      <c r="J124" s="3746" t="s">
        <v>7082</v>
      </c>
      <c r="K124" s="3747"/>
      <c r="L124" s="3747"/>
      <c r="M124" s="3747"/>
      <c r="N124" s="3747"/>
      <c r="O124" s="3747"/>
      <c r="P124" s="3747"/>
      <c r="Q124" s="3748"/>
      <c r="R124" s="2084"/>
    </row>
    <row r="125" spans="1:21" ht="20.25" customHeight="1">
      <c r="B125" s="2060" t="s">
        <v>3238</v>
      </c>
      <c r="D125" s="2060"/>
      <c r="E125" s="2060"/>
      <c r="F125" s="2060"/>
      <c r="G125" s="2060"/>
      <c r="H125" s="2043"/>
      <c r="I125" s="2031"/>
      <c r="J125" s="2031"/>
      <c r="K125" s="2031"/>
      <c r="L125" s="2026"/>
      <c r="M125" s="2026"/>
      <c r="N125" s="2026"/>
      <c r="O125" s="2026"/>
      <c r="P125" s="2026"/>
      <c r="Q125" s="2026"/>
    </row>
    <row r="126" spans="1:21" ht="33" customHeight="1">
      <c r="A126" s="3702" t="s">
        <v>7083</v>
      </c>
      <c r="B126" s="3702"/>
      <c r="C126" s="3702"/>
      <c r="D126" s="3702"/>
      <c r="E126" s="3702"/>
      <c r="F126" s="3702"/>
      <c r="G126" s="3702"/>
      <c r="H126" s="3702"/>
      <c r="I126" s="3702"/>
      <c r="J126" s="3702"/>
      <c r="K126" s="3702"/>
      <c r="L126" s="3702"/>
      <c r="M126" s="3702"/>
      <c r="N126" s="3702"/>
      <c r="O126" s="3702"/>
      <c r="P126" s="3702"/>
      <c r="Q126" s="3738"/>
    </row>
    <row r="127" spans="1:21" ht="20.25" customHeight="1">
      <c r="B127" s="2034" t="s">
        <v>1729</v>
      </c>
      <c r="C127" s="2035"/>
      <c r="D127" s="2036"/>
      <c r="E127" s="2036"/>
      <c r="F127" s="2036"/>
      <c r="G127" s="2036"/>
      <c r="H127" s="2036"/>
      <c r="I127" s="2036"/>
      <c r="J127" s="2036"/>
      <c r="K127" s="2036"/>
      <c r="L127" s="2036"/>
      <c r="M127" s="2036"/>
      <c r="N127" s="2036"/>
      <c r="O127" s="2036"/>
      <c r="P127" s="2036"/>
      <c r="Q127" s="2036"/>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1730</v>
      </c>
      <c r="P131" s="3705"/>
      <c r="Q131" s="3709"/>
    </row>
    <row r="132" spans="1:17" ht="31.5" customHeight="1">
      <c r="A132" s="2033"/>
      <c r="B132" s="3710" t="s">
        <v>6797</v>
      </c>
      <c r="C132" s="3710"/>
      <c r="D132" s="3710"/>
      <c r="E132" s="3710"/>
      <c r="F132" s="3710"/>
      <c r="G132" s="3710"/>
      <c r="H132" s="3710"/>
      <c r="I132" s="3710"/>
      <c r="J132" s="3710"/>
      <c r="K132" s="3710"/>
      <c r="L132" s="3710"/>
      <c r="M132" s="3710"/>
      <c r="N132" s="3710"/>
      <c r="O132" s="3711"/>
      <c r="P132" s="3719" t="s">
        <v>2648</v>
      </c>
      <c r="Q132" s="3720"/>
    </row>
    <row r="133" spans="1:17" ht="20.25" customHeight="1">
      <c r="A133" s="2053" t="s">
        <v>1840</v>
      </c>
      <c r="B133" s="2030" t="s">
        <v>6798</v>
      </c>
      <c r="O133" s="2044"/>
      <c r="P133" s="2033"/>
      <c r="Q133" s="2033"/>
    </row>
    <row r="134" spans="1:17" ht="20.25" customHeight="1">
      <c r="A134" s="2053"/>
      <c r="B134" s="2043"/>
      <c r="C134" s="2030" t="s">
        <v>1791</v>
      </c>
      <c r="J134" s="2044"/>
      <c r="K134" s="2033"/>
      <c r="L134" s="2033"/>
      <c r="M134" s="3752" t="s">
        <v>7084</v>
      </c>
      <c r="N134" s="3753"/>
      <c r="O134" s="3753"/>
      <c r="P134" s="3753"/>
      <c r="Q134" s="3754"/>
    </row>
    <row r="135" spans="1:17" ht="20.25" customHeight="1">
      <c r="A135" s="2053"/>
      <c r="B135" s="2043"/>
      <c r="C135" s="2043" t="s">
        <v>6716</v>
      </c>
      <c r="E135" s="2043"/>
      <c r="F135" s="2043"/>
      <c r="G135" s="2043"/>
      <c r="H135" s="2043"/>
      <c r="J135" s="2044"/>
      <c r="K135" s="2033"/>
      <c r="L135" s="2033"/>
      <c r="M135" s="3755" t="s">
        <v>7085</v>
      </c>
      <c r="N135" s="3756"/>
      <c r="O135" s="3756"/>
      <c r="P135" s="3756"/>
      <c r="Q135" s="3757"/>
    </row>
    <row r="136" spans="1:17" ht="20.25" customHeight="1">
      <c r="A136" s="2053"/>
      <c r="B136" s="2043"/>
      <c r="C136" s="3758" t="s">
        <v>6191</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3784</v>
      </c>
      <c r="E137" s="2043"/>
      <c r="F137" s="2043"/>
      <c r="G137" s="2043"/>
      <c r="H137" s="2043"/>
      <c r="J137" s="2044"/>
      <c r="K137" s="2033"/>
      <c r="L137" s="2033"/>
      <c r="M137" s="3746" t="s">
        <v>7086</v>
      </c>
      <c r="N137" s="3747"/>
      <c r="O137" s="3747"/>
      <c r="P137" s="3747"/>
      <c r="Q137" s="3748"/>
    </row>
    <row r="138" spans="1:17" ht="20.25" customHeight="1">
      <c r="A138" s="2053" t="s">
        <v>1842</v>
      </c>
      <c r="B138" s="3710" t="s">
        <v>6799</v>
      </c>
      <c r="C138" s="3710"/>
      <c r="D138" s="3710"/>
      <c r="E138" s="3710"/>
      <c r="F138" s="3710"/>
      <c r="G138" s="3710"/>
      <c r="H138" s="3710"/>
      <c r="I138" s="3710"/>
      <c r="J138" s="3710"/>
      <c r="K138" s="3710"/>
      <c r="L138" s="3710"/>
      <c r="M138" s="3710"/>
      <c r="N138" s="3710"/>
      <c r="O138" s="2044"/>
      <c r="P138" s="2085"/>
      <c r="Q138" s="2026"/>
    </row>
    <row r="139" spans="1:17" ht="48" customHeight="1">
      <c r="A139" s="2071"/>
      <c r="B139" s="2036"/>
      <c r="C139" s="3710" t="s">
        <v>6800</v>
      </c>
      <c r="D139" s="3710"/>
      <c r="E139" s="3710"/>
      <c r="F139" s="3710"/>
      <c r="G139" s="3710"/>
      <c r="H139" s="3710"/>
      <c r="I139" s="3710"/>
      <c r="J139" s="3710"/>
      <c r="K139" s="3710"/>
      <c r="L139" s="3710"/>
      <c r="M139" s="3710"/>
      <c r="N139" s="3710"/>
      <c r="O139" s="3710"/>
      <c r="P139" s="2085"/>
      <c r="Q139" s="2026"/>
    </row>
    <row r="140" spans="1:17" ht="15.75" customHeight="1">
      <c r="A140" s="2026"/>
      <c r="B140" s="2078" t="s">
        <v>1614</v>
      </c>
      <c r="C140" s="3767" t="s">
        <v>3848</v>
      </c>
      <c r="D140" s="3768"/>
      <c r="E140" s="3768"/>
      <c r="F140" s="3768"/>
      <c r="G140" s="3768"/>
      <c r="H140" s="3769"/>
      <c r="I140" s="2033"/>
      <c r="J140" s="3779" t="s">
        <v>6801</v>
      </c>
      <c r="K140" s="3780"/>
      <c r="L140" s="3780"/>
      <c r="M140" s="3780"/>
      <c r="N140" s="3780"/>
      <c r="O140" s="3780"/>
      <c r="P140" s="3780"/>
      <c r="Q140" s="3781"/>
    </row>
    <row r="141" spans="1:17" ht="15.75" customHeight="1">
      <c r="A141" s="2026"/>
      <c r="B141" s="2078" t="s">
        <v>1615</v>
      </c>
      <c r="C141" s="3770" t="s">
        <v>3847</v>
      </c>
      <c r="D141" s="3771"/>
      <c r="E141" s="3771"/>
      <c r="F141" s="3771"/>
      <c r="G141" s="3771"/>
      <c r="H141" s="3772"/>
      <c r="I141" s="2033"/>
      <c r="J141" s="3776" t="s">
        <v>6801</v>
      </c>
      <c r="K141" s="3777"/>
      <c r="L141" s="3777"/>
      <c r="M141" s="3777"/>
      <c r="N141" s="3777"/>
      <c r="O141" s="3777"/>
      <c r="P141" s="3777"/>
      <c r="Q141" s="3778"/>
    </row>
    <row r="142" spans="1:17" ht="15.75" customHeight="1">
      <c r="A142" s="2026"/>
      <c r="B142" s="2078" t="s">
        <v>1616</v>
      </c>
      <c r="C142" s="3770"/>
      <c r="D142" s="3771"/>
      <c r="E142" s="3771"/>
      <c r="F142" s="3771"/>
      <c r="G142" s="3771"/>
      <c r="H142" s="3772"/>
      <c r="I142" s="2033"/>
      <c r="J142" s="3776"/>
      <c r="K142" s="3777"/>
      <c r="L142" s="3777"/>
      <c r="M142" s="3777"/>
      <c r="N142" s="3777"/>
      <c r="O142" s="3777"/>
      <c r="P142" s="3777"/>
      <c r="Q142" s="3778"/>
    </row>
    <row r="143" spans="1:17" ht="15.75" customHeight="1">
      <c r="A143" s="2026"/>
      <c r="B143" s="2078" t="s">
        <v>2181</v>
      </c>
      <c r="C143" s="3762"/>
      <c r="D143" s="3763"/>
      <c r="E143" s="3763"/>
      <c r="F143" s="3763"/>
      <c r="G143" s="3763"/>
      <c r="H143" s="3764"/>
      <c r="I143" s="2033"/>
      <c r="J143" s="3773"/>
      <c r="K143" s="3774"/>
      <c r="L143" s="3774"/>
      <c r="M143" s="3774"/>
      <c r="N143" s="3774"/>
      <c r="O143" s="3774"/>
      <c r="P143" s="3774"/>
      <c r="Q143" s="3775"/>
    </row>
    <row r="144" spans="1:17" ht="20.25" customHeight="1">
      <c r="B144" s="2045" t="s">
        <v>3238</v>
      </c>
      <c r="D144" s="2045"/>
      <c r="E144" s="2045"/>
      <c r="F144" s="2045"/>
      <c r="G144" s="2045"/>
      <c r="H144" s="2043"/>
      <c r="I144" s="2031"/>
      <c r="J144" s="2031"/>
      <c r="K144" s="2031"/>
      <c r="L144" s="2026"/>
      <c r="M144" s="2026"/>
      <c r="N144" s="2026"/>
      <c r="O144" s="2026"/>
      <c r="P144" s="2033"/>
      <c r="Q144" s="2033"/>
    </row>
    <row r="145" spans="1:18" ht="63.75" customHeight="1">
      <c r="A145" s="3702" t="s">
        <v>7128</v>
      </c>
      <c r="B145" s="3702"/>
      <c r="C145" s="3702"/>
      <c r="D145" s="3702"/>
      <c r="E145" s="3702"/>
      <c r="F145" s="3702"/>
      <c r="G145" s="3702"/>
      <c r="H145" s="3702"/>
      <c r="I145" s="3702"/>
      <c r="J145" s="3702"/>
      <c r="K145" s="3702"/>
      <c r="L145" s="3702"/>
      <c r="M145" s="3702"/>
      <c r="N145" s="3702"/>
      <c r="O145" s="3702"/>
      <c r="P145" s="3702"/>
      <c r="Q145" s="3738"/>
    </row>
    <row r="146" spans="1:18" ht="20.25" customHeight="1">
      <c r="B146" s="2034" t="s">
        <v>1729</v>
      </c>
      <c r="C146" s="2035"/>
      <c r="D146" s="2036"/>
      <c r="E146" s="2036"/>
      <c r="F146" s="2036"/>
      <c r="G146" s="2036"/>
      <c r="H146" s="2036"/>
      <c r="I146" s="2036"/>
      <c r="J146" s="2036"/>
      <c r="K146" s="2036"/>
      <c r="L146" s="2036"/>
      <c r="M146" s="2036"/>
      <c r="N146" s="2036"/>
      <c r="O146" s="2036"/>
      <c r="P146" s="2036"/>
      <c r="Q146" s="2036"/>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3949</v>
      </c>
      <c r="C150" s="2029"/>
      <c r="D150" s="2029"/>
      <c r="E150" s="2029"/>
      <c r="F150" s="2029"/>
      <c r="G150" s="2029"/>
      <c r="H150" s="2036"/>
      <c r="I150" s="2036"/>
      <c r="J150" s="2036"/>
      <c r="K150" s="2036"/>
      <c r="L150" s="2086"/>
      <c r="M150" s="2087"/>
      <c r="O150" s="2032" t="s">
        <v>1730</v>
      </c>
      <c r="P150" s="3734"/>
      <c r="Q150" s="3735"/>
    </row>
    <row r="151" spans="1:18" ht="20.25" customHeight="1">
      <c r="A151" s="2033"/>
      <c r="B151" s="2030" t="s">
        <v>6802</v>
      </c>
      <c r="C151" s="2033"/>
      <c r="D151" s="2033"/>
      <c r="E151" s="2033"/>
      <c r="F151" s="2033"/>
      <c r="G151" s="2033"/>
      <c r="H151" s="2033"/>
      <c r="I151" s="2033"/>
      <c r="J151" s="2033"/>
      <c r="K151" s="2033"/>
      <c r="L151" s="2033"/>
      <c r="M151" s="2033"/>
      <c r="N151" s="2031"/>
      <c r="O151" s="2033"/>
      <c r="P151" s="3765"/>
      <c r="Q151" s="3766"/>
    </row>
    <row r="152" spans="1:18" ht="20.25" customHeight="1">
      <c r="A152" s="2053"/>
      <c r="B152" s="2030" t="s">
        <v>1192</v>
      </c>
      <c r="G152" s="2033"/>
      <c r="H152" s="3789"/>
      <c r="I152" s="3790"/>
      <c r="J152" s="3790"/>
      <c r="K152" s="3790"/>
      <c r="L152" s="3790"/>
      <c r="M152" s="3790"/>
      <c r="N152" s="3790"/>
      <c r="O152" s="3790"/>
      <c r="P152" s="3791"/>
      <c r="Q152" s="3792"/>
      <c r="R152" s="2062"/>
    </row>
    <row r="153" spans="1:18" ht="20.25" customHeight="1">
      <c r="A153" s="2053"/>
      <c r="B153" s="2030" t="s">
        <v>1805</v>
      </c>
      <c r="G153" s="2033"/>
      <c r="H153" s="3793"/>
      <c r="I153" s="3794"/>
      <c r="J153" s="3794"/>
      <c r="K153" s="3794"/>
      <c r="L153" s="3794"/>
      <c r="M153" s="3794"/>
      <c r="N153" s="3794"/>
      <c r="O153" s="3794"/>
      <c r="P153" s="3794"/>
      <c r="Q153" s="3795"/>
      <c r="R153" s="2062"/>
    </row>
    <row r="154" spans="1:18" ht="20.25" customHeight="1">
      <c r="B154" s="2060" t="s">
        <v>3238</v>
      </c>
      <c r="D154" s="2060"/>
      <c r="E154" s="2060"/>
      <c r="F154" s="2060"/>
      <c r="G154" s="2060"/>
      <c r="H154" s="2043"/>
      <c r="I154" s="2031"/>
      <c r="J154" s="2031"/>
      <c r="K154" s="2031"/>
      <c r="L154" s="2026"/>
      <c r="M154" s="2026"/>
      <c r="N154" s="2026"/>
      <c r="O154" s="2026"/>
      <c r="P154" s="2026"/>
      <c r="Q154" s="2026"/>
    </row>
    <row r="155" spans="1:18" ht="20.25" customHeight="1">
      <c r="A155" s="3702" t="s">
        <v>7068</v>
      </c>
      <c r="B155" s="3702"/>
      <c r="C155" s="3702"/>
      <c r="D155" s="3702"/>
      <c r="E155" s="3702"/>
      <c r="F155" s="3702"/>
      <c r="G155" s="3702"/>
      <c r="H155" s="3702"/>
      <c r="I155" s="3702"/>
      <c r="J155" s="3702"/>
      <c r="K155" s="3702"/>
      <c r="L155" s="3702"/>
      <c r="M155" s="3702"/>
      <c r="N155" s="3702"/>
      <c r="O155" s="3702"/>
      <c r="P155" s="3702"/>
      <c r="Q155" s="3738"/>
    </row>
    <row r="156" spans="1:18" ht="20.25" customHeight="1">
      <c r="B156" s="2034" t="s">
        <v>1729</v>
      </c>
      <c r="C156" s="2035"/>
      <c r="D156" s="2036"/>
      <c r="E156" s="2036"/>
      <c r="F156" s="2036"/>
      <c r="G156" s="2036"/>
      <c r="H156" s="2036"/>
      <c r="I156" s="2036"/>
      <c r="J156" s="2036"/>
      <c r="K156" s="2036"/>
      <c r="L156" s="2036"/>
      <c r="M156" s="2036"/>
      <c r="N156" s="2036"/>
      <c r="O156" s="2036"/>
      <c r="P156" s="2036"/>
      <c r="Q156" s="2036"/>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2079</v>
      </c>
      <c r="B160" s="2029" t="s">
        <v>2430</v>
      </c>
      <c r="C160" s="2029"/>
      <c r="D160" s="2029"/>
      <c r="E160" s="2029"/>
      <c r="F160" s="2029"/>
      <c r="G160" s="2029"/>
      <c r="H160" s="2036"/>
      <c r="I160" s="2036"/>
      <c r="J160" s="2036"/>
      <c r="K160" s="2036"/>
      <c r="L160" s="2036"/>
      <c r="M160" s="2036"/>
      <c r="O160" s="2032" t="s">
        <v>1730</v>
      </c>
      <c r="P160" s="3705"/>
      <c r="Q160" s="3709"/>
    </row>
    <row r="161" spans="1:17" ht="20.25" customHeight="1">
      <c r="B161" s="2060" t="s">
        <v>3238</v>
      </c>
      <c r="D161" s="2060"/>
      <c r="E161" s="2060"/>
      <c r="F161" s="2060"/>
      <c r="G161" s="2060"/>
      <c r="H161" s="2043"/>
      <c r="I161" s="2031"/>
      <c r="J161" s="2031"/>
      <c r="K161" s="2031"/>
      <c r="L161" s="2026"/>
      <c r="M161" s="2026"/>
      <c r="N161" s="2026"/>
      <c r="O161" s="2026"/>
      <c r="P161" s="2026"/>
      <c r="Q161" s="2026"/>
    </row>
    <row r="162" spans="1:17" ht="20.25" customHeight="1">
      <c r="A162" s="3702" t="s">
        <v>7127</v>
      </c>
      <c r="B162" s="3702"/>
      <c r="C162" s="3702"/>
      <c r="D162" s="3702"/>
      <c r="E162" s="3702"/>
      <c r="F162" s="3702"/>
      <c r="G162" s="3702"/>
      <c r="H162" s="3702"/>
      <c r="I162" s="3702"/>
      <c r="J162" s="3702"/>
      <c r="K162" s="3702"/>
      <c r="L162" s="3702"/>
      <c r="M162" s="3702"/>
      <c r="N162" s="3702"/>
      <c r="O162" s="3702"/>
      <c r="P162" s="3702"/>
      <c r="Q162" s="3738"/>
    </row>
    <row r="163" spans="1:17" ht="20.25" customHeight="1">
      <c r="B163" s="2034" t="s">
        <v>1729</v>
      </c>
      <c r="C163" s="2035"/>
      <c r="D163" s="2036"/>
      <c r="E163" s="2036"/>
      <c r="F163" s="2036"/>
      <c r="G163" s="2036"/>
      <c r="H163" s="2036"/>
      <c r="I163" s="2036"/>
      <c r="J163" s="2036"/>
      <c r="K163" s="2036"/>
      <c r="L163" s="2036"/>
      <c r="M163" s="2036"/>
      <c r="N163" s="2036"/>
      <c r="O163" s="2036"/>
      <c r="P163" s="2036"/>
      <c r="Q163" s="2036"/>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3368</v>
      </c>
      <c r="B167" s="2042" t="s">
        <v>2431</v>
      </c>
      <c r="C167" s="2042"/>
      <c r="D167" s="2036"/>
      <c r="E167" s="2036"/>
      <c r="F167" s="2036"/>
      <c r="G167" s="2036"/>
      <c r="H167" s="2036"/>
      <c r="I167" s="2036"/>
      <c r="J167" s="2036"/>
      <c r="K167" s="2036"/>
      <c r="L167" s="2036"/>
      <c r="M167" s="2036"/>
      <c r="O167" s="2032" t="s">
        <v>1730</v>
      </c>
      <c r="P167" s="3705"/>
      <c r="Q167" s="3709"/>
    </row>
    <row r="168" spans="1:17" ht="20.25" customHeight="1">
      <c r="A168" s="2053" t="s">
        <v>1840</v>
      </c>
      <c r="B168" s="2029" t="s">
        <v>6196</v>
      </c>
      <c r="G168" s="2033"/>
      <c r="J168" s="2033"/>
      <c r="K168" s="2033"/>
      <c r="L168" s="2033"/>
      <c r="M168" s="2033"/>
      <c r="N168" s="2033"/>
      <c r="O168" s="2044"/>
      <c r="P168" s="2033"/>
      <c r="Q168" s="2033"/>
    </row>
    <row r="169" spans="1:17" ht="33" customHeight="1">
      <c r="B169" s="3786" t="s">
        <v>6803</v>
      </c>
      <c r="C169" s="3786"/>
      <c r="D169" s="3786"/>
      <c r="E169" s="3786"/>
      <c r="F169" s="3786"/>
      <c r="G169" s="3786"/>
      <c r="H169" s="3786"/>
      <c r="I169" s="3786"/>
      <c r="J169" s="3786"/>
      <c r="K169" s="3786"/>
      <c r="L169" s="3786"/>
      <c r="M169" s="3786"/>
      <c r="N169" s="3786"/>
      <c r="O169" s="3796"/>
      <c r="P169" s="3782" t="s">
        <v>7056</v>
      </c>
      <c r="Q169" s="3783"/>
    </row>
    <row r="170" spans="1:17" ht="20.25" customHeight="1">
      <c r="A170" s="2053" t="s">
        <v>1842</v>
      </c>
      <c r="B170" s="2029" t="s">
        <v>297</v>
      </c>
      <c r="G170" s="2033"/>
      <c r="H170" s="3784" t="s">
        <v>3252</v>
      </c>
      <c r="I170" s="3784"/>
      <c r="J170" s="3784"/>
      <c r="K170" s="3784"/>
      <c r="L170" s="3784"/>
      <c r="M170" s="3784"/>
      <c r="N170" s="3784"/>
      <c r="O170" s="3784"/>
      <c r="P170" s="3785"/>
      <c r="Q170" s="3785"/>
    </row>
    <row r="171" spans="1:17" ht="20.25" customHeight="1">
      <c r="A171" s="2053" t="s">
        <v>698</v>
      </c>
      <c r="B171" s="2029" t="s">
        <v>6195</v>
      </c>
      <c r="G171" s="2033"/>
      <c r="J171" s="2033"/>
      <c r="K171" s="2033"/>
      <c r="L171" s="2033"/>
      <c r="M171" s="2033"/>
      <c r="N171" s="2033"/>
      <c r="O171" s="2033"/>
      <c r="P171" s="2033"/>
      <c r="Q171" s="2033"/>
    </row>
    <row r="172" spans="1:17" ht="33" customHeight="1">
      <c r="A172" s="2053"/>
      <c r="B172" s="3786" t="s">
        <v>6197</v>
      </c>
      <c r="C172" s="3786"/>
      <c r="D172" s="3786"/>
      <c r="E172" s="3786"/>
      <c r="F172" s="3786"/>
      <c r="G172" s="3786"/>
      <c r="H172" s="3786"/>
      <c r="I172" s="3786"/>
      <c r="J172" s="3786"/>
      <c r="K172" s="3786"/>
      <c r="L172" s="3786"/>
      <c r="M172" s="3786"/>
      <c r="N172" s="2439" t="s">
        <v>6198</v>
      </c>
      <c r="O172" s="2078" t="s">
        <v>698</v>
      </c>
      <c r="P172" s="3787" t="s">
        <v>7056</v>
      </c>
      <c r="Q172" s="3788"/>
    </row>
    <row r="173" spans="1:17" ht="20.25" customHeight="1">
      <c r="B173" s="2060" t="s">
        <v>3238</v>
      </c>
      <c r="M173" s="2031"/>
      <c r="N173" s="2031"/>
      <c r="O173" s="2088"/>
      <c r="P173" s="2026"/>
    </row>
    <row r="174" spans="1:17" ht="37.5" customHeight="1">
      <c r="A174" s="3702" t="s">
        <v>7087</v>
      </c>
      <c r="B174" s="3702"/>
      <c r="C174" s="3702"/>
      <c r="D174" s="3702"/>
      <c r="E174" s="3702"/>
      <c r="F174" s="3702"/>
      <c r="G174" s="3702"/>
      <c r="H174" s="3702"/>
      <c r="I174" s="3702"/>
      <c r="J174" s="3702"/>
      <c r="K174" s="3702"/>
      <c r="L174" s="3702"/>
      <c r="M174" s="3702"/>
      <c r="N174" s="3702"/>
      <c r="O174" s="3702"/>
      <c r="P174" s="3702"/>
      <c r="Q174" s="3738"/>
    </row>
    <row r="175" spans="1:17" ht="20.25" customHeight="1">
      <c r="B175" s="2034" t="s">
        <v>1729</v>
      </c>
      <c r="C175" s="2035"/>
      <c r="D175" s="2036"/>
      <c r="E175" s="2036"/>
      <c r="F175" s="2036"/>
      <c r="G175" s="2036"/>
      <c r="H175" s="2036"/>
      <c r="I175" s="2036"/>
      <c r="J175" s="2036"/>
      <c r="K175" s="2036"/>
      <c r="L175" s="2036"/>
      <c r="M175" s="2036"/>
      <c r="N175" s="2036"/>
      <c r="O175" s="2036"/>
      <c r="P175" s="2036"/>
      <c r="Q175" s="2036"/>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3369</v>
      </c>
      <c r="B179" s="2042" t="s">
        <v>2432</v>
      </c>
      <c r="C179" s="2091"/>
      <c r="D179" s="2091"/>
      <c r="E179" s="2036"/>
      <c r="F179" s="2036"/>
      <c r="G179" s="2036"/>
      <c r="H179" s="2036"/>
      <c r="I179" s="2036"/>
      <c r="J179" s="2036"/>
      <c r="K179" s="2036"/>
      <c r="L179" s="2036"/>
      <c r="M179" s="2036"/>
      <c r="O179" s="2032" t="s">
        <v>1730</v>
      </c>
      <c r="P179" s="3734"/>
      <c r="Q179" s="3803"/>
    </row>
    <row r="180" spans="1:17" ht="20.25" customHeight="1">
      <c r="A180" s="2033"/>
      <c r="B180" s="2030" t="s">
        <v>6802</v>
      </c>
      <c r="C180" s="2033"/>
      <c r="D180" s="2033"/>
      <c r="E180" s="2033"/>
      <c r="F180" s="2033"/>
      <c r="G180" s="2033"/>
      <c r="H180" s="2033"/>
      <c r="I180" s="2033"/>
      <c r="J180" s="2033"/>
      <c r="K180" s="2033"/>
      <c r="L180" s="2033"/>
      <c r="M180" s="2033"/>
      <c r="N180" s="2031"/>
      <c r="O180" s="2033"/>
      <c r="P180" s="3765" t="s">
        <v>2651</v>
      </c>
      <c r="Q180" s="3798"/>
    </row>
    <row r="181" spans="1:17" ht="33.75" customHeight="1">
      <c r="A181" s="2033"/>
      <c r="B181" s="3710" t="s">
        <v>6804</v>
      </c>
      <c r="C181" s="3710"/>
      <c r="D181" s="3710"/>
      <c r="E181" s="3710"/>
      <c r="F181" s="3710"/>
      <c r="G181" s="3710"/>
      <c r="H181" s="3710"/>
      <c r="I181" s="3710"/>
      <c r="J181" s="3710"/>
      <c r="K181" s="3710"/>
      <c r="L181" s="3710"/>
      <c r="M181" s="3710"/>
      <c r="N181" s="3710"/>
      <c r="O181" s="3710"/>
      <c r="P181" s="3801" t="s">
        <v>7056</v>
      </c>
      <c r="Q181" s="3804"/>
    </row>
    <row r="182" spans="1:17" ht="12" customHeight="1">
      <c r="A182" s="2033"/>
      <c r="C182" s="2033"/>
      <c r="D182" s="2033"/>
      <c r="E182" s="2033"/>
      <c r="F182" s="2033"/>
      <c r="G182" s="2033"/>
      <c r="H182" s="2033"/>
      <c r="I182" s="2033"/>
      <c r="J182" s="2033"/>
      <c r="K182" s="2033"/>
      <c r="L182" s="3797" t="s">
        <v>6805</v>
      </c>
      <c r="M182" s="3797"/>
      <c r="N182" s="2031"/>
      <c r="O182" s="2033"/>
      <c r="P182" s="2085"/>
      <c r="Q182" s="2026"/>
    </row>
    <row r="183" spans="1:17" ht="20.25" customHeight="1">
      <c r="A183" s="2053" t="s">
        <v>1842</v>
      </c>
      <c r="B183" s="2042" t="s">
        <v>3291</v>
      </c>
      <c r="D183" s="2092"/>
      <c r="E183" s="2092"/>
      <c r="F183" s="2092"/>
      <c r="G183" s="2092"/>
      <c r="H183" s="2092"/>
      <c r="I183" s="2092"/>
      <c r="J183" s="2092"/>
      <c r="K183" s="2092"/>
      <c r="L183" s="2030" t="s">
        <v>6806</v>
      </c>
      <c r="M183" s="2031" t="s">
        <v>6807</v>
      </c>
      <c r="N183" s="2092"/>
      <c r="O183" s="2044"/>
      <c r="P183" s="2044"/>
      <c r="Q183" s="2044"/>
    </row>
    <row r="184" spans="1:17" ht="20.25" customHeight="1">
      <c r="A184" s="2053"/>
      <c r="B184" s="2030" t="s">
        <v>6808</v>
      </c>
      <c r="C184" s="2033"/>
      <c r="D184" s="2056"/>
      <c r="E184" s="2056"/>
      <c r="F184" s="2056"/>
      <c r="G184" s="2056"/>
      <c r="H184" s="2033"/>
      <c r="K184" s="2093"/>
      <c r="L184" s="2094">
        <f>ROUNDUP('Part V-Revenues &amp; Expenses'!$P$67*M184,0)</f>
        <v>3</v>
      </c>
      <c r="M184" s="2095">
        <f>'DCA Underwriting Assumptions'!$Q$122</f>
        <v>0.05</v>
      </c>
      <c r="N184" s="2033"/>
      <c r="O184" s="2044"/>
      <c r="P184" s="3765">
        <v>3</v>
      </c>
      <c r="Q184" s="3798"/>
    </row>
    <row r="185" spans="1:17" ht="20.25" customHeight="1">
      <c r="A185" s="2053"/>
      <c r="B185" s="2043"/>
      <c r="D185" s="3710" t="s">
        <v>6809</v>
      </c>
      <c r="E185" s="3710"/>
      <c r="F185" s="3710"/>
      <c r="G185" s="3710"/>
      <c r="H185" s="3710"/>
      <c r="I185" s="3710"/>
      <c r="J185" s="3710"/>
      <c r="K185" s="2093"/>
      <c r="L185" s="2096">
        <f>ROUNDUP(L184*M185,0)</f>
        <v>2</v>
      </c>
      <c r="M185" s="2095">
        <f>'DCA Underwriting Assumptions'!$Q$123</f>
        <v>0.4</v>
      </c>
      <c r="N185" s="2033"/>
      <c r="O185" s="2044"/>
      <c r="P185" s="3799">
        <v>2</v>
      </c>
      <c r="Q185" s="3800"/>
    </row>
    <row r="186" spans="1:17" ht="20.25" customHeight="1">
      <c r="A186" s="2053"/>
      <c r="B186" s="3710" t="s">
        <v>6810</v>
      </c>
      <c r="C186" s="3710"/>
      <c r="D186" s="3710"/>
      <c r="E186" s="3710"/>
      <c r="F186" s="3710"/>
      <c r="G186" s="3710"/>
      <c r="H186" s="3710"/>
      <c r="I186" s="3710"/>
      <c r="J186" s="3710"/>
      <c r="K186" s="2033"/>
      <c r="L186" s="2097">
        <f>ROUNDUP('Part V-Revenues &amp; Expenses'!$P$67*M186,0)</f>
        <v>2</v>
      </c>
      <c r="M186" s="2095">
        <f>'DCA Underwriting Assumptions'!$Q$124</f>
        <v>0.02</v>
      </c>
      <c r="N186" s="2033"/>
      <c r="O186" s="2044"/>
      <c r="P186" s="3801">
        <v>2</v>
      </c>
      <c r="Q186" s="3802"/>
    </row>
    <row r="187" spans="1:17" ht="20.25" customHeight="1">
      <c r="B187" s="2060" t="s">
        <v>3238</v>
      </c>
      <c r="D187" s="2060"/>
      <c r="E187" s="2060"/>
      <c r="F187" s="2060"/>
      <c r="G187" s="2060"/>
      <c r="H187" s="2043"/>
      <c r="I187" s="2031"/>
      <c r="J187" s="2031"/>
      <c r="K187" s="2031"/>
      <c r="L187" s="2026"/>
      <c r="M187" s="2026"/>
      <c r="N187" s="2026"/>
      <c r="O187" s="2026"/>
      <c r="P187" s="2026"/>
      <c r="Q187" s="2026"/>
    </row>
    <row r="188" spans="1:17" ht="51" customHeight="1">
      <c r="A188" s="3702" t="s">
        <v>7120</v>
      </c>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4" t="s">
        <v>1729</v>
      </c>
      <c r="C189" s="2035"/>
      <c r="D189" s="2036"/>
      <c r="E189" s="2036"/>
      <c r="F189" s="2036"/>
      <c r="G189" s="2036"/>
      <c r="H189" s="2036"/>
      <c r="I189" s="2036"/>
      <c r="J189" s="2036"/>
      <c r="K189" s="2036"/>
      <c r="L189" s="2036"/>
      <c r="M189" s="2036"/>
      <c r="N189" s="2036"/>
      <c r="O189" s="2036"/>
      <c r="P189" s="2036"/>
      <c r="Q189" s="2036"/>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3367</v>
      </c>
      <c r="B193" s="2029" t="s">
        <v>2433</v>
      </c>
      <c r="C193" s="2029"/>
      <c r="D193" s="2029"/>
      <c r="E193" s="2029"/>
      <c r="F193" s="2029"/>
      <c r="G193" s="2029"/>
      <c r="H193" s="2036"/>
      <c r="I193" s="2036"/>
      <c r="J193" s="2036"/>
      <c r="K193" s="2036"/>
      <c r="L193" s="2036"/>
      <c r="M193" s="2036"/>
      <c r="O193" s="2032" t="s">
        <v>1730</v>
      </c>
      <c r="P193" s="3705"/>
      <c r="Q193" s="3706"/>
    </row>
    <row r="194" spans="1:17" ht="20.25" customHeight="1">
      <c r="B194" s="2030" t="s">
        <v>6802</v>
      </c>
      <c r="P194" s="3765" t="s">
        <v>2651</v>
      </c>
      <c r="Q194" s="3798"/>
    </row>
    <row r="195" spans="1:17" ht="36" customHeight="1">
      <c r="B195" s="3710" t="s">
        <v>6811</v>
      </c>
      <c r="C195" s="3710"/>
      <c r="D195" s="3710"/>
      <c r="E195" s="3710"/>
      <c r="F195" s="3710"/>
      <c r="G195" s="3710"/>
      <c r="H195" s="3710"/>
      <c r="I195" s="3710"/>
      <c r="J195" s="3710"/>
      <c r="K195" s="3710"/>
      <c r="L195" s="3710"/>
      <c r="M195" s="3710"/>
      <c r="N195" s="3710"/>
      <c r="P195" s="3801" t="s">
        <v>2648</v>
      </c>
      <c r="Q195" s="3802"/>
    </row>
    <row r="196" spans="1:17" ht="20.25" customHeight="1">
      <c r="A196" s="2053" t="s">
        <v>1842</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6911</v>
      </c>
      <c r="D197" s="3786"/>
      <c r="E197" s="3786"/>
      <c r="F197" s="3712" t="s">
        <v>6303</v>
      </c>
      <c r="G197" s="3713"/>
      <c r="H197" s="3713"/>
      <c r="I197" s="3713"/>
      <c r="J197" s="3713"/>
      <c r="K197" s="3713"/>
      <c r="L197" s="3713"/>
      <c r="M197" s="3713"/>
      <c r="N197" s="3713"/>
      <c r="O197" s="3713"/>
      <c r="P197" s="3713"/>
      <c r="Q197" s="3714"/>
    </row>
    <row r="198" spans="1:17" ht="30" customHeight="1">
      <c r="B198" s="2078" t="s">
        <v>1615</v>
      </c>
      <c r="C198" s="3786" t="s">
        <v>6912</v>
      </c>
      <c r="D198" s="3786"/>
      <c r="E198" s="3786"/>
      <c r="F198" s="3786"/>
      <c r="G198" s="3796"/>
      <c r="H198" s="3712" t="s">
        <v>3247</v>
      </c>
      <c r="I198" s="3713"/>
      <c r="J198" s="3713"/>
      <c r="K198" s="3713"/>
      <c r="L198" s="3713"/>
      <c r="M198" s="3713"/>
      <c r="N198" s="3713"/>
      <c r="O198" s="3713"/>
      <c r="P198" s="3713"/>
      <c r="Q198" s="3714"/>
    </row>
    <row r="199" spans="1:17" ht="20.25" customHeight="1">
      <c r="A199" s="2053"/>
      <c r="B199" s="2078" t="s">
        <v>1616</v>
      </c>
      <c r="C199" s="3710" t="s">
        <v>6812</v>
      </c>
      <c r="D199" s="3710"/>
      <c r="E199" s="3710"/>
      <c r="F199" s="3710"/>
      <c r="G199" s="3710"/>
      <c r="H199" s="3710"/>
      <c r="I199" s="3710"/>
      <c r="J199" s="3710"/>
      <c r="K199" s="3710"/>
      <c r="L199" s="3710"/>
      <c r="M199" s="3710"/>
      <c r="N199" s="3710"/>
      <c r="O199" s="3710"/>
      <c r="P199" s="3710"/>
      <c r="Q199" s="3710"/>
    </row>
    <row r="200" spans="1:17" ht="20.25" customHeight="1">
      <c r="A200" s="2053"/>
      <c r="B200" s="2044"/>
      <c r="C200" s="3789"/>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c r="D201" s="3793"/>
      <c r="E201" s="3793"/>
      <c r="F201" s="3793"/>
      <c r="G201" s="3793"/>
      <c r="H201" s="3793"/>
      <c r="I201" s="3793"/>
      <c r="J201" s="3793"/>
      <c r="K201" s="3793"/>
      <c r="L201" s="3793"/>
      <c r="M201" s="3793"/>
      <c r="N201" s="3793"/>
      <c r="O201" s="3793"/>
      <c r="P201" s="3793"/>
      <c r="Q201" s="3810"/>
    </row>
    <row r="202" spans="1:17" ht="20.25" customHeight="1">
      <c r="B202" s="2060" t="s">
        <v>3238</v>
      </c>
      <c r="D202" s="2060"/>
      <c r="E202" s="2060"/>
      <c r="F202" s="2060"/>
      <c r="G202" s="2060"/>
      <c r="H202" s="2043"/>
      <c r="I202" s="2031"/>
      <c r="J202" s="2031"/>
      <c r="K202" s="2031"/>
      <c r="L202" s="2026"/>
      <c r="M202" s="2026"/>
      <c r="N202" s="2026"/>
      <c r="O202" s="2026"/>
      <c r="P202" s="2026"/>
      <c r="Q202" s="2026"/>
    </row>
    <row r="203" spans="1:17" ht="34.5" customHeight="1">
      <c r="A203" s="3702" t="s">
        <v>7126</v>
      </c>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4" t="s">
        <v>1729</v>
      </c>
      <c r="C204" s="2035"/>
      <c r="D204" s="2036"/>
      <c r="E204" s="2036"/>
      <c r="F204" s="2036"/>
      <c r="G204" s="2036"/>
      <c r="H204" s="2036"/>
      <c r="I204" s="2036"/>
      <c r="J204" s="2036"/>
      <c r="K204" s="2036"/>
      <c r="L204" s="2036"/>
      <c r="M204" s="2036"/>
      <c r="N204" s="2036"/>
      <c r="O204" s="2036"/>
      <c r="P204" s="2036"/>
      <c r="Q204" s="2036"/>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3370</v>
      </c>
      <c r="B208" s="2042" t="s">
        <v>6531</v>
      </c>
      <c r="C208" s="2042"/>
      <c r="D208" s="2036"/>
      <c r="E208" s="2036"/>
      <c r="F208" s="2036"/>
      <c r="G208" s="2036"/>
      <c r="H208" s="2036"/>
      <c r="N208" s="2069"/>
      <c r="O208" s="2032" t="s">
        <v>1730</v>
      </c>
      <c r="P208" s="3734"/>
      <c r="Q208" s="3803"/>
    </row>
    <row r="209" spans="1:17" ht="20.25" customHeight="1">
      <c r="A209" s="2053"/>
      <c r="B209" s="2030" t="s">
        <v>6813</v>
      </c>
      <c r="O209" s="2044"/>
      <c r="P209" s="3811" t="s">
        <v>7057</v>
      </c>
      <c r="Q209" s="3812"/>
    </row>
    <row r="210" spans="1:17" ht="20.25" customHeight="1">
      <c r="A210" s="2053"/>
      <c r="B210" s="2030" t="s">
        <v>6814</v>
      </c>
      <c r="O210" s="2044"/>
      <c r="P210" s="3806" t="s">
        <v>7057</v>
      </c>
      <c r="Q210" s="3807"/>
    </row>
    <row r="211" spans="1:17" ht="22.5" customHeight="1">
      <c r="A211" s="2053"/>
      <c r="B211" s="2030" t="s">
        <v>6815</v>
      </c>
      <c r="C211" s="2033"/>
      <c r="K211" s="2031"/>
      <c r="M211" s="2044"/>
      <c r="O211" s="2100"/>
      <c r="P211" s="3806" t="s">
        <v>2651</v>
      </c>
      <c r="Q211" s="3807"/>
    </row>
    <row r="212" spans="1:17" ht="31.5" customHeight="1">
      <c r="A212" s="2053"/>
      <c r="B212" s="3710" t="s">
        <v>6816</v>
      </c>
      <c r="C212" s="3710"/>
      <c r="D212" s="3710"/>
      <c r="E212" s="3710"/>
      <c r="F212" s="3710"/>
      <c r="G212" s="3710"/>
      <c r="H212" s="3710"/>
      <c r="I212" s="3710"/>
      <c r="J212" s="3710"/>
      <c r="K212" s="3710"/>
      <c r="L212" s="3710"/>
      <c r="M212" s="3710"/>
      <c r="N212" s="3710"/>
      <c r="O212" s="3710"/>
      <c r="P212" s="3808" t="s">
        <v>2651</v>
      </c>
      <c r="Q212" s="3809"/>
    </row>
    <row r="213" spans="1:17" ht="20.25" customHeight="1">
      <c r="A213" s="2053"/>
      <c r="B213" s="2030" t="s">
        <v>6817</v>
      </c>
      <c r="M213" s="2033"/>
      <c r="N213" s="2033"/>
      <c r="O213" s="3813" t="s">
        <v>4046</v>
      </c>
      <c r="P213" s="3814"/>
      <c r="Q213" s="3815"/>
    </row>
    <row r="214" spans="1:17" ht="20.25" customHeight="1">
      <c r="A214" s="2053"/>
      <c r="B214" s="2029" t="s">
        <v>6818</v>
      </c>
      <c r="G214" s="3705"/>
      <c r="H214" s="3743"/>
      <c r="I214" s="3743"/>
      <c r="J214" s="3743"/>
      <c r="K214" s="3743"/>
      <c r="L214" s="3744"/>
      <c r="M214" s="2033"/>
      <c r="N214" s="2033"/>
      <c r="O214" s="2033"/>
      <c r="P214" s="2033"/>
      <c r="Q214" s="2033"/>
    </row>
    <row r="215" spans="1:17" ht="20.25" customHeight="1">
      <c r="B215" s="2060" t="s">
        <v>3238</v>
      </c>
      <c r="D215" s="2060"/>
      <c r="E215" s="2060"/>
      <c r="F215" s="2060"/>
      <c r="G215" s="2060"/>
      <c r="H215" s="2043"/>
      <c r="I215" s="2031"/>
      <c r="J215" s="2031"/>
      <c r="K215" s="2031"/>
      <c r="L215" s="2026"/>
      <c r="M215" s="2026"/>
      <c r="N215" s="2026"/>
      <c r="O215" s="2026"/>
      <c r="P215" s="2026"/>
      <c r="Q215" s="2026"/>
    </row>
    <row r="216" spans="1:17" ht="50.25" customHeight="1">
      <c r="A216" s="3721" t="s">
        <v>7108</v>
      </c>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4" t="s">
        <v>1729</v>
      </c>
      <c r="C217" s="2035"/>
      <c r="D217" s="2036"/>
      <c r="E217" s="2036"/>
      <c r="F217" s="2036"/>
      <c r="G217" s="2036"/>
      <c r="H217" s="2036"/>
      <c r="I217" s="2036"/>
      <c r="J217" s="2036"/>
      <c r="K217" s="2036"/>
      <c r="L217" s="2036"/>
      <c r="M217" s="2036"/>
      <c r="N217" s="2036"/>
      <c r="O217" s="2033"/>
      <c r="P217" s="2036"/>
      <c r="Q217" s="2036"/>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3371</v>
      </c>
      <c r="B221" s="2029" t="s">
        <v>6537</v>
      </c>
      <c r="C221" s="2029"/>
      <c r="D221" s="2029"/>
      <c r="E221" s="2029"/>
      <c r="F221" s="2029"/>
      <c r="G221" s="2029"/>
      <c r="H221" s="2036"/>
      <c r="I221" s="2036"/>
      <c r="J221" s="2036"/>
      <c r="K221" s="2036"/>
      <c r="L221" s="2036"/>
      <c r="M221" s="2036"/>
      <c r="N221" s="2101"/>
      <c r="O221" s="2032" t="s">
        <v>1730</v>
      </c>
      <c r="P221" s="3705"/>
      <c r="Q221" s="3706"/>
    </row>
    <row r="222" spans="1:17" ht="33.75" customHeight="1">
      <c r="A222" s="2042"/>
      <c r="B222" s="3710" t="s">
        <v>6819</v>
      </c>
      <c r="C222" s="3710"/>
      <c r="D222" s="3710"/>
      <c r="E222" s="3710"/>
      <c r="F222" s="3710"/>
      <c r="G222" s="3710"/>
      <c r="H222" s="3710"/>
      <c r="I222" s="3710"/>
      <c r="J222" s="3710"/>
      <c r="K222" s="3710"/>
      <c r="L222" s="3710"/>
      <c r="M222" s="3710"/>
      <c r="N222" s="3710"/>
      <c r="O222" s="3711"/>
      <c r="P222" s="3823"/>
      <c r="Q222" s="3824"/>
    </row>
    <row r="223" spans="1:17" s="2102" customFormat="1" ht="33.75" customHeight="1">
      <c r="A223" s="2071" t="s">
        <v>1840</v>
      </c>
      <c r="B223" s="3825" t="s">
        <v>6820</v>
      </c>
      <c r="C223" s="3825"/>
      <c r="D223" s="3825"/>
      <c r="E223" s="3825"/>
      <c r="F223" s="3825"/>
      <c r="G223" s="3825"/>
      <c r="H223" s="3825"/>
      <c r="I223" s="3825"/>
      <c r="J223" s="3825"/>
      <c r="K223" s="3825"/>
      <c r="L223" s="3825"/>
      <c r="M223" s="3825"/>
      <c r="N223" s="3825"/>
      <c r="O223" s="3825"/>
      <c r="P223" s="2063"/>
      <c r="Q223" s="2440"/>
    </row>
    <row r="224" spans="1:17" ht="47.25" customHeight="1">
      <c r="A224" s="2071" t="s">
        <v>1842</v>
      </c>
      <c r="B224" s="3786" t="s">
        <v>6821</v>
      </c>
      <c r="C224" s="3786"/>
      <c r="D224" s="3786"/>
      <c r="E224" s="3786"/>
      <c r="F224" s="3786"/>
      <c r="G224" s="3786"/>
      <c r="H224" s="3786"/>
      <c r="I224" s="3786"/>
      <c r="J224" s="3786"/>
      <c r="K224" s="3786"/>
      <c r="L224" s="3786"/>
      <c r="M224" s="3786"/>
      <c r="N224" s="3786"/>
      <c r="O224" s="3786"/>
      <c r="P224" s="2063"/>
      <c r="Q224" s="2064"/>
    </row>
    <row r="225" spans="1:17" ht="20.25" customHeight="1">
      <c r="A225" s="2053" t="s">
        <v>698</v>
      </c>
      <c r="B225" s="3816" t="s">
        <v>6822</v>
      </c>
      <c r="C225" s="3816"/>
      <c r="D225" s="3816"/>
      <c r="E225" s="3816"/>
      <c r="F225" s="3816"/>
      <c r="G225" s="3816"/>
      <c r="H225" s="3816"/>
      <c r="I225" s="3816"/>
      <c r="J225" s="3816"/>
      <c r="K225" s="3816"/>
      <c r="L225" s="3816"/>
      <c r="M225" s="3816"/>
      <c r="N225" s="3816"/>
      <c r="O225" s="3816"/>
      <c r="P225" s="2063"/>
      <c r="Q225" s="2064"/>
    </row>
    <row r="226" spans="1:17" ht="33.75" customHeight="1">
      <c r="A226" s="2071" t="s">
        <v>1961</v>
      </c>
      <c r="B226" s="3786" t="s">
        <v>6823</v>
      </c>
      <c r="C226" s="3786"/>
      <c r="D226" s="3786"/>
      <c r="E226" s="3786"/>
      <c r="F226" s="3786"/>
      <c r="G226" s="3786"/>
      <c r="H226" s="3786"/>
      <c r="I226" s="3786"/>
      <c r="J226" s="3786"/>
      <c r="K226" s="3786"/>
      <c r="L226" s="3786"/>
      <c r="M226" s="3786"/>
      <c r="N226" s="3786"/>
      <c r="O226" s="3786"/>
      <c r="P226" s="2067"/>
      <c r="Q226" s="2068"/>
    </row>
    <row r="227" spans="1:17" ht="20.25" customHeight="1">
      <c r="B227" s="2060" t="s">
        <v>3238</v>
      </c>
      <c r="D227" s="2060"/>
      <c r="E227" s="2060"/>
      <c r="F227" s="2060"/>
      <c r="G227" s="2060"/>
      <c r="H227" s="2043"/>
      <c r="I227" s="2031"/>
      <c r="J227" s="2031"/>
      <c r="K227" s="2031"/>
      <c r="L227" s="2026"/>
      <c r="M227" s="2026"/>
      <c r="N227" s="2026"/>
      <c r="O227" s="2026"/>
      <c r="P227" s="2026"/>
      <c r="Q227" s="2026"/>
    </row>
    <row r="228" spans="1:17" ht="20.25" customHeight="1">
      <c r="A228" s="3721" t="s">
        <v>7088</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4" t="s">
        <v>1729</v>
      </c>
      <c r="C229" s="2035"/>
      <c r="D229" s="2036"/>
      <c r="E229" s="2036"/>
      <c r="F229" s="2036"/>
      <c r="G229" s="2036"/>
      <c r="H229" s="2036"/>
      <c r="I229" s="2036"/>
      <c r="J229" s="2036"/>
      <c r="K229" s="2036"/>
      <c r="L229" s="2036"/>
      <c r="M229" s="2036"/>
      <c r="N229" s="2036"/>
      <c r="O229" s="2036"/>
      <c r="P229" s="2036"/>
      <c r="Q229" s="2036"/>
    </row>
    <row r="230" spans="1:17" ht="20.25" customHeight="1">
      <c r="A230" s="3726"/>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3374</v>
      </c>
      <c r="B233" s="2029" t="s">
        <v>3356</v>
      </c>
      <c r="C233" s="2029"/>
      <c r="D233" s="2029"/>
      <c r="E233" s="2029"/>
      <c r="F233" s="2029"/>
      <c r="G233" s="2029"/>
      <c r="H233" s="2036"/>
      <c r="I233" s="2036"/>
      <c r="J233" s="2036"/>
      <c r="K233" s="2036"/>
      <c r="L233" s="2036"/>
      <c r="M233" s="2036"/>
      <c r="N233" s="2103"/>
      <c r="O233" s="2032" t="s">
        <v>1730</v>
      </c>
      <c r="P233" s="3705"/>
      <c r="Q233" s="3744"/>
    </row>
    <row r="234" spans="1:17" ht="20.25" customHeight="1">
      <c r="A234" s="2053"/>
      <c r="B234" s="3816" t="s">
        <v>3357</v>
      </c>
      <c r="C234" s="3816"/>
      <c r="D234" s="3816"/>
      <c r="E234" s="3816"/>
      <c r="F234" s="3819"/>
      <c r="G234" s="3820" t="s">
        <v>7058</v>
      </c>
      <c r="H234" s="3821"/>
      <c r="I234" s="3821"/>
      <c r="J234" s="3821"/>
      <c r="K234" s="3821"/>
      <c r="L234" s="3821"/>
      <c r="M234" s="3821"/>
      <c r="N234" s="3821"/>
      <c r="O234" s="3821"/>
      <c r="P234" s="3821"/>
      <c r="Q234" s="3822"/>
    </row>
    <row r="235" spans="1:17" ht="20.25" customHeight="1" thickBot="1">
      <c r="A235" s="2053"/>
      <c r="B235" s="3816" t="s">
        <v>3358</v>
      </c>
      <c r="C235" s="3816"/>
      <c r="D235" s="3816"/>
      <c r="E235" s="3816"/>
      <c r="F235" s="3819"/>
      <c r="G235" s="3830" t="s">
        <v>7059</v>
      </c>
      <c r="H235" s="3831"/>
      <c r="I235" s="3831"/>
      <c r="J235" s="3831"/>
      <c r="K235" s="3831"/>
      <c r="L235" s="3831"/>
      <c r="M235" s="3831"/>
      <c r="N235" s="3831"/>
      <c r="O235" s="3831"/>
      <c r="P235" s="3832"/>
      <c r="Q235" s="3833"/>
    </row>
    <row r="236" spans="1:17" ht="20.25" customHeight="1" thickBot="1">
      <c r="A236" s="2053"/>
      <c r="B236" s="2030" t="s">
        <v>6824</v>
      </c>
      <c r="D236" s="2083"/>
      <c r="E236" s="2083"/>
      <c r="F236" s="2083"/>
      <c r="G236" s="2084"/>
      <c r="H236" s="2084"/>
      <c r="I236" s="2084"/>
      <c r="J236" s="2084"/>
      <c r="K236" s="2084"/>
      <c r="L236" s="2084"/>
      <c r="M236" s="2084"/>
      <c r="N236" s="2084"/>
      <c r="O236" s="2084"/>
      <c r="P236" s="3834" t="s">
        <v>7056</v>
      </c>
      <c r="Q236" s="3835"/>
    </row>
    <row r="237" spans="1:17" ht="29.25" customHeight="1">
      <c r="A237" s="2053"/>
      <c r="B237" s="2104" t="s">
        <v>1962</v>
      </c>
      <c r="C237" s="3786" t="s">
        <v>6825</v>
      </c>
      <c r="D237" s="3786"/>
      <c r="E237" s="3786"/>
      <c r="F237" s="3786"/>
      <c r="G237" s="3786"/>
      <c r="H237" s="3786"/>
      <c r="I237" s="3786"/>
      <c r="J237" s="3786"/>
      <c r="K237" s="3786"/>
      <c r="L237" s="3786"/>
      <c r="M237" s="3786"/>
      <c r="N237" s="3786"/>
      <c r="O237" s="3786"/>
      <c r="P237" s="3786"/>
      <c r="Q237" s="3786"/>
    </row>
    <row r="238" spans="1:17" ht="29.25" customHeight="1">
      <c r="A238" s="2053"/>
      <c r="B238" s="2104" t="s">
        <v>1963</v>
      </c>
      <c r="C238" s="3786" t="s">
        <v>6826</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6827</v>
      </c>
      <c r="D239" s="3786"/>
      <c r="E239" s="3786"/>
      <c r="F239" s="3786"/>
      <c r="G239" s="3786"/>
      <c r="H239" s="3786"/>
      <c r="I239" s="3786"/>
      <c r="J239" s="3786"/>
      <c r="K239" s="3786"/>
      <c r="L239" s="3786"/>
      <c r="M239" s="3786"/>
      <c r="N239" s="3786"/>
      <c r="O239" s="3786"/>
      <c r="P239" s="3786"/>
      <c r="Q239" s="3786"/>
    </row>
    <row r="240" spans="1:17" ht="29.25" customHeight="1">
      <c r="A240" s="2053"/>
      <c r="B240" s="2104" t="s">
        <v>3863</v>
      </c>
      <c r="C240" s="3786" t="s">
        <v>6828</v>
      </c>
      <c r="D240" s="3786"/>
      <c r="E240" s="3786"/>
      <c r="F240" s="3786"/>
      <c r="G240" s="3786"/>
      <c r="H240" s="3786"/>
      <c r="I240" s="3786"/>
      <c r="J240" s="3786"/>
      <c r="K240" s="3786"/>
      <c r="L240" s="3786"/>
      <c r="M240" s="3786"/>
      <c r="N240" s="3786"/>
      <c r="O240" s="3786"/>
      <c r="P240" s="3786"/>
      <c r="Q240" s="3786"/>
    </row>
    <row r="241" spans="1:17" ht="15.75" customHeight="1">
      <c r="A241" s="2053"/>
      <c r="B241" s="2104" t="s">
        <v>6829</v>
      </c>
      <c r="C241" s="3786" t="s">
        <v>6830</v>
      </c>
      <c r="D241" s="3786"/>
      <c r="E241" s="3786"/>
      <c r="F241" s="3786"/>
      <c r="G241" s="3786"/>
      <c r="H241" s="3786"/>
      <c r="I241" s="3786"/>
      <c r="J241" s="3786"/>
      <c r="K241" s="3786"/>
      <c r="L241" s="3786"/>
      <c r="M241" s="3786"/>
      <c r="N241" s="3786"/>
      <c r="O241" s="3786"/>
      <c r="P241" s="3786"/>
      <c r="Q241" s="3786"/>
    </row>
    <row r="242" spans="1:17" ht="20.25" customHeight="1">
      <c r="B242" s="2044" t="s">
        <v>6831</v>
      </c>
      <c r="C242" s="2043" t="s">
        <v>6832</v>
      </c>
      <c r="E242" s="2036"/>
      <c r="F242" s="2036"/>
      <c r="G242" s="2036"/>
      <c r="H242" s="2036"/>
      <c r="I242" s="2036"/>
      <c r="J242" s="2036"/>
      <c r="K242" s="2036"/>
      <c r="L242" s="2036"/>
      <c r="M242" s="2036"/>
      <c r="N242" s="2036"/>
      <c r="P242" s="2033"/>
      <c r="Q242" s="2033"/>
    </row>
    <row r="243" spans="1:17" ht="20.25" customHeight="1">
      <c r="B243" s="2060" t="s">
        <v>3238</v>
      </c>
      <c r="D243" s="2060"/>
      <c r="E243" s="2060"/>
      <c r="F243" s="2060"/>
      <c r="G243" s="2060"/>
      <c r="H243" s="2043"/>
      <c r="I243" s="2031"/>
      <c r="J243" s="2031"/>
      <c r="K243" s="2031"/>
      <c r="L243" s="2026"/>
      <c r="M243" s="2026"/>
      <c r="N243" s="2026"/>
      <c r="O243" s="2026"/>
      <c r="P243" s="2026"/>
      <c r="Q243" s="2026"/>
    </row>
    <row r="244" spans="1:17" ht="20.25" customHeight="1">
      <c r="A244" s="3702" t="s">
        <v>7060</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1729</v>
      </c>
      <c r="C245" s="2035"/>
      <c r="D245" s="2036"/>
      <c r="E245" s="2036"/>
      <c r="F245" s="2036"/>
      <c r="G245" s="2036"/>
      <c r="H245" s="2036"/>
      <c r="I245" s="2036"/>
      <c r="J245" s="2036"/>
      <c r="K245" s="2036"/>
      <c r="L245" s="2036"/>
      <c r="M245" s="2036"/>
      <c r="N245" s="2036"/>
      <c r="O245" s="2036"/>
      <c r="P245" s="2036"/>
      <c r="Q245" s="2036"/>
    </row>
    <row r="246" spans="1:17" ht="20.25" customHeight="1">
      <c r="A246" s="3707"/>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3375</v>
      </c>
      <c r="B249" s="2029" t="s">
        <v>2434</v>
      </c>
      <c r="C249" s="2029"/>
      <c r="D249" s="2029"/>
      <c r="E249" s="2036"/>
      <c r="G249" s="2030" t="s">
        <v>655</v>
      </c>
      <c r="H249" s="2036"/>
      <c r="I249" s="2036"/>
      <c r="J249" s="2036"/>
      <c r="K249" s="2036"/>
      <c r="L249" s="2036"/>
      <c r="M249" s="2036"/>
      <c r="O249" s="2032" t="s">
        <v>1730</v>
      </c>
      <c r="P249" s="3705"/>
      <c r="Q249" s="3744"/>
    </row>
    <row r="250" spans="1:17" ht="20.25" customHeight="1">
      <c r="A250" s="2053"/>
      <c r="B250" s="2030" t="s">
        <v>2437</v>
      </c>
      <c r="D250" s="2056"/>
      <c r="E250" s="2056"/>
      <c r="O250" s="2044"/>
      <c r="P250" s="3765" t="s">
        <v>2651</v>
      </c>
      <c r="Q250" s="3766"/>
    </row>
    <row r="251" spans="1:17" ht="20.25" customHeight="1">
      <c r="A251" s="2053"/>
      <c r="B251" s="2030" t="s">
        <v>3141</v>
      </c>
      <c r="D251" s="2056"/>
      <c r="E251" s="2056"/>
      <c r="O251" s="2044"/>
      <c r="P251" s="3799" t="s">
        <v>2651</v>
      </c>
      <c r="Q251" s="3837"/>
    </row>
    <row r="252" spans="1:17" ht="20.25" customHeight="1">
      <c r="A252" s="2053"/>
      <c r="B252" s="2030" t="s">
        <v>4029</v>
      </c>
      <c r="D252" s="2056"/>
      <c r="E252" s="2056"/>
      <c r="O252" s="2044"/>
      <c r="P252" s="3838" t="s">
        <v>2648</v>
      </c>
      <c r="Q252" s="3839"/>
    </row>
    <row r="253" spans="1:17" ht="20.25" customHeight="1">
      <c r="A253" s="2053"/>
      <c r="B253" s="2030" t="s">
        <v>3142</v>
      </c>
      <c r="O253" s="2044"/>
      <c r="P253" s="3799" t="s">
        <v>2651</v>
      </c>
      <c r="Q253" s="3837"/>
    </row>
    <row r="254" spans="1:17" ht="20.25" customHeight="1">
      <c r="A254" s="2053"/>
      <c r="B254" s="2030" t="s">
        <v>690</v>
      </c>
      <c r="D254" s="3702"/>
      <c r="E254" s="3826"/>
      <c r="F254" s="3826"/>
      <c r="G254" s="3826"/>
      <c r="H254" s="3826"/>
      <c r="I254" s="3826"/>
      <c r="J254" s="3826"/>
      <c r="K254" s="3826"/>
      <c r="L254" s="3826"/>
      <c r="M254" s="3826"/>
      <c r="N254" s="3826"/>
      <c r="O254" s="3826"/>
      <c r="P254" s="3840"/>
      <c r="Q254" s="3841"/>
    </row>
    <row r="255" spans="1:17" ht="20.25" customHeight="1">
      <c r="B255" s="2060" t="s">
        <v>3238</v>
      </c>
      <c r="D255" s="2060"/>
      <c r="E255" s="2060"/>
      <c r="F255" s="2060"/>
      <c r="G255" s="2060"/>
      <c r="H255" s="2043"/>
      <c r="I255" s="2031"/>
      <c r="J255" s="2031"/>
      <c r="K255" s="2031"/>
      <c r="L255" s="2026"/>
      <c r="M255" s="2026"/>
      <c r="N255" s="2026"/>
      <c r="O255" s="2026"/>
      <c r="P255" s="2026"/>
      <c r="Q255" s="2026"/>
    </row>
    <row r="256" spans="1:17" ht="30.75" customHeight="1">
      <c r="A256" s="3702" t="s">
        <v>7061</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1729</v>
      </c>
      <c r="C257" s="2035"/>
      <c r="D257" s="2036"/>
      <c r="E257" s="2036"/>
      <c r="F257" s="2036"/>
      <c r="G257" s="2036"/>
      <c r="H257" s="2036"/>
      <c r="I257" s="2036"/>
      <c r="J257" s="2036"/>
      <c r="K257" s="2036"/>
      <c r="L257" s="2036"/>
      <c r="M257" s="2036"/>
      <c r="N257" s="2036"/>
      <c r="O257" s="2036"/>
      <c r="P257" s="2036"/>
      <c r="Q257" s="2036"/>
    </row>
    <row r="258" spans="1:17" ht="20.25" customHeight="1">
      <c r="A258" s="3707"/>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3376</v>
      </c>
      <c r="B261" s="2029" t="s">
        <v>3937</v>
      </c>
      <c r="C261" s="2029"/>
      <c r="D261" s="2029"/>
      <c r="E261" s="2029"/>
      <c r="F261" s="2029"/>
      <c r="G261" s="2029"/>
      <c r="H261" s="2036"/>
      <c r="I261" s="2036"/>
      <c r="J261" s="2036"/>
      <c r="K261" s="2036"/>
      <c r="L261" s="2036"/>
      <c r="M261" s="2036"/>
      <c r="O261" s="2032" t="s">
        <v>1730</v>
      </c>
      <c r="P261" s="3705"/>
      <c r="Q261" s="3744"/>
    </row>
    <row r="262" spans="1:17" ht="20.25" customHeight="1">
      <c r="B262" s="2030" t="s">
        <v>6249</v>
      </c>
      <c r="O262" s="2044"/>
      <c r="P262" s="3719"/>
      <c r="Q262" s="3720"/>
    </row>
    <row r="263" spans="1:17" ht="20.25" customHeight="1">
      <c r="A263" s="2053" t="s">
        <v>1840</v>
      </c>
      <c r="B263" s="2029" t="s">
        <v>3936</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c r="Q264" s="3766"/>
    </row>
    <row r="265" spans="1:17" ht="20.25" customHeight="1">
      <c r="B265" s="3836" t="s">
        <v>4031</v>
      </c>
      <c r="C265" s="3836"/>
      <c r="D265" s="3836"/>
      <c r="E265" s="3836"/>
      <c r="F265" s="3836"/>
      <c r="G265" s="3836"/>
      <c r="H265" s="3836"/>
      <c r="I265" s="3836"/>
      <c r="J265" s="3836"/>
      <c r="K265" s="3836"/>
      <c r="L265" s="3836"/>
      <c r="M265" s="3836"/>
      <c r="N265" s="3836"/>
      <c r="O265" s="3836"/>
      <c r="P265" s="3799"/>
      <c r="Q265" s="3837"/>
    </row>
    <row r="266" spans="1:17" ht="32.25" customHeight="1">
      <c r="A266" s="2053"/>
      <c r="B266" s="3844" t="s">
        <v>6833</v>
      </c>
      <c r="C266" s="3844"/>
      <c r="D266" s="3844"/>
      <c r="E266" s="3844"/>
      <c r="F266" s="3844"/>
      <c r="G266" s="3844"/>
      <c r="H266" s="3844"/>
      <c r="I266" s="3844"/>
      <c r="J266" s="3844"/>
      <c r="K266" s="3844"/>
      <c r="L266" s="3844"/>
      <c r="M266" s="3844"/>
      <c r="N266" s="3844"/>
      <c r="O266" s="3844"/>
      <c r="P266" s="3801"/>
      <c r="Q266" s="3804"/>
    </row>
    <row r="267" spans="1:17" ht="20.25" customHeight="1">
      <c r="B267" s="2060" t="s">
        <v>3238</v>
      </c>
      <c r="D267" s="2060"/>
      <c r="E267" s="2060"/>
      <c r="F267" s="2060"/>
      <c r="G267" s="2060"/>
      <c r="H267" s="2043"/>
      <c r="I267" s="2031"/>
      <c r="J267" s="2031"/>
      <c r="K267" s="2031"/>
    </row>
    <row r="268" spans="1:17" ht="35.25" customHeight="1">
      <c r="A268" s="3702" t="s">
        <v>7068</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1729</v>
      </c>
      <c r="C269" s="2035"/>
      <c r="D269" s="2036"/>
      <c r="E269" s="2036"/>
      <c r="F269" s="2036"/>
      <c r="G269" s="2036"/>
      <c r="H269" s="2036"/>
      <c r="I269" s="2036"/>
      <c r="J269" s="2036"/>
      <c r="K269" s="2036"/>
      <c r="L269" s="2036"/>
      <c r="M269" s="2036"/>
      <c r="N269" s="2036"/>
      <c r="O269" s="2036"/>
      <c r="P269" s="2036"/>
      <c r="Q269" s="2036"/>
    </row>
    <row r="270" spans="1:17" ht="20.25" customHeight="1">
      <c r="A270" s="3707"/>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3377</v>
      </c>
      <c r="B273" s="2029" t="s">
        <v>2507</v>
      </c>
      <c r="C273" s="2029"/>
      <c r="D273" s="2029"/>
      <c r="E273" s="2036"/>
      <c r="F273" s="2036"/>
      <c r="G273" s="2036"/>
      <c r="H273" s="2036"/>
      <c r="O273" s="2032" t="s">
        <v>1730</v>
      </c>
      <c r="P273" s="3709"/>
      <c r="Q273" s="3709"/>
    </row>
    <row r="274" spans="1:17" ht="33" customHeight="1">
      <c r="A274" s="2033"/>
      <c r="B274" s="3710" t="s">
        <v>6834</v>
      </c>
      <c r="C274" s="3710"/>
      <c r="D274" s="3710"/>
      <c r="E274" s="3710"/>
      <c r="F274" s="3710"/>
      <c r="G274" s="3710"/>
      <c r="H274" s="3710"/>
      <c r="I274" s="3710"/>
      <c r="J274" s="3710"/>
      <c r="K274" s="3710"/>
      <c r="L274" s="3710"/>
      <c r="M274" s="3710"/>
      <c r="N274" s="3710"/>
      <c r="O274" s="2105"/>
      <c r="P274" s="3719" t="s">
        <v>7056</v>
      </c>
      <c r="Q274" s="3720"/>
    </row>
    <row r="275" spans="1:17" ht="34.5" customHeight="1">
      <c r="A275" s="2033"/>
      <c r="B275" s="2078" t="s">
        <v>1840</v>
      </c>
      <c r="C275" s="3786" t="s">
        <v>3310</v>
      </c>
      <c r="D275" s="3786"/>
      <c r="E275" s="3786"/>
      <c r="F275" s="3786"/>
      <c r="G275" s="3786"/>
      <c r="H275" s="3786"/>
      <c r="I275" s="3786"/>
      <c r="J275" s="3786"/>
      <c r="K275" s="3786"/>
      <c r="L275" s="3786"/>
      <c r="M275" s="3786"/>
      <c r="N275" s="3786"/>
      <c r="O275" s="3786"/>
      <c r="P275" s="2056"/>
      <c r="Q275" s="2033"/>
    </row>
    <row r="276" spans="1:17" ht="34.5" customHeight="1">
      <c r="A276" s="2033"/>
      <c r="B276" s="2078" t="s">
        <v>1842</v>
      </c>
      <c r="C276" s="3786" t="s">
        <v>6835</v>
      </c>
      <c r="D276" s="3786"/>
      <c r="E276" s="3786"/>
      <c r="F276" s="3786"/>
      <c r="G276" s="3786"/>
      <c r="H276" s="3786"/>
      <c r="I276" s="3786"/>
      <c r="J276" s="3786"/>
      <c r="K276" s="3786"/>
      <c r="L276" s="3786"/>
      <c r="M276" s="3786"/>
      <c r="N276" s="3786"/>
      <c r="O276" s="3786"/>
      <c r="P276" s="2056"/>
      <c r="Q276" s="2026"/>
    </row>
    <row r="277" spans="1:17" ht="34.5" customHeight="1">
      <c r="A277" s="2033"/>
      <c r="C277" s="2437" t="s">
        <v>1843</v>
      </c>
      <c r="D277" s="3786" t="s">
        <v>3865</v>
      </c>
      <c r="E277" s="3786"/>
      <c r="F277" s="3786"/>
      <c r="G277" s="3786"/>
      <c r="H277" s="3786"/>
      <c r="I277" s="3786"/>
      <c r="J277" s="3786"/>
      <c r="K277" s="3786"/>
      <c r="L277" s="3786"/>
      <c r="M277" s="3786"/>
      <c r="N277" s="3786"/>
      <c r="O277" s="3786"/>
      <c r="P277" s="2044"/>
      <c r="Q277" s="2026"/>
    </row>
    <row r="278" spans="1:17" ht="15" customHeight="1">
      <c r="A278" s="2033"/>
      <c r="C278" s="2437" t="s">
        <v>1845</v>
      </c>
      <c r="D278" s="3842" t="s">
        <v>3866</v>
      </c>
      <c r="E278" s="3842"/>
      <c r="F278" s="3842"/>
      <c r="G278" s="3842"/>
      <c r="H278" s="3842"/>
      <c r="I278" s="3842"/>
      <c r="J278" s="3842"/>
      <c r="K278" s="3842"/>
      <c r="L278" s="3842"/>
      <c r="M278" s="3842"/>
      <c r="N278" s="3842"/>
      <c r="O278" s="3842"/>
      <c r="P278" s="2044"/>
      <c r="Q278" s="2026"/>
    </row>
    <row r="279" spans="1:17" ht="48" customHeight="1">
      <c r="A279" s="2033"/>
      <c r="C279" s="2437" t="s">
        <v>2331</v>
      </c>
      <c r="D279" s="3843" t="s">
        <v>3867</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3868</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3311</v>
      </c>
      <c r="D281" s="3786"/>
      <c r="E281" s="3786"/>
      <c r="F281" s="3786"/>
      <c r="G281" s="3786"/>
      <c r="H281" s="3786"/>
      <c r="I281" s="3786"/>
      <c r="J281" s="3786"/>
      <c r="K281" s="3786"/>
      <c r="L281" s="3786"/>
      <c r="M281" s="3786"/>
      <c r="N281" s="3786"/>
      <c r="O281" s="3786"/>
      <c r="P281" s="2076"/>
      <c r="Q281" s="2026"/>
    </row>
    <row r="282" spans="1:17" ht="49.5" customHeight="1">
      <c r="A282" s="2033"/>
      <c r="B282" s="2078" t="s">
        <v>1961</v>
      </c>
      <c r="C282" s="3786" t="s">
        <v>3916</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3917</v>
      </c>
      <c r="D283" s="3786"/>
      <c r="E283" s="3786"/>
      <c r="F283" s="3786"/>
      <c r="G283" s="3786"/>
      <c r="H283" s="3786"/>
      <c r="I283" s="3786"/>
      <c r="J283" s="3786"/>
      <c r="K283" s="3786"/>
      <c r="L283" s="3786"/>
      <c r="M283" s="3786"/>
      <c r="N283" s="3786"/>
      <c r="O283" s="3786"/>
      <c r="P283" s="2076"/>
      <c r="Q283" s="2026"/>
    </row>
    <row r="284" spans="1:17" ht="47.25" customHeight="1">
      <c r="A284" s="2071"/>
      <c r="B284" s="3786" t="s">
        <v>6836</v>
      </c>
      <c r="C284" s="3786"/>
      <c r="D284" s="3786"/>
      <c r="E284" s="3786"/>
      <c r="F284" s="3786"/>
      <c r="G284" s="3786"/>
      <c r="H284" s="3786"/>
      <c r="I284" s="3786"/>
      <c r="J284" s="3786"/>
      <c r="K284" s="3786"/>
      <c r="L284" s="3786"/>
      <c r="M284" s="3786"/>
      <c r="N284" s="3786"/>
      <c r="O284" s="3796"/>
      <c r="P284" s="3784" t="s">
        <v>7056</v>
      </c>
      <c r="Q284" s="3784"/>
    </row>
    <row r="285" spans="1:17" ht="20.25" customHeight="1">
      <c r="B285" s="2060" t="s">
        <v>3238</v>
      </c>
      <c r="D285" s="2060"/>
      <c r="E285" s="2060"/>
      <c r="F285" s="2060"/>
      <c r="G285" s="2060"/>
      <c r="H285" s="2043"/>
      <c r="I285" s="2031"/>
      <c r="J285" s="2031"/>
      <c r="K285" s="2031"/>
      <c r="L285" s="2026"/>
      <c r="M285" s="2026"/>
      <c r="N285" s="2026"/>
      <c r="O285" s="2026"/>
      <c r="P285" s="2026"/>
      <c r="Q285" s="2026"/>
    </row>
    <row r="286" spans="1:17" ht="20.25" customHeight="1">
      <c r="A286" s="3702" t="s">
        <v>7062</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1729</v>
      </c>
      <c r="C287" s="2035"/>
      <c r="D287" s="2036"/>
      <c r="E287" s="2036"/>
      <c r="F287" s="2036"/>
      <c r="G287" s="2036"/>
      <c r="H287" s="2036"/>
      <c r="I287" s="2036"/>
      <c r="J287" s="2036"/>
      <c r="K287" s="2036"/>
      <c r="L287" s="2036"/>
      <c r="M287" s="2036"/>
      <c r="N287" s="2036"/>
      <c r="O287" s="2036"/>
      <c r="P287" s="2036"/>
      <c r="Q287" s="2036"/>
    </row>
    <row r="288" spans="1:17" ht="20.25" customHeight="1">
      <c r="A288" s="3707"/>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3378</v>
      </c>
      <c r="B291" s="2029" t="s">
        <v>2435</v>
      </c>
      <c r="C291" s="2033"/>
      <c r="D291" s="2029"/>
      <c r="E291" s="2036"/>
      <c r="F291" s="2036"/>
      <c r="G291" s="2036"/>
      <c r="H291" s="2036"/>
      <c r="J291" s="2036"/>
      <c r="K291" s="2036"/>
      <c r="L291" s="2036"/>
      <c r="M291" s="2036"/>
      <c r="O291" s="2032" t="s">
        <v>1730</v>
      </c>
      <c r="P291" s="3705"/>
      <c r="Q291" s="3744"/>
    </row>
    <row r="292" spans="1:17" ht="20.25" customHeight="1">
      <c r="A292" s="2042"/>
      <c r="B292" s="2060" t="s">
        <v>3238</v>
      </c>
      <c r="D292" s="2060"/>
      <c r="E292" s="2060"/>
      <c r="F292" s="2060"/>
      <c r="G292" s="2060"/>
      <c r="H292" s="2043"/>
      <c r="I292" s="2031"/>
      <c r="J292" s="2031"/>
      <c r="K292" s="2031"/>
      <c r="L292" s="2026"/>
      <c r="M292" s="2026"/>
      <c r="N292" s="2026"/>
      <c r="O292" s="2026"/>
      <c r="P292" s="2026"/>
      <c r="Q292" s="2026"/>
    </row>
    <row r="293" spans="1:17" ht="32.25" customHeight="1">
      <c r="A293" s="3702" t="s">
        <v>7063</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1729</v>
      </c>
      <c r="C294" s="2035"/>
      <c r="D294" s="2036"/>
      <c r="E294" s="2036"/>
      <c r="F294" s="2036"/>
      <c r="G294" s="2036"/>
      <c r="H294" s="2036"/>
      <c r="I294" s="2036"/>
      <c r="J294" s="2036"/>
      <c r="K294" s="2036"/>
      <c r="L294" s="2036"/>
      <c r="M294" s="2036"/>
      <c r="N294" s="2036"/>
      <c r="O294" s="2036"/>
      <c r="P294" s="2036"/>
      <c r="Q294" s="2036"/>
    </row>
    <row r="295" spans="1:17" ht="20.25" customHeight="1">
      <c r="A295" s="3707"/>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4044</v>
      </c>
      <c r="P302" s="2109"/>
      <c r="Q302" s="2106"/>
    </row>
    <row r="303" spans="1:17" ht="20.25" customHeight="1">
      <c r="C303" s="2107" t="s">
        <v>1312</v>
      </c>
      <c r="D303" s="2106"/>
      <c r="E303" s="2106"/>
      <c r="F303" s="2106"/>
      <c r="G303" s="2106"/>
      <c r="H303" s="2106"/>
      <c r="I303" s="2106"/>
      <c r="J303" s="2107" t="s">
        <v>1952</v>
      </c>
      <c r="K303" s="2106"/>
      <c r="L303" s="2106"/>
      <c r="M303" s="2106"/>
      <c r="N303" s="2108"/>
      <c r="O303" s="2107" t="s">
        <v>4045</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4046</v>
      </c>
      <c r="P304" s="2109"/>
      <c r="Q304" s="2106"/>
    </row>
    <row r="305" spans="3:17" ht="20.25" customHeight="1">
      <c r="C305" s="2107" t="s">
        <v>1979</v>
      </c>
      <c r="D305" s="2106"/>
      <c r="E305" s="2106"/>
      <c r="F305" s="2106"/>
      <c r="G305" s="2106"/>
      <c r="H305" s="2106"/>
      <c r="I305" s="2106"/>
      <c r="J305" s="2107" t="s">
        <v>1120</v>
      </c>
      <c r="K305" s="2106"/>
      <c r="L305" s="2106"/>
      <c r="M305" s="2106"/>
      <c r="N305" s="2108"/>
      <c r="O305" s="2107" t="s">
        <v>4050</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4047</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4048</v>
      </c>
      <c r="P307" s="2109"/>
      <c r="Q307" s="2106"/>
    </row>
    <row r="308" spans="3:17" ht="20.25" customHeight="1">
      <c r="C308" s="2107" t="s">
        <v>1974</v>
      </c>
      <c r="D308" s="2106"/>
      <c r="E308" s="2106"/>
      <c r="F308" s="2106"/>
      <c r="G308" s="2106"/>
      <c r="H308" s="2106"/>
      <c r="I308" s="2106"/>
      <c r="J308" s="2107" t="s">
        <v>1117</v>
      </c>
      <c r="K308" s="2106"/>
      <c r="L308" s="2106"/>
      <c r="M308" s="2106"/>
      <c r="N308" s="2108"/>
      <c r="O308" s="2107" t="s">
        <v>4049</v>
      </c>
      <c r="P308" s="2109"/>
      <c r="Q308" s="2106"/>
    </row>
    <row r="309" spans="3:17" ht="20.25" customHeight="1">
      <c r="C309" s="2107" t="s">
        <v>1975</v>
      </c>
      <c r="D309" s="2106"/>
      <c r="E309" s="2106"/>
      <c r="F309" s="2106"/>
      <c r="G309" s="2106"/>
      <c r="H309" s="2106"/>
      <c r="I309" s="2106"/>
      <c r="J309" s="2107" t="s">
        <v>1116</v>
      </c>
      <c r="K309" s="2106"/>
      <c r="L309" s="2106"/>
      <c r="M309" s="2106"/>
      <c r="N309" s="2108"/>
      <c r="O309" s="2106" t="s">
        <v>3276</v>
      </c>
      <c r="P309" s="2109"/>
      <c r="Q309" s="2106"/>
    </row>
    <row r="310" spans="3:17" ht="20.25" customHeight="1">
      <c r="C310" s="2107" t="s">
        <v>1976</v>
      </c>
      <c r="D310" s="2106"/>
      <c r="E310" s="2106"/>
      <c r="F310" s="2106"/>
      <c r="G310" s="2106"/>
      <c r="H310" s="2106"/>
      <c r="I310" s="2106"/>
      <c r="J310" s="2107" t="s">
        <v>1603</v>
      </c>
      <c r="K310" s="2106"/>
      <c r="L310" s="2106"/>
      <c r="M310" s="2106"/>
      <c r="N310" s="2108"/>
      <c r="O310" s="2106" t="s">
        <v>3277</v>
      </c>
      <c r="P310" s="2109"/>
      <c r="Q310" s="2106"/>
    </row>
    <row r="311" spans="3:17" ht="20.25" customHeight="1">
      <c r="C311" s="2107" t="s">
        <v>1977</v>
      </c>
      <c r="D311" s="2106"/>
      <c r="E311" s="2106"/>
      <c r="F311" s="2106"/>
      <c r="G311" s="2106"/>
      <c r="H311" s="2106"/>
      <c r="I311" s="2106"/>
      <c r="J311" s="2107" t="s">
        <v>1546</v>
      </c>
      <c r="K311" s="2106"/>
      <c r="L311" s="2106"/>
      <c r="M311" s="2106"/>
      <c r="N311" s="2108"/>
      <c r="O311" s="2107"/>
      <c r="P311" s="2109"/>
      <c r="Q311" s="2106"/>
    </row>
    <row r="312" spans="3:17" ht="20.25" customHeight="1">
      <c r="C312" s="2107" t="s">
        <v>1978</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1951</v>
      </c>
      <c r="K313" s="2106"/>
      <c r="L313" s="2106"/>
      <c r="M313" s="2106"/>
      <c r="N313" s="2108"/>
      <c r="O313" s="2107"/>
      <c r="P313" s="2109"/>
      <c r="Q313" s="2106"/>
    </row>
    <row r="314" spans="3:17" ht="20.25" customHeight="1">
      <c r="C314" s="2107" t="s">
        <v>2107</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2000</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1740</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1864</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3247</v>
      </c>
      <c r="L336" s="2106"/>
      <c r="M336" s="2106"/>
      <c r="N336" s="2106"/>
      <c r="O336" s="2106"/>
      <c r="P336" s="2106"/>
      <c r="Q336" s="2106"/>
    </row>
    <row r="337" spans="3:17" ht="20.25" customHeight="1">
      <c r="C337" s="2107" t="s">
        <v>1130</v>
      </c>
      <c r="D337" s="2106"/>
      <c r="E337" s="2106"/>
      <c r="F337" s="2106"/>
      <c r="G337" s="2106"/>
      <c r="H337" s="2106"/>
      <c r="I337" s="2106"/>
      <c r="J337" s="2106"/>
      <c r="K337" s="2106" t="s">
        <v>6200</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2071</v>
      </c>
      <c r="L339" s="2106"/>
      <c r="M339" s="2106"/>
      <c r="N339" s="2106"/>
      <c r="O339" s="2106"/>
      <c r="P339" s="2106"/>
      <c r="Q339" s="2106"/>
    </row>
    <row r="340" spans="3:17" ht="20.25" customHeight="1">
      <c r="C340" s="2106" t="s">
        <v>1019</v>
      </c>
      <c r="D340" s="2106"/>
      <c r="E340" s="2106"/>
      <c r="F340" s="2106"/>
      <c r="G340" s="2106"/>
      <c r="H340" s="2106"/>
      <c r="I340" s="2106"/>
      <c r="J340" s="2106"/>
      <c r="K340" s="2106" t="s">
        <v>2146</v>
      </c>
      <c r="L340" s="2106"/>
      <c r="M340" s="2106"/>
      <c r="N340" s="2106"/>
      <c r="O340" s="2106"/>
      <c r="P340" s="2106"/>
      <c r="Q340" s="2106"/>
    </row>
    <row r="341" spans="3:17" ht="20.25" customHeight="1">
      <c r="C341" s="2106" t="s">
        <v>163</v>
      </c>
      <c r="D341" s="2106"/>
      <c r="E341" s="2106"/>
      <c r="F341" s="2106"/>
      <c r="G341" s="2106"/>
      <c r="H341" s="2106"/>
      <c r="I341" s="2106"/>
      <c r="J341" s="2106"/>
      <c r="K341" s="2106" t="s">
        <v>6303</v>
      </c>
      <c r="L341" s="2106"/>
      <c r="M341" s="2106"/>
      <c r="N341" s="2106"/>
      <c r="O341" s="2106"/>
      <c r="P341" s="2106"/>
      <c r="Q341" s="2106"/>
    </row>
    <row r="342" spans="3:17" ht="20.25" customHeight="1">
      <c r="C342" s="2106" t="s">
        <v>1429</v>
      </c>
      <c r="D342" s="2106"/>
      <c r="E342" s="2106"/>
      <c r="F342" s="2106"/>
      <c r="G342" s="2106"/>
      <c r="H342" s="2106"/>
      <c r="I342" s="2106"/>
      <c r="J342" s="2106"/>
      <c r="K342" s="2106" t="s">
        <v>6302</v>
      </c>
      <c r="L342" s="2106"/>
      <c r="M342" s="2106"/>
      <c r="N342" s="2106"/>
      <c r="O342" s="2106"/>
      <c r="P342" s="2106"/>
      <c r="Q342" s="2106"/>
    </row>
    <row r="343" spans="3:17" ht="20.25" customHeight="1">
      <c r="C343" s="2106" t="s">
        <v>1964</v>
      </c>
      <c r="D343" s="2106"/>
      <c r="E343" s="2106"/>
      <c r="F343" s="2106"/>
      <c r="G343" s="2106"/>
      <c r="H343" s="2106"/>
      <c r="I343" s="2106"/>
      <c r="J343" s="2106"/>
      <c r="K343" s="2106" t="s">
        <v>6201</v>
      </c>
      <c r="L343" s="2106"/>
      <c r="M343" s="2106"/>
      <c r="N343" s="2106"/>
      <c r="O343" s="2106"/>
      <c r="P343" s="2106"/>
      <c r="Q343" s="2106"/>
    </row>
    <row r="344" spans="3:17" ht="20.25" customHeight="1">
      <c r="C344" s="2106" t="s">
        <v>162</v>
      </c>
      <c r="D344" s="2106"/>
      <c r="E344" s="2106"/>
      <c r="F344" s="2106"/>
      <c r="G344" s="2106"/>
      <c r="H344" s="2106"/>
      <c r="I344" s="2106"/>
      <c r="J344" s="2106"/>
      <c r="K344" s="2106" t="s">
        <v>6304</v>
      </c>
      <c r="L344" s="2106"/>
      <c r="M344" s="2106"/>
      <c r="N344" s="2106"/>
      <c r="O344" s="2106"/>
      <c r="P344" s="2106"/>
      <c r="Q344" s="2106"/>
    </row>
    <row r="345" spans="3:17" ht="20.25" customHeight="1">
      <c r="C345" s="2106"/>
      <c r="D345" s="2106"/>
      <c r="E345" s="2106"/>
      <c r="F345" s="2106"/>
      <c r="G345" s="2106"/>
      <c r="H345" s="2106"/>
      <c r="I345" s="2106"/>
      <c r="J345" s="2106"/>
      <c r="K345" s="2110" t="s">
        <v>1808</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2184</v>
      </c>
    </row>
    <row r="351" spans="3:17" s="2030" customFormat="1" ht="20.25" customHeight="1"/>
    <row r="352" spans="3:17" s="2030" customFormat="1" ht="20.25" customHeight="1">
      <c r="C352" s="2111" t="s">
        <v>951</v>
      </c>
      <c r="M352" s="2111" t="s">
        <v>3850</v>
      </c>
    </row>
    <row r="353" spans="3:13" s="2030" customFormat="1" ht="20.25" customHeight="1">
      <c r="C353" s="2030" t="s">
        <v>950</v>
      </c>
      <c r="M353" s="2030" t="s">
        <v>950</v>
      </c>
    </row>
    <row r="354" spans="3:13" s="2030" customFormat="1" ht="20.25" customHeight="1">
      <c r="C354" s="2030" t="s">
        <v>1937</v>
      </c>
      <c r="M354" s="2030" t="s">
        <v>3847</v>
      </c>
    </row>
    <row r="355" spans="3:13" s="2030" customFormat="1" ht="20.25" customHeight="1">
      <c r="C355" s="2030" t="s">
        <v>2340</v>
      </c>
      <c r="M355" s="2030" t="s">
        <v>3878</v>
      </c>
    </row>
    <row r="356" spans="3:13" s="2030" customFormat="1" ht="20.25" customHeight="1">
      <c r="C356" s="2030" t="s">
        <v>1938</v>
      </c>
      <c r="M356" s="2030" t="s">
        <v>1540</v>
      </c>
    </row>
    <row r="357" spans="3:13" s="2030" customFormat="1" ht="20.25" customHeight="1">
      <c r="C357" s="2030" t="s">
        <v>1809</v>
      </c>
      <c r="M357" s="2030" t="s">
        <v>3848</v>
      </c>
    </row>
    <row r="358" spans="3:13" s="2030" customFormat="1" ht="20.25" customHeight="1">
      <c r="C358" s="2030" t="s">
        <v>548</v>
      </c>
      <c r="M358" s="2030" t="s">
        <v>3897</v>
      </c>
    </row>
    <row r="359" spans="3:13" s="2030" customFormat="1" ht="20.25" customHeight="1">
      <c r="C359" s="2030" t="s">
        <v>2034</v>
      </c>
      <c r="M359" s="2030" t="s">
        <v>3898</v>
      </c>
    </row>
    <row r="360" spans="3:13" s="2030" customFormat="1" ht="20.25" customHeight="1">
      <c r="C360" s="2030" t="s">
        <v>30</v>
      </c>
      <c r="M360" s="2030" t="s">
        <v>3849</v>
      </c>
    </row>
    <row r="361" spans="3:13" s="2030" customFormat="1" ht="20.25" customHeight="1">
      <c r="M361" s="2030" t="s">
        <v>1951</v>
      </c>
    </row>
    <row r="362" spans="3:13" s="2030" customFormat="1" ht="20.25" customHeight="1">
      <c r="M362" s="2112" t="s">
        <v>6837</v>
      </c>
    </row>
    <row r="363" spans="3:13" s="2030" customFormat="1" ht="20.25" customHeight="1"/>
    <row r="364" spans="3:13" s="2030" customFormat="1" ht="20.25" customHeight="1">
      <c r="M364" s="2029" t="s">
        <v>3259</v>
      </c>
    </row>
    <row r="365" spans="3:13" s="2030" customFormat="1" ht="20.25" customHeight="1">
      <c r="M365" s="2030" t="s">
        <v>3335</v>
      </c>
    </row>
    <row r="366" spans="3:13" s="2030" customFormat="1" ht="20.25" customHeight="1">
      <c r="M366" s="2030" t="s">
        <v>3330</v>
      </c>
    </row>
    <row r="367" spans="3:13" s="2030" customFormat="1" ht="20.25" customHeight="1">
      <c r="M367" s="2030" t="s">
        <v>3252</v>
      </c>
    </row>
    <row r="368" spans="3:13" s="2030" customFormat="1" ht="20.25" customHeight="1">
      <c r="M368" s="2030" t="s">
        <v>3326</v>
      </c>
    </row>
    <row r="369" spans="4:13" s="2030" customFormat="1" ht="20.25" customHeight="1">
      <c r="D369" s="2029" t="s">
        <v>1887</v>
      </c>
      <c r="M369" s="2030" t="s">
        <v>3253</v>
      </c>
    </row>
    <row r="370" spans="4:13" s="2030" customFormat="1" ht="20.25" customHeight="1">
      <c r="M370" s="2030" t="s">
        <v>3327</v>
      </c>
    </row>
    <row r="371" spans="4:13" s="2030" customFormat="1" ht="20.25" customHeight="1">
      <c r="M371" s="2030" t="s">
        <v>3254</v>
      </c>
    </row>
    <row r="372" spans="4:13" s="2030" customFormat="1" ht="20.25" customHeight="1">
      <c r="M372" s="2030" t="s">
        <v>3328</v>
      </c>
    </row>
    <row r="373" spans="4:13" s="2030" customFormat="1" ht="20.25" customHeight="1">
      <c r="M373" s="2030" t="s">
        <v>3331</v>
      </c>
    </row>
    <row r="374" spans="4:13" s="2030" customFormat="1" ht="20.25" customHeight="1">
      <c r="M374" s="2030" t="s">
        <v>3255</v>
      </c>
    </row>
    <row r="375" spans="4:13" s="2030" customFormat="1" ht="20.25" customHeight="1">
      <c r="M375" s="2030" t="s">
        <v>3256</v>
      </c>
    </row>
    <row r="376" spans="4:13" s="2030" customFormat="1" ht="20.25" customHeight="1">
      <c r="M376" s="2030" t="s">
        <v>3329</v>
      </c>
    </row>
    <row r="377" spans="4:13" s="2030" customFormat="1" ht="20.25" customHeight="1">
      <c r="M377" s="2030" t="s">
        <v>3332</v>
      </c>
    </row>
    <row r="378" spans="4:13" s="2030" customFormat="1" ht="20.25" customHeight="1">
      <c r="M378" s="2030" t="s">
        <v>3333</v>
      </c>
    </row>
    <row r="379" spans="4:13" s="2030" customFormat="1" ht="20.25" customHeight="1">
      <c r="M379" s="2030" t="s">
        <v>6525</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sqref="A1:P1"/>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Peaks of Douglas, Douglasville, Douglas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6840</v>
      </c>
      <c r="B3" s="4052"/>
      <c r="C3" s="4052"/>
      <c r="D3" s="4052"/>
      <c r="E3" s="4052"/>
      <c r="F3" s="4052"/>
      <c r="G3" s="4052"/>
      <c r="H3" s="4052"/>
      <c r="I3" s="4052"/>
      <c r="J3" s="4052"/>
      <c r="K3" s="4052"/>
      <c r="L3" s="4052"/>
      <c r="M3" s="2125"/>
      <c r="N3" s="2123"/>
      <c r="O3" s="2126" t="s">
        <v>2049</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2050</v>
      </c>
      <c r="P4" s="2129" t="s">
        <v>2050</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71</v>
      </c>
      <c r="P6" s="2135">
        <f>P404</f>
        <v>22</v>
      </c>
      <c r="Q6" s="2136" t="s">
        <v>6841</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6133</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6134</v>
      </c>
      <c r="G10" s="2141"/>
      <c r="I10" s="2141"/>
      <c r="J10" s="2141"/>
      <c r="K10" s="2141"/>
      <c r="L10" s="2141"/>
      <c r="M10" s="2144" t="s">
        <v>6842</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3390</v>
      </c>
      <c r="B12" s="2146" t="s">
        <v>3391</v>
      </c>
      <c r="C12" s="2147"/>
      <c r="D12" s="2147"/>
      <c r="E12" s="2120" t="s">
        <v>3398</v>
      </c>
      <c r="F12" s="4054" t="s">
        <v>6494</v>
      </c>
      <c r="G12" s="4054"/>
      <c r="H12" s="4054"/>
      <c r="I12" s="4054"/>
      <c r="J12" s="4054"/>
      <c r="K12" s="4054"/>
      <c r="L12" s="4054"/>
      <c r="M12" s="4054"/>
      <c r="N12" s="4054"/>
      <c r="O12" s="2148" t="s">
        <v>3808</v>
      </c>
      <c r="P12" s="2149">
        <f>SUM(P13:P31)</f>
        <v>0</v>
      </c>
      <c r="Q12" s="4055"/>
      <c r="R12" s="4055"/>
      <c r="S12" s="4055"/>
      <c r="T12" s="4055"/>
      <c r="U12" s="4055"/>
      <c r="V12" s="2150"/>
    </row>
    <row r="13" spans="1:25" s="2121" customFormat="1" ht="14.45" customHeight="1">
      <c r="A13" s="2151" t="s">
        <v>1668</v>
      </c>
      <c r="B13" s="2152" t="s">
        <v>3392</v>
      </c>
      <c r="C13" s="2153"/>
      <c r="D13" s="2154"/>
      <c r="E13" s="2155">
        <f>$O$77</f>
        <v>20</v>
      </c>
      <c r="F13" s="4056" t="str">
        <f>$A$81</f>
        <v xml:space="preserve">The project location is qualified to received 24.5 desirable points.  </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4036</v>
      </c>
      <c r="C14" s="2158"/>
      <c r="D14" s="2159"/>
      <c r="E14" s="2160">
        <f>$O$86</f>
        <v>3</v>
      </c>
      <c r="F14" s="4037" t="str">
        <f>$A$102</f>
        <v>The property pedestrian entrance is located &lt;0.20 miles from a public transportation stop located at the Kohl's Department store.</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3337</v>
      </c>
      <c r="C15" s="2158"/>
      <c r="D15" s="2159"/>
      <c r="E15" s="2160">
        <f>$O$106</f>
        <v>2</v>
      </c>
      <c r="F15" s="4037" t="str">
        <f>$A$117</f>
        <v>The project is located within the boundaries of schools that meet the requirements for full scoring in this section for an HFOP property.</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3393</v>
      </c>
      <c r="C16" s="2158"/>
      <c r="D16" s="2159"/>
      <c r="E16" s="2457">
        <f>$O$122</f>
        <v>0</v>
      </c>
      <c r="F16" s="4037" t="str">
        <f>$A$137</f>
        <v>Not applicable.</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3394</v>
      </c>
      <c r="C17" s="2167"/>
      <c r="D17" s="2168"/>
      <c r="E17" s="2169" t="s">
        <v>1610</v>
      </c>
      <c r="F17" s="4061" t="str">
        <f>$A$147</f>
        <v>Not applicable.</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4037</v>
      </c>
      <c r="C18" s="2158"/>
      <c r="D18" s="2159"/>
      <c r="E18" s="2170">
        <f>$O$152</f>
        <v>8</v>
      </c>
      <c r="F18" s="4037" t="str">
        <f>$A$165</f>
        <v xml:space="preserve">We used the data from the 2020 Statistic Set.  The project continues to meet these requirements for 2021 in the area of health insurance and income.  </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4039</v>
      </c>
      <c r="B19" s="2157" t="s">
        <v>3260</v>
      </c>
      <c r="C19" s="2158"/>
      <c r="D19" s="2159"/>
      <c r="E19" s="2170">
        <f>$O$179</f>
        <v>0</v>
      </c>
      <c r="F19" s="4037" t="str">
        <f>$A$184</f>
        <v>Not applicable.</v>
      </c>
      <c r="G19" s="3876"/>
      <c r="H19" s="3876"/>
      <c r="I19" s="3876"/>
      <c r="J19" s="3876"/>
      <c r="K19" s="3876"/>
      <c r="L19" s="3876"/>
      <c r="M19" s="3876"/>
      <c r="N19" s="3876"/>
      <c r="O19" s="4038"/>
      <c r="P19" s="2162"/>
      <c r="Q19" s="4064"/>
      <c r="R19" s="4004"/>
      <c r="S19" s="4004"/>
    </row>
    <row r="20" spans="1:35" s="2121" customFormat="1" ht="14.45" customHeight="1">
      <c r="A20" s="2151" t="s">
        <v>4051</v>
      </c>
      <c r="B20" s="2157" t="s">
        <v>4040</v>
      </c>
      <c r="C20" s="2158"/>
      <c r="D20" s="2159"/>
      <c r="E20" s="2169">
        <f>$O$189</f>
        <v>0</v>
      </c>
      <c r="F20" s="4037" t="str">
        <f>$A$195</f>
        <v>Not applicable.</v>
      </c>
      <c r="G20" s="3876"/>
      <c r="H20" s="3876"/>
      <c r="I20" s="3876"/>
      <c r="J20" s="3876"/>
      <c r="K20" s="3876"/>
      <c r="L20" s="3876"/>
      <c r="M20" s="3876"/>
      <c r="N20" s="3876"/>
      <c r="O20" s="4038"/>
      <c r="P20" s="2162"/>
      <c r="Q20" s="4064"/>
      <c r="R20" s="4004"/>
      <c r="S20" s="4004"/>
    </row>
    <row r="21" spans="1:35" s="2121" customFormat="1" ht="14.45" customHeight="1">
      <c r="A21" s="2171" t="s">
        <v>6241</v>
      </c>
      <c r="B21" s="2166" t="s">
        <v>4041</v>
      </c>
      <c r="C21" s="2167"/>
      <c r="D21" s="2168"/>
      <c r="E21" s="2172">
        <f>$O$200</f>
        <v>5</v>
      </c>
      <c r="F21" s="4061" t="str">
        <f>$A$205</f>
        <v>No LIHTC projects have been built in Douglas County withing the last 15 DCA Housing Credit Competitive Rounds.</v>
      </c>
      <c r="G21" s="4062"/>
      <c r="H21" s="4062"/>
      <c r="I21" s="4062"/>
      <c r="J21" s="4062"/>
      <c r="K21" s="4062"/>
      <c r="L21" s="4062"/>
      <c r="M21" s="4062"/>
      <c r="N21" s="4062"/>
      <c r="O21" s="4063"/>
      <c r="P21" s="2162"/>
      <c r="Q21" s="4064"/>
      <c r="R21" s="4004"/>
      <c r="S21" s="4004"/>
    </row>
    <row r="22" spans="1:35" s="2121" customFormat="1" ht="14.45" customHeight="1">
      <c r="A22" s="2151" t="s">
        <v>6635</v>
      </c>
      <c r="B22" s="2157" t="s">
        <v>6547</v>
      </c>
      <c r="C22" s="2158"/>
      <c r="D22" s="2159"/>
      <c r="E22" s="2170">
        <f>$O$223</f>
        <v>0</v>
      </c>
      <c r="F22" s="4037" t="str">
        <f>$A$228</f>
        <v>This scoring item is only available to Atlanta Metro Projects.</v>
      </c>
      <c r="G22" s="3876"/>
      <c r="H22" s="3876"/>
      <c r="I22" s="3876"/>
      <c r="J22" s="3876"/>
      <c r="K22" s="3876"/>
      <c r="L22" s="3876"/>
      <c r="M22" s="3876"/>
      <c r="N22" s="3876"/>
      <c r="O22" s="4038"/>
      <c r="P22" s="2162"/>
      <c r="Q22" s="4064"/>
      <c r="R22" s="4004"/>
      <c r="S22" s="4004"/>
    </row>
    <row r="23" spans="1:35" s="2121" customFormat="1" ht="14.45" customHeight="1">
      <c r="A23" s="2151" t="s">
        <v>6637</v>
      </c>
      <c r="B23" s="2157" t="s">
        <v>6636</v>
      </c>
      <c r="C23" s="2158"/>
      <c r="D23" s="2159"/>
      <c r="E23" s="2170">
        <f>$O$233</f>
        <v>2</v>
      </c>
      <c r="F23" s="4037" t="str">
        <f>$A$248</f>
        <v>Upon award the applicant will engage with a QB for the purposes of meeting the requirements of the current year QAP for XVIIA Engagement Commitment and Reporting.</v>
      </c>
      <c r="G23" s="3876"/>
      <c r="H23" s="3876"/>
      <c r="I23" s="3876"/>
      <c r="J23" s="3876"/>
      <c r="K23" s="3876"/>
      <c r="L23" s="3876"/>
      <c r="M23" s="3876"/>
      <c r="N23" s="3876"/>
      <c r="O23" s="4038"/>
      <c r="P23" s="2162"/>
      <c r="Q23" s="4064"/>
      <c r="R23" s="4004"/>
      <c r="S23" s="4004"/>
    </row>
    <row r="24" spans="1:35" s="2121" customFormat="1" ht="14.45" customHeight="1">
      <c r="A24" s="2164" t="s">
        <v>3367</v>
      </c>
      <c r="B24" s="2173" t="s">
        <v>6553</v>
      </c>
      <c r="C24" s="2174"/>
      <c r="D24" s="2175"/>
      <c r="E24" s="2165">
        <f>$O$253</f>
        <v>2</v>
      </c>
      <c r="F24" s="4058" t="str">
        <f>$A$257</f>
        <v>The applicant commits to accept resident services coordination from an entity certified as a 3rd Party Resident Services Coordination Contractor" by CORES or other DCA-approved program.</v>
      </c>
      <c r="G24" s="4059"/>
      <c r="H24" s="4059"/>
      <c r="I24" s="4059"/>
      <c r="J24" s="4059"/>
      <c r="K24" s="4059"/>
      <c r="L24" s="4059"/>
      <c r="M24" s="4059"/>
      <c r="N24" s="4059"/>
      <c r="O24" s="4060"/>
      <c r="P24" s="2162"/>
      <c r="Q24" s="4064"/>
      <c r="R24" s="4004"/>
      <c r="S24" s="4004"/>
    </row>
    <row r="25" spans="1:35" s="2121" customFormat="1" ht="14.45" customHeight="1">
      <c r="A25" s="2151" t="s">
        <v>3371</v>
      </c>
      <c r="B25" s="2157" t="s">
        <v>3395</v>
      </c>
      <c r="C25" s="2158"/>
      <c r="D25" s="2159"/>
      <c r="E25" s="2170">
        <f>$O$271</f>
        <v>0</v>
      </c>
      <c r="F25" s="4037" t="str">
        <f>$A$275</f>
        <v>Not applicable.</v>
      </c>
      <c r="G25" s="3876"/>
      <c r="H25" s="3876"/>
      <c r="I25" s="3876"/>
      <c r="J25" s="3876"/>
      <c r="K25" s="3876"/>
      <c r="L25" s="3876"/>
      <c r="M25" s="3876"/>
      <c r="N25" s="3876"/>
      <c r="O25" s="4038"/>
      <c r="P25" s="2162"/>
      <c r="Q25" s="4064"/>
      <c r="R25" s="4004"/>
      <c r="S25" s="4004"/>
    </row>
    <row r="26" spans="1:35" s="2121" customFormat="1" ht="14.45" customHeight="1">
      <c r="A26" s="2151" t="s">
        <v>3374</v>
      </c>
      <c r="B26" s="2157" t="s">
        <v>3396</v>
      </c>
      <c r="C26" s="2158"/>
      <c r="D26" s="2159"/>
      <c r="E26" s="2170">
        <f>$O$280</f>
        <v>0</v>
      </c>
      <c r="F26" s="4037" t="str">
        <f>$A$307</f>
        <v>Not applicable.</v>
      </c>
      <c r="G26" s="3876"/>
      <c r="H26" s="3876"/>
      <c r="I26" s="3876"/>
      <c r="J26" s="3876"/>
      <c r="K26" s="3876"/>
      <c r="L26" s="3876"/>
      <c r="M26" s="3876"/>
      <c r="N26" s="3876"/>
      <c r="O26" s="4038"/>
      <c r="P26" s="2162"/>
      <c r="Q26" s="4064"/>
      <c r="R26" s="4004"/>
      <c r="S26" s="4004"/>
    </row>
    <row r="27" spans="1:35" s="2121" customFormat="1" ht="14.45" customHeight="1">
      <c r="A27" s="2151" t="s">
        <v>3375</v>
      </c>
      <c r="B27" s="2157" t="s">
        <v>3397</v>
      </c>
      <c r="C27" s="2158"/>
      <c r="D27" s="2159"/>
      <c r="E27" s="2169">
        <f>$O$312</f>
        <v>0</v>
      </c>
      <c r="F27" s="4037" t="str">
        <f>$A$318</f>
        <v>Not applicable.</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3377</v>
      </c>
      <c r="B28" s="2178" t="s">
        <v>6634</v>
      </c>
      <c r="C28" s="2179"/>
      <c r="D28" s="2180"/>
      <c r="E28" s="2181">
        <f>$O$332</f>
        <v>2</v>
      </c>
      <c r="F28" s="4065" t="str">
        <f>$A$340</f>
        <v>The applicant has accepted Section 811 contracts with DCA previously.</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3378</v>
      </c>
      <c r="B29" s="2157" t="s">
        <v>6130</v>
      </c>
      <c r="C29" s="2158"/>
      <c r="D29" s="2159"/>
      <c r="E29" s="2170">
        <f>$O$345</f>
        <v>0</v>
      </c>
      <c r="F29" s="4037" t="str">
        <f>$A$347</f>
        <v>No applicable.</v>
      </c>
      <c r="G29" s="3876"/>
      <c r="H29" s="3876"/>
      <c r="I29" s="3876"/>
      <c r="J29" s="3876"/>
      <c r="K29" s="3876"/>
      <c r="L29" s="3876"/>
      <c r="M29" s="3876"/>
      <c r="N29" s="3876"/>
      <c r="O29" s="4038"/>
      <c r="P29" s="2162"/>
      <c r="Q29" s="2176"/>
      <c r="R29" s="2118"/>
      <c r="S29" s="2118"/>
    </row>
    <row r="30" spans="1:35" s="2121" customFormat="1" ht="14.45" customHeight="1">
      <c r="A30" s="2151" t="s">
        <v>3801</v>
      </c>
      <c r="B30" s="2157" t="s">
        <v>6551</v>
      </c>
      <c r="C30" s="2158"/>
      <c r="D30" s="2159"/>
      <c r="E30" s="2170">
        <f>$O$358</f>
        <v>0</v>
      </c>
      <c r="F30" s="4037" t="str">
        <f>$A$360</f>
        <v>Not applicable.</v>
      </c>
      <c r="G30" s="3876"/>
      <c r="H30" s="3876"/>
      <c r="I30" s="3876"/>
      <c r="J30" s="3876"/>
      <c r="K30" s="3876"/>
      <c r="L30" s="3876"/>
      <c r="M30" s="3876"/>
      <c r="N30" s="3876"/>
      <c r="O30" s="4038"/>
      <c r="P30" s="2162"/>
      <c r="Q30" s="2176"/>
    </row>
    <row r="31" spans="1:35" s="2121" customFormat="1" ht="14.45" customHeight="1">
      <c r="A31" s="2151" t="s">
        <v>6554</v>
      </c>
      <c r="B31" s="2157" t="s">
        <v>6552</v>
      </c>
      <c r="C31" s="2158"/>
      <c r="D31" s="2159"/>
      <c r="E31" s="2170">
        <f>$O$365</f>
        <v>0</v>
      </c>
      <c r="F31" s="4037" t="str">
        <f>$A$369</f>
        <v>Not applicable.</v>
      </c>
      <c r="G31" s="3876"/>
      <c r="H31" s="3876"/>
      <c r="I31" s="3876"/>
      <c r="J31" s="3876"/>
      <c r="K31" s="3876"/>
      <c r="L31" s="3876"/>
      <c r="M31" s="3876"/>
      <c r="N31" s="3876"/>
      <c r="O31" s="4038"/>
      <c r="P31" s="2455"/>
      <c r="Q31" s="2176"/>
    </row>
    <row r="32" spans="1:35" s="2121" customFormat="1" ht="14.45" customHeight="1">
      <c r="A32" s="2456" t="s">
        <v>6916</v>
      </c>
      <c r="B32" s="2178" t="s">
        <v>6932</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6946</v>
      </c>
      <c r="B34" s="3848"/>
      <c r="C34" s="3848"/>
      <c r="D34" s="3848"/>
      <c r="E34" s="4083" t="str">
        <f>IF(OR((C36-A36&gt;0),(D36-A36&gt;0)),"Points Exceed Max!","")</f>
        <v/>
      </c>
      <c r="F34" s="3918" t="s">
        <v>6880</v>
      </c>
      <c r="G34" s="3919"/>
      <c r="H34" s="3919"/>
      <c r="I34" s="3920"/>
      <c r="J34" s="4068" t="s">
        <v>6138</v>
      </c>
      <c r="K34" s="4069"/>
      <c r="L34" s="4069"/>
      <c r="M34" s="4070"/>
      <c r="O34" s="3924" t="s">
        <v>6881</v>
      </c>
      <c r="P34" s="3924"/>
      <c r="Q34" s="2185"/>
    </row>
    <row r="35" spans="1:35" ht="13.5" customHeight="1">
      <c r="A35" s="4088" t="s">
        <v>6906</v>
      </c>
      <c r="B35" s="4089"/>
      <c r="C35" s="2461" t="s">
        <v>2888</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6123</v>
      </c>
      <c r="G36" s="4032"/>
      <c r="H36" s="4032"/>
      <c r="I36" s="4033"/>
      <c r="J36" s="4074" t="s">
        <v>6099</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1840</v>
      </c>
      <c r="B42" s="2131" t="s">
        <v>3803</v>
      </c>
      <c r="F42" s="2123"/>
      <c r="N42" s="2254"/>
      <c r="P42" s="2204">
        <f>SUM(P43:P45)</f>
        <v>0</v>
      </c>
    </row>
    <row r="43" spans="1:35">
      <c r="A43" s="2138"/>
      <c r="B43" s="2205" t="s">
        <v>1843</v>
      </c>
      <c r="C43" s="2121" t="s">
        <v>3806</v>
      </c>
      <c r="D43" s="2121"/>
      <c r="E43" s="2121"/>
      <c r="F43" s="2123"/>
      <c r="H43" s="2121"/>
      <c r="J43" s="2141"/>
      <c r="N43" s="2214"/>
      <c r="O43" s="2120"/>
      <c r="P43" s="2206">
        <f>F51</f>
        <v>0</v>
      </c>
    </row>
    <row r="44" spans="1:35">
      <c r="A44" s="2138"/>
      <c r="B44" s="2205" t="s">
        <v>1845</v>
      </c>
      <c r="C44" s="2121" t="s">
        <v>6872</v>
      </c>
      <c r="D44" s="2121"/>
      <c r="E44" s="2121"/>
      <c r="F44" s="2123"/>
      <c r="H44" s="2121"/>
      <c r="J44" s="2141"/>
      <c r="N44" s="2214"/>
      <c r="O44" s="2120"/>
      <c r="P44" s="2207">
        <f>J51</f>
        <v>0</v>
      </c>
    </row>
    <row r="45" spans="1:35">
      <c r="A45" s="2138"/>
      <c r="B45" s="2205" t="s">
        <v>2331</v>
      </c>
      <c r="C45" s="2121" t="s">
        <v>3805</v>
      </c>
      <c r="D45" s="2121"/>
      <c r="E45" s="2121"/>
      <c r="F45" s="2123"/>
      <c r="H45" s="2121"/>
      <c r="J45" s="2141"/>
      <c r="N45" s="2214"/>
      <c r="O45" s="2120"/>
      <c r="P45" s="2208"/>
    </row>
    <row r="46" spans="1:35">
      <c r="C46" s="3870" t="s">
        <v>6843</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1842</v>
      </c>
      <c r="B48" s="2131" t="s">
        <v>679</v>
      </c>
      <c r="F48" s="2123"/>
      <c r="J48" s="2141"/>
      <c r="M48" s="2123"/>
      <c r="N48" s="2254" t="s">
        <v>1842</v>
      </c>
      <c r="P48" s="2215">
        <f>O51</f>
        <v>0</v>
      </c>
    </row>
    <row r="49" spans="1:20" ht="3" customHeight="1">
      <c r="A49" s="2210"/>
      <c r="B49" s="2211"/>
      <c r="C49" s="2212"/>
      <c r="D49" s="2157"/>
      <c r="K49" s="2213"/>
      <c r="L49" s="2213"/>
      <c r="M49" s="2123"/>
      <c r="N49" s="2214"/>
      <c r="O49" s="2134"/>
      <c r="P49" s="2134"/>
    </row>
    <row r="50" spans="1:20" s="2121" customFormat="1" ht="16.5" customHeight="1">
      <c r="A50" s="3922" t="s">
        <v>6873</v>
      </c>
      <c r="B50" s="3922"/>
      <c r="C50" s="3922"/>
      <c r="D50" s="3922"/>
      <c r="E50" s="3922"/>
      <c r="F50" s="2216" t="s">
        <v>3177</v>
      </c>
      <c r="G50" s="3922" t="s">
        <v>6874</v>
      </c>
      <c r="H50" s="3922"/>
      <c r="I50" s="3922"/>
      <c r="J50" s="2216" t="s">
        <v>3177</v>
      </c>
      <c r="K50" s="4090" t="s">
        <v>6875</v>
      </c>
      <c r="L50" s="4090"/>
      <c r="M50" s="4090"/>
      <c r="N50" s="4090"/>
      <c r="O50" s="3858" t="s">
        <v>3177</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3147</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3816</v>
      </c>
      <c r="G67" s="2227"/>
      <c r="H67" s="2121"/>
      <c r="I67" s="2143"/>
      <c r="K67" s="2230"/>
      <c r="L67" s="2231"/>
      <c r="M67" s="2124"/>
      <c r="N67" s="2123"/>
      <c r="O67" s="2133"/>
      <c r="P67" s="2133"/>
      <c r="Q67" s="2203"/>
      <c r="R67" s="2232"/>
    </row>
    <row r="68" spans="1:19" s="2121" customFormat="1" ht="15.95" customHeight="1">
      <c r="A68" s="2138" t="s">
        <v>1840</v>
      </c>
      <c r="B68" s="2233" t="s">
        <v>6876</v>
      </c>
      <c r="C68" s="2255"/>
      <c r="D68" s="2255"/>
      <c r="E68" s="2255"/>
      <c r="F68" s="2255"/>
      <c r="G68" s="2120" t="s">
        <v>6644</v>
      </c>
      <c r="J68" s="2234" t="str">
        <f>'Part V-Revenues &amp; Expenses'!$O$53</f>
        <v>40% of Units at 60% of AMI</v>
      </c>
      <c r="L68" s="2255"/>
      <c r="M68" s="2124">
        <v>2</v>
      </c>
      <c r="N68" s="2214"/>
      <c r="O68" s="2236">
        <f>IF($F$36="New Supply",MIN($M68,O69+O70),0)</f>
        <v>2</v>
      </c>
      <c r="P68" s="2236">
        <f>IF($F$36="New Supply",MIN($M68,P69+P70),0)</f>
        <v>0</v>
      </c>
    </row>
    <row r="69" spans="1:19" s="2121" customFormat="1" ht="15.95" customHeight="1">
      <c r="A69" s="2138"/>
      <c r="B69" s="2332"/>
      <c r="C69" s="2237" t="s">
        <v>3811</v>
      </c>
      <c r="G69" s="2121" t="s">
        <v>3812</v>
      </c>
      <c r="I69" s="2238"/>
      <c r="J69" s="2239">
        <f>'Part V-Revenues &amp; Expenses'!$B$50</f>
        <v>57.678571428571431</v>
      </c>
      <c r="L69" s="2185"/>
      <c r="M69" s="2123">
        <v>2</v>
      </c>
      <c r="N69" s="2377"/>
      <c r="O69" s="2240">
        <v>2</v>
      </c>
      <c r="P69" s="2241"/>
      <c r="Q69" s="2242" t="str">
        <f>IF(OR($O69=$M69,$O69=0,$O69=""),"","*CHECK!*")</f>
        <v/>
      </c>
      <c r="R69" s="2305"/>
    </row>
    <row r="70" spans="1:19" s="2121" customFormat="1" ht="15.95" customHeight="1">
      <c r="A70" s="2235"/>
      <c r="B70" s="2332"/>
      <c r="C70" s="2237" t="s">
        <v>3813</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1842</v>
      </c>
      <c r="B72" s="2233" t="s">
        <v>6879</v>
      </c>
      <c r="G72" s="2186" t="s">
        <v>6844</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1729</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3366</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1840</v>
      </c>
      <c r="B78" s="2131" t="s">
        <v>1736</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1842</v>
      </c>
      <c r="B79" s="2131" t="s">
        <v>3278</v>
      </c>
      <c r="H79" s="2254"/>
      <c r="I79" s="2118"/>
      <c r="J79" s="2118"/>
      <c r="K79" s="2118"/>
      <c r="L79" s="2118"/>
      <c r="M79" s="2123" t="s">
        <v>1164</v>
      </c>
      <c r="N79" s="2254"/>
      <c r="O79" s="2414"/>
      <c r="P79" s="2415"/>
      <c r="R79" s="2305"/>
    </row>
    <row r="80" spans="1:19" ht="15.95" customHeight="1" thickBot="1">
      <c r="A80" s="2121"/>
      <c r="B80" s="2260" t="s">
        <v>3239</v>
      </c>
      <c r="C80" s="2121"/>
      <c r="D80" s="2121"/>
      <c r="E80" s="2121"/>
      <c r="F80" s="2121"/>
      <c r="G80" s="2121"/>
      <c r="H80" s="2121"/>
      <c r="I80" s="2411"/>
      <c r="J80" s="2411"/>
      <c r="K80" s="2411"/>
      <c r="L80" s="2411"/>
      <c r="M80" s="2123"/>
      <c r="O80" s="2133"/>
    </row>
    <row r="81" spans="1:21" ht="15.95" customHeight="1" thickTop="1" thickBot="1">
      <c r="A81" s="3867" t="s">
        <v>7089</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1729</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2413</v>
      </c>
      <c r="H86" s="2412"/>
      <c r="I86" s="2233"/>
      <c r="J86" s="2210"/>
      <c r="K86" s="2124"/>
      <c r="L86" s="2210"/>
      <c r="M86" s="2124">
        <v>6</v>
      </c>
      <c r="N86" s="2254"/>
      <c r="O86" s="2266">
        <f>IF($F$36="New Supply",MAX(O94,O97),0)</f>
        <v>3</v>
      </c>
      <c r="P86" s="2266">
        <f>IF($F$36="New Supply",MAX(P94,P97),0)</f>
        <v>0</v>
      </c>
      <c r="Q86" s="2203" t="s">
        <v>416</v>
      </c>
      <c r="R86" s="2267"/>
      <c r="S86" s="2271" t="s">
        <v>6262</v>
      </c>
      <c r="T86" s="2271" t="s">
        <v>6143</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3325</v>
      </c>
      <c r="F88" s="4016" t="s">
        <v>3214</v>
      </c>
      <c r="G88" s="4016"/>
      <c r="H88" s="4016"/>
      <c r="I88" s="4016"/>
      <c r="J88" s="4016" t="s">
        <v>3215</v>
      </c>
      <c r="K88" s="4016"/>
      <c r="L88" s="4016"/>
      <c r="M88" s="4016"/>
      <c r="N88" s="2254"/>
      <c r="O88" s="3860" t="s">
        <v>6845</v>
      </c>
      <c r="P88" s="3860"/>
      <c r="R88" s="2157"/>
      <c r="S88" s="2275">
        <v>0.5</v>
      </c>
      <c r="T88" s="2275">
        <v>4.5</v>
      </c>
      <c r="U88" s="2267"/>
    </row>
    <row r="89" spans="1:21" ht="15.95" customHeight="1">
      <c r="B89" s="2272"/>
      <c r="C89" s="2420" t="s">
        <v>6846</v>
      </c>
      <c r="F89" s="4008">
        <v>33.720714000000001</v>
      </c>
      <c r="G89" s="4009"/>
      <c r="H89" s="4010"/>
      <c r="I89" s="4011"/>
      <c r="J89" s="4008">
        <v>-84.736560999999995</v>
      </c>
      <c r="K89" s="4009"/>
      <c r="L89" s="4010"/>
      <c r="M89" s="4011"/>
      <c r="N89" s="2120"/>
      <c r="O89" s="3861"/>
      <c r="P89" s="3861"/>
      <c r="R89" s="2274" t="s">
        <v>6669</v>
      </c>
      <c r="S89" s="2280">
        <v>1</v>
      </c>
      <c r="T89" s="2280">
        <v>4</v>
      </c>
      <c r="U89" s="2267"/>
    </row>
    <row r="90" spans="1:21" ht="15.95" customHeight="1">
      <c r="A90" s="2272"/>
      <c r="B90" s="2158"/>
      <c r="C90" s="2420" t="s">
        <v>6847</v>
      </c>
      <c r="F90" s="4012">
        <v>33.722659</v>
      </c>
      <c r="G90" s="4013"/>
      <c r="H90" s="4014"/>
      <c r="I90" s="4015"/>
      <c r="J90" s="4012">
        <v>-84.734720999999993</v>
      </c>
      <c r="K90" s="4013"/>
      <c r="L90" s="4014"/>
      <c r="M90" s="4015"/>
      <c r="N90" s="2254"/>
      <c r="O90" s="2276">
        <v>0.2</v>
      </c>
      <c r="P90" s="2277"/>
      <c r="R90" s="2278"/>
      <c r="S90" s="2281">
        <v>0.25</v>
      </c>
      <c r="T90" s="2281">
        <v>3</v>
      </c>
      <c r="U90" s="2267"/>
    </row>
    <row r="91" spans="1:21" ht="15.95" customHeight="1">
      <c r="A91" s="2158"/>
      <c r="B91" s="4005" t="s">
        <v>6885</v>
      </c>
      <c r="C91" s="4005"/>
      <c r="D91" s="4005"/>
      <c r="E91" s="4005"/>
      <c r="F91" s="2139" t="s">
        <v>6848</v>
      </c>
      <c r="G91" s="4007" t="s">
        <v>1672</v>
      </c>
      <c r="H91" s="4007"/>
      <c r="I91" s="4007"/>
      <c r="J91" s="4007" t="s">
        <v>6882</v>
      </c>
      <c r="K91" s="4007"/>
      <c r="L91" s="4007"/>
      <c r="M91" s="4007"/>
      <c r="N91" s="4007"/>
      <c r="O91" s="4007"/>
      <c r="P91" s="4007"/>
      <c r="R91" s="2279"/>
      <c r="S91" s="2275">
        <v>0.5</v>
      </c>
      <c r="T91" s="2275">
        <v>2</v>
      </c>
      <c r="U91" s="2267"/>
    </row>
    <row r="92" spans="1:21" ht="15.95" customHeight="1">
      <c r="A92" s="2158"/>
      <c r="B92" s="3928" t="s">
        <v>7090</v>
      </c>
      <c r="C92" s="3928"/>
      <c r="D92" s="3928"/>
      <c r="E92" s="3928"/>
      <c r="F92" s="2416" t="s">
        <v>7091</v>
      </c>
      <c r="G92" s="4006" t="s">
        <v>7092</v>
      </c>
      <c r="H92" s="4006"/>
      <c r="I92" s="4006"/>
      <c r="J92" s="4006" t="s">
        <v>7093</v>
      </c>
      <c r="K92" s="4006"/>
      <c r="L92" s="4006"/>
      <c r="M92" s="4006"/>
      <c r="N92" s="4006"/>
      <c r="O92" s="4006"/>
      <c r="P92" s="4006"/>
      <c r="R92" s="2274" t="s">
        <v>6670</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1840</v>
      </c>
      <c r="B94" s="2131" t="s">
        <v>3236</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1843</v>
      </c>
      <c r="C95" s="3876" t="s">
        <v>6877</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1845</v>
      </c>
      <c r="C96" s="2121" t="s">
        <v>6878</v>
      </c>
      <c r="D96" s="2121"/>
      <c r="E96" s="2121"/>
      <c r="F96" s="2121"/>
      <c r="G96" s="2121"/>
      <c r="H96" s="2121"/>
      <c r="I96" s="2121"/>
      <c r="J96" s="4004"/>
      <c r="K96" s="4004"/>
      <c r="L96" s="4004"/>
      <c r="M96" s="2123">
        <v>5</v>
      </c>
      <c r="N96" s="2144"/>
      <c r="O96" s="2258"/>
      <c r="P96" s="2259"/>
    </row>
    <row r="97" spans="1:21" s="2157" customFormat="1" ht="15.95" customHeight="1">
      <c r="A97" s="2283" t="s">
        <v>1842</v>
      </c>
      <c r="B97" s="2289" t="s">
        <v>3237</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1843</v>
      </c>
      <c r="C98" s="2121" t="s">
        <v>6849</v>
      </c>
      <c r="D98" s="2255"/>
      <c r="E98" s="2255"/>
      <c r="F98" s="2255"/>
      <c r="G98" s="2255"/>
      <c r="H98" s="2255"/>
      <c r="I98" s="2255"/>
      <c r="J98" s="2293"/>
      <c r="K98" s="2293"/>
      <c r="L98" s="2293"/>
      <c r="M98" s="2123">
        <v>3</v>
      </c>
      <c r="N98" s="2144"/>
      <c r="O98" s="2294">
        <v>3</v>
      </c>
      <c r="P98" s="2295"/>
      <c r="U98" s="2157"/>
    </row>
    <row r="99" spans="1:21" ht="15.95" customHeight="1">
      <c r="A99" s="2210" t="s">
        <v>1275</v>
      </c>
      <c r="B99" s="2292" t="s">
        <v>1845</v>
      </c>
      <c r="C99" s="2121" t="s">
        <v>6884</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76" t="s">
        <v>6883</v>
      </c>
      <c r="D100" s="3876"/>
      <c r="E100" s="3876"/>
      <c r="F100" s="3876"/>
      <c r="G100" s="3876"/>
      <c r="H100" s="3876"/>
      <c r="I100" s="3876"/>
      <c r="J100" s="3876"/>
      <c r="K100" s="3876"/>
      <c r="L100" s="3876"/>
      <c r="M100" s="2286">
        <v>2</v>
      </c>
      <c r="N100" s="2413"/>
      <c r="O100" s="2418"/>
      <c r="P100" s="2419"/>
    </row>
    <row r="101" spans="1:21" ht="15.95" customHeight="1" thickBot="1">
      <c r="A101" s="2121"/>
      <c r="B101" s="2260" t="s">
        <v>3239</v>
      </c>
      <c r="C101" s="2121"/>
      <c r="D101" s="2121"/>
      <c r="E101" s="2121"/>
      <c r="F101" s="2121"/>
      <c r="G101" s="2121"/>
      <c r="H101" s="2121"/>
      <c r="K101" s="2121"/>
      <c r="M101" s="2123"/>
      <c r="O101" s="2133"/>
    </row>
    <row r="102" spans="1:21" ht="15.95" customHeight="1" thickTop="1" thickBot="1">
      <c r="A102" s="3867" t="s">
        <v>7109</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1729</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6147</v>
      </c>
      <c r="C106" s="2161"/>
      <c r="D106" s="2161"/>
      <c r="E106" s="2161"/>
      <c r="G106" s="2124"/>
      <c r="H106" s="2305"/>
      <c r="M106" s="2124">
        <v>3</v>
      </c>
      <c r="N106" s="2250"/>
      <c r="O106" s="2446">
        <v>2</v>
      </c>
      <c r="P106" s="2447"/>
      <c r="Q106" s="2242" t="str">
        <f>IF(OR($O106&lt;=$M106,$O106=0,$O106=""),"","*CHECK!*")</f>
        <v/>
      </c>
      <c r="R106" s="2303" t="s">
        <v>416</v>
      </c>
      <c r="S106" s="2305"/>
    </row>
    <row r="107" spans="1:21" ht="23.25" customHeight="1">
      <c r="B107" s="2434"/>
      <c r="C107" s="2434"/>
      <c r="D107" s="2434"/>
      <c r="E107" s="2433"/>
      <c r="F107" s="3864" t="s">
        <v>6908</v>
      </c>
      <c r="G107" s="3864"/>
      <c r="H107" s="3864" t="s">
        <v>6909</v>
      </c>
      <c r="I107" s="3864"/>
      <c r="J107" s="3998" t="s">
        <v>6933</v>
      </c>
      <c r="K107" s="3999"/>
      <c r="L107" s="3862" t="s">
        <v>6888</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6628</v>
      </c>
      <c r="C109" s="2436"/>
      <c r="D109" s="2433"/>
      <c r="E109" s="2433"/>
      <c r="F109" s="3865"/>
      <c r="G109" s="3865"/>
      <c r="H109" s="3865"/>
      <c r="I109" s="3865"/>
      <c r="J109" s="4002"/>
      <c r="K109" s="4003"/>
      <c r="L109" s="3865"/>
      <c r="M109" s="3865"/>
      <c r="N109" s="3865"/>
      <c r="O109" s="3866"/>
      <c r="P109" s="2304"/>
    </row>
    <row r="110" spans="1:21" ht="15.95" customHeight="1">
      <c r="B110" s="3986" t="s">
        <v>7094</v>
      </c>
      <c r="C110" s="3987"/>
      <c r="D110" s="3987"/>
      <c r="E110" s="3988"/>
      <c r="F110" s="3996"/>
      <c r="G110" s="3997"/>
      <c r="H110" s="3996" t="s">
        <v>2648</v>
      </c>
      <c r="I110" s="3997"/>
      <c r="J110" s="3855"/>
      <c r="K110" s="3857"/>
      <c r="L110" s="3855"/>
      <c r="M110" s="3856"/>
      <c r="N110" s="3856"/>
      <c r="O110" s="3857"/>
      <c r="P110" s="2257"/>
    </row>
    <row r="111" spans="1:21" ht="15.95" customHeight="1">
      <c r="B111" s="3980" t="s">
        <v>7095</v>
      </c>
      <c r="C111" s="3981"/>
      <c r="D111" s="3981"/>
      <c r="E111" s="3982"/>
      <c r="F111" s="3993" t="s">
        <v>2648</v>
      </c>
      <c r="G111" s="3994"/>
      <c r="H111" s="3993" t="s">
        <v>2648</v>
      </c>
      <c r="I111" s="3994"/>
      <c r="J111" s="3852" t="s">
        <v>2648</v>
      </c>
      <c r="K111" s="3854"/>
      <c r="L111" s="3852" t="s">
        <v>2648</v>
      </c>
      <c r="M111" s="3853"/>
      <c r="N111" s="3853"/>
      <c r="O111" s="3854"/>
      <c r="P111" s="2270"/>
    </row>
    <row r="112" spans="1:21" ht="15.95" customHeight="1">
      <c r="B112" s="3980" t="s">
        <v>7096</v>
      </c>
      <c r="C112" s="3981"/>
      <c r="D112" s="3981"/>
      <c r="E112" s="3982"/>
      <c r="F112" s="3993" t="s">
        <v>2648</v>
      </c>
      <c r="G112" s="3994"/>
      <c r="H112" s="3993"/>
      <c r="I112" s="3994"/>
      <c r="J112" s="3852" t="s">
        <v>2648</v>
      </c>
      <c r="K112" s="3854"/>
      <c r="L112" s="3852" t="s">
        <v>2648</v>
      </c>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3239</v>
      </c>
      <c r="C116" s="2121"/>
      <c r="D116" s="2121"/>
      <c r="E116" s="2121"/>
      <c r="F116" s="2121"/>
      <c r="G116" s="2121"/>
      <c r="H116" s="2121"/>
      <c r="I116" s="2121"/>
      <c r="J116" s="2121"/>
      <c r="K116" s="2121"/>
      <c r="M116" s="2123"/>
      <c r="O116" s="2133"/>
    </row>
    <row r="117" spans="1:21" ht="15.95" customHeight="1" thickTop="1" thickBot="1">
      <c r="A117" s="3867" t="s">
        <v>7129</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1729</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3338</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1840</v>
      </c>
      <c r="B123" s="2131" t="s">
        <v>6175</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6850</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6886</v>
      </c>
      <c r="D125" s="2157"/>
      <c r="E125" s="2157"/>
      <c r="F125" s="2157"/>
      <c r="G125" s="2157"/>
      <c r="H125" s="2157"/>
      <c r="I125" s="2157"/>
      <c r="J125" s="2157"/>
      <c r="K125" s="2157"/>
      <c r="L125" s="2310"/>
      <c r="M125" s="3986" t="s">
        <v>6851</v>
      </c>
      <c r="N125" s="3987"/>
      <c r="O125" s="3987"/>
      <c r="P125" s="3988"/>
      <c r="S125" s="2118"/>
      <c r="T125" s="2118"/>
      <c r="U125" s="2118"/>
    </row>
    <row r="126" spans="1:21" s="2121" customFormat="1" ht="15.95" customHeight="1">
      <c r="B126" s="2254"/>
      <c r="C126" s="2121" t="s">
        <v>6852</v>
      </c>
      <c r="L126" s="2254"/>
      <c r="M126" s="3980" t="s">
        <v>6851</v>
      </c>
      <c r="N126" s="3981"/>
      <c r="O126" s="3981"/>
      <c r="P126" s="3982"/>
      <c r="S126" s="2118"/>
      <c r="T126" s="2118"/>
      <c r="U126" s="2118"/>
    </row>
    <row r="127" spans="1:21" s="2121" customFormat="1" ht="15.95" customHeight="1">
      <c r="B127" s="2254"/>
      <c r="C127" s="2121" t="s">
        <v>6853</v>
      </c>
      <c r="L127" s="2254"/>
      <c r="M127" s="3980" t="s">
        <v>6851</v>
      </c>
      <c r="N127" s="3981"/>
      <c r="O127" s="3981"/>
      <c r="P127" s="3982"/>
      <c r="Q127" s="2312">
        <f>IF(K127="Yes",1,0)</f>
        <v>0</v>
      </c>
      <c r="S127" s="2118"/>
      <c r="T127" s="2118"/>
      <c r="U127" s="2118"/>
    </row>
    <row r="128" spans="1:21" s="2121" customFormat="1" ht="15.95" customHeight="1">
      <c r="A128" s="2254"/>
      <c r="B128" s="2254"/>
      <c r="C128" s="2121" t="s">
        <v>6854</v>
      </c>
      <c r="L128" s="2254"/>
      <c r="M128" s="3980" t="s">
        <v>6851</v>
      </c>
      <c r="N128" s="3981"/>
      <c r="O128" s="3981"/>
      <c r="P128" s="3982"/>
      <c r="Q128" s="2312">
        <f>IF(K128="Yes",1,0)</f>
        <v>0</v>
      </c>
      <c r="S128" s="2118"/>
      <c r="T128" s="2118"/>
      <c r="U128" s="2118"/>
    </row>
    <row r="129" spans="1:22" s="2121" customFormat="1" ht="15.95" customHeight="1">
      <c r="A129" s="2254"/>
      <c r="B129" s="2254"/>
      <c r="C129" s="2121" t="s">
        <v>6891</v>
      </c>
      <c r="L129" s="2254"/>
      <c r="M129" s="3983" t="s">
        <v>6851</v>
      </c>
      <c r="N129" s="3984"/>
      <c r="O129" s="3984"/>
      <c r="P129" s="3985"/>
      <c r="Q129" s="2312"/>
      <c r="S129" s="2118"/>
      <c r="T129" s="2118"/>
      <c r="U129" s="2118"/>
      <c r="V129" s="2312"/>
    </row>
    <row r="130" spans="1:22" ht="15.95" customHeight="1">
      <c r="A130" s="2311"/>
      <c r="B130" s="2307" t="s">
        <v>1843</v>
      </c>
      <c r="C130" s="2233" t="s">
        <v>6890</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1845</v>
      </c>
      <c r="C131" s="2233" t="s">
        <v>6250</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6855</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6899</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6856</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1842</v>
      </c>
      <c r="B135" s="2131" t="s">
        <v>3820</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3239</v>
      </c>
      <c r="M136" s="2123"/>
      <c r="N136" s="2123"/>
      <c r="O136" s="2133"/>
      <c r="P136" s="2124"/>
    </row>
    <row r="137" spans="1:22" ht="15.95" customHeight="1" thickTop="1" thickBot="1">
      <c r="A137" s="3867" t="s">
        <v>7068</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1729</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3339</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6251</v>
      </c>
      <c r="C143" s="2161"/>
      <c r="D143" s="2161"/>
      <c r="E143" s="2161"/>
      <c r="F143" s="2161"/>
      <c r="G143" s="2161"/>
      <c r="H143" s="2161"/>
      <c r="L143" s="2322"/>
      <c r="M143" s="2124"/>
      <c r="N143" s="2250"/>
      <c r="O143" s="2251"/>
      <c r="P143" s="2323"/>
      <c r="Q143" s="2203"/>
      <c r="R143" s="2305"/>
    </row>
    <row r="144" spans="1:22" ht="15.95" customHeight="1">
      <c r="A144" s="2142"/>
      <c r="B144" s="2121" t="s">
        <v>3672</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t="s">
        <v>7050</v>
      </c>
      <c r="P144" s="2257"/>
      <c r="Q144" s="2203"/>
      <c r="R144" s="2118"/>
      <c r="S144" s="2118"/>
      <c r="T144" s="2118"/>
      <c r="U144" s="2118"/>
    </row>
    <row r="145" spans="1:27" ht="33.950000000000003" customHeight="1">
      <c r="A145" s="2142"/>
      <c r="B145" s="3941" t="s">
        <v>6898</v>
      </c>
      <c r="C145" s="3941"/>
      <c r="D145" s="3941"/>
      <c r="E145" s="3941"/>
      <c r="F145" s="3941"/>
      <c r="G145" s="3941"/>
      <c r="H145" s="3941"/>
      <c r="I145" s="3941"/>
      <c r="J145" s="3941"/>
      <c r="K145" s="3941"/>
      <c r="L145" s="3941"/>
      <c r="M145" s="3941"/>
      <c r="N145" s="2124"/>
      <c r="O145" s="2325" t="s">
        <v>7050</v>
      </c>
      <c r="P145" s="2326"/>
      <c r="Q145" s="2203"/>
      <c r="R145" s="2118"/>
      <c r="S145" s="2118"/>
      <c r="T145" s="2118"/>
      <c r="U145" s="2118"/>
    </row>
    <row r="146" spans="1:27" ht="15.95" customHeight="1" thickBot="1">
      <c r="A146" s="2121"/>
      <c r="B146" s="2260" t="s">
        <v>3239</v>
      </c>
      <c r="C146" s="2121"/>
      <c r="D146" s="2121"/>
      <c r="E146" s="2121"/>
      <c r="F146" s="2121"/>
      <c r="G146" s="2121"/>
      <c r="H146" s="2121"/>
      <c r="I146" s="2121"/>
      <c r="M146" s="2123"/>
      <c r="O146" s="2133"/>
    </row>
    <row r="147" spans="1:27" ht="15.95" customHeight="1" thickTop="1" thickBot="1">
      <c r="A147" s="3867" t="s">
        <v>7068</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1729</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8</v>
      </c>
      <c r="P152" s="2202">
        <f>IF($F$36="New Supply",MIN($M$152,P153+P157),0)</f>
        <v>0</v>
      </c>
      <c r="Q152" s="2203" t="s">
        <v>416</v>
      </c>
      <c r="R152" s="2305"/>
      <c r="S152" s="2118"/>
      <c r="T152" s="2118"/>
      <c r="U152" s="2118"/>
      <c r="V152" s="2120"/>
      <c r="W152" s="2120"/>
      <c r="X152" s="2120"/>
    </row>
    <row r="153" spans="1:27" s="2121" customFormat="1" ht="15.95" customHeight="1">
      <c r="A153" s="2329" t="s">
        <v>1840</v>
      </c>
      <c r="B153" s="2131" t="s">
        <v>3821</v>
      </c>
      <c r="D153" s="2143"/>
      <c r="E153" s="2143"/>
      <c r="K153" s="2330"/>
      <c r="M153" s="2123">
        <v>5</v>
      </c>
      <c r="N153" s="2254"/>
      <c r="O153" s="2308">
        <v>4</v>
      </c>
      <c r="P153" s="2309"/>
      <c r="Q153" s="2242" t="str">
        <f>IF(O153&lt;=M153,"","*CHECK!*")</f>
        <v/>
      </c>
      <c r="R153" s="2305"/>
      <c r="S153" s="2118"/>
      <c r="T153" s="2118"/>
      <c r="U153" s="2118"/>
    </row>
    <row r="154" spans="1:27" ht="15.95" customHeight="1">
      <c r="B154" s="2329"/>
      <c r="C154" s="2121" t="s">
        <v>6253</v>
      </c>
      <c r="D154" s="2121"/>
      <c r="E154" s="2143"/>
      <c r="F154" s="2143"/>
      <c r="G154" s="2121"/>
      <c r="H154" s="2121"/>
      <c r="I154" s="2121"/>
      <c r="J154" s="3972" t="s">
        <v>7097</v>
      </c>
      <c r="K154" s="3973"/>
      <c r="L154" s="3974" t="s">
        <v>3203</v>
      </c>
      <c r="M154" s="3975"/>
      <c r="N154" s="2123"/>
      <c r="R154" s="2203"/>
      <c r="S154" s="2121"/>
    </row>
    <row r="155" spans="1:27" ht="15.95" customHeight="1">
      <c r="C155" s="2331" t="s">
        <v>6892</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1842</v>
      </c>
      <c r="B157" s="2332" t="s">
        <v>6212</v>
      </c>
      <c r="K157" s="2254"/>
      <c r="L157" s="2254"/>
      <c r="M157" s="2123">
        <v>4</v>
      </c>
      <c r="N157" s="2254"/>
      <c r="O157" s="2308">
        <v>4</v>
      </c>
      <c r="P157" s="2309"/>
      <c r="Q157" s="2242" t="str">
        <f>IF(O157&lt;=M157,"","*CHECK!*")</f>
        <v/>
      </c>
      <c r="R157" s="2305"/>
      <c r="S157" s="2118"/>
      <c r="T157" s="2118"/>
      <c r="U157" s="2118"/>
    </row>
    <row r="158" spans="1:27" ht="15.95" customHeight="1">
      <c r="C158" s="2333" t="s">
        <v>6218</v>
      </c>
      <c r="E158" s="3979" t="s">
        <v>6217</v>
      </c>
      <c r="F158" s="3979"/>
      <c r="G158" s="3979"/>
      <c r="H158" s="3979"/>
      <c r="I158" s="2139" t="s">
        <v>6893</v>
      </c>
      <c r="J158" s="3979" t="s">
        <v>6217</v>
      </c>
      <c r="K158" s="3979"/>
      <c r="L158" s="3979"/>
      <c r="M158" s="3979"/>
      <c r="N158" s="2120"/>
      <c r="O158" s="2120"/>
      <c r="P158" s="2120"/>
    </row>
    <row r="159" spans="1:27" ht="15.95" customHeight="1">
      <c r="C159" s="2121" t="s">
        <v>6216</v>
      </c>
      <c r="E159" s="3966" t="s">
        <v>7098</v>
      </c>
      <c r="F159" s="3967"/>
      <c r="G159" s="3967"/>
      <c r="H159" s="3968"/>
      <c r="I159" s="2441">
        <v>2020</v>
      </c>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6213</v>
      </c>
      <c r="E160" s="3966" t="s">
        <v>7098</v>
      </c>
      <c r="F160" s="3967"/>
      <c r="G160" s="3967"/>
      <c r="H160" s="3968"/>
      <c r="I160" s="2442">
        <v>2020</v>
      </c>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6214</v>
      </c>
      <c r="E161" s="3958" t="s">
        <v>7099</v>
      </c>
      <c r="F161" s="3959"/>
      <c r="G161" s="3959"/>
      <c r="H161" s="3960"/>
      <c r="I161" s="2443">
        <v>2020</v>
      </c>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3239</v>
      </c>
      <c r="C164" s="2121"/>
      <c r="D164" s="2121"/>
      <c r="E164" s="2121"/>
      <c r="F164" s="2121"/>
      <c r="G164" s="2121"/>
      <c r="H164" s="2121"/>
      <c r="I164" s="2121"/>
      <c r="J164" s="2121"/>
      <c r="K164" s="2121"/>
      <c r="M164" s="2123"/>
      <c r="O164" s="2133"/>
    </row>
    <row r="165" spans="1:27" ht="15.95" customHeight="1" thickTop="1" thickBot="1">
      <c r="A165" s="3867" t="s">
        <v>7100</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1729</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4033</v>
      </c>
      <c r="G171" s="2123" t="s">
        <v>3151</v>
      </c>
      <c r="H171" s="2339">
        <f>IF('Part V-Revenues &amp; Expenses'!$P$67=0,0,'Part V-Revenues &amp; Expenses'!$P$64/'Part V-Revenues &amp; Expenses'!$P$67)</f>
        <v>0</v>
      </c>
      <c r="K171" s="3964" t="str">
        <f>'Part V-Revenues &amp; Expenses'!$O$53</f>
        <v>40% of Units at 60% of AMI</v>
      </c>
      <c r="L171" s="3965"/>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1840</v>
      </c>
      <c r="B172" s="2227" t="s">
        <v>3956</v>
      </c>
      <c r="M172" s="2123">
        <v>1</v>
      </c>
      <c r="N172" s="2254"/>
      <c r="O172" s="2314"/>
      <c r="P172" s="2315"/>
      <c r="Q172" s="2320" t="str">
        <f>IF(OR($O172=$M172,$O172=0,$O172=""),"","*CHECK!*")</f>
        <v/>
      </c>
      <c r="R172" s="2305"/>
    </row>
    <row r="173" spans="1:27" ht="15.95" customHeight="1">
      <c r="A173" s="2124" t="s">
        <v>1842</v>
      </c>
      <c r="B173" s="2227" t="s">
        <v>3811</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1729</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3340</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1840</v>
      </c>
      <c r="B181" s="2341" t="s">
        <v>3261</v>
      </c>
      <c r="D181" s="2184"/>
      <c r="E181" s="2184"/>
      <c r="F181" s="2184"/>
      <c r="G181" s="2184"/>
      <c r="H181" s="2184"/>
      <c r="L181" s="2184"/>
      <c r="M181" s="3956" t="str">
        <f>IF(AND(O181="Yes",O182="Yes"),"Only one category can be selected!","")</f>
        <v/>
      </c>
      <c r="N181" s="2254"/>
      <c r="O181" s="2256" t="s">
        <v>7050</v>
      </c>
      <c r="P181" s="2257"/>
      <c r="Q181" s="2342"/>
      <c r="R181" s="2118"/>
      <c r="S181" s="2118"/>
      <c r="T181" s="2118"/>
      <c r="U181" s="2118"/>
      <c r="V181" s="2118"/>
    </row>
    <row r="182" spans="1:27" ht="15.95" customHeight="1">
      <c r="A182" s="2124" t="s">
        <v>1842</v>
      </c>
      <c r="B182" s="2341" t="s">
        <v>3262</v>
      </c>
      <c r="D182" s="2184"/>
      <c r="L182" s="2184"/>
      <c r="M182" s="3956"/>
      <c r="N182" s="2254"/>
      <c r="O182" s="2246" t="s">
        <v>7050</v>
      </c>
      <c r="P182" s="2247"/>
      <c r="Q182" s="2342"/>
      <c r="R182" s="2118"/>
      <c r="S182" s="2118"/>
      <c r="T182" s="2118"/>
      <c r="U182" s="2118"/>
      <c r="V182" s="2118"/>
    </row>
    <row r="183" spans="1:27" ht="15.95" customHeight="1" thickBot="1">
      <c r="A183" s="2121"/>
      <c r="B183" s="2260" t="s">
        <v>3239</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7068</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1729</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4035</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6255</v>
      </c>
      <c r="C190" s="2157"/>
      <c r="D190" s="2157"/>
      <c r="E190" s="2157"/>
      <c r="F190" s="2157"/>
      <c r="G190" s="2139" t="s">
        <v>6857</v>
      </c>
      <c r="H190" s="3848" t="s">
        <v>574</v>
      </c>
      <c r="I190" s="3848"/>
      <c r="J190" s="3848"/>
      <c r="K190" s="3957" t="s">
        <v>6929</v>
      </c>
      <c r="L190" s="3957"/>
      <c r="M190" s="3957"/>
      <c r="N190" s="2310"/>
      <c r="O190" s="2346" t="s">
        <v>7050</v>
      </c>
      <c r="P190" s="2347"/>
      <c r="Q190" s="2348"/>
      <c r="R190" s="2158"/>
      <c r="S190" s="2158"/>
      <c r="T190" s="2158"/>
      <c r="W190" s="2158"/>
      <c r="X190" s="2158"/>
      <c r="Y190" s="2158"/>
      <c r="Z190" s="2158"/>
      <c r="AA190" s="2158"/>
    </row>
    <row r="191" spans="1:27" ht="15.95" customHeight="1">
      <c r="A191" s="2285"/>
      <c r="B191" s="2285"/>
      <c r="D191" s="2186" t="s">
        <v>6256</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6257</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3239</v>
      </c>
      <c r="C194" s="2121"/>
      <c r="D194" s="2121"/>
      <c r="E194" s="2121"/>
      <c r="F194" s="2121"/>
      <c r="G194" s="2121"/>
      <c r="H194" s="2121"/>
      <c r="I194" s="2121"/>
      <c r="J194" s="2121"/>
      <c r="K194" s="2121"/>
      <c r="M194" s="2123"/>
      <c r="O194" s="2133"/>
    </row>
    <row r="195" spans="1:24" ht="15.95" customHeight="1" thickTop="1" thickBot="1">
      <c r="A195" s="3867" t="s">
        <v>7068</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1729</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2494</v>
      </c>
      <c r="B200" s="2143" t="s">
        <v>3959</v>
      </c>
      <c r="G200" s="2282"/>
      <c r="L200" s="2235" t="str">
        <f>IF(AND(SUM(O201,O202,O203)&gt;0,NOT($F$36="New Supply"),NOT($O$36="9%")), "Ineligible to score in this section, not New Supply and 9%!","")</f>
        <v/>
      </c>
      <c r="M200" s="2124">
        <v>5</v>
      </c>
      <c r="N200" s="2123"/>
      <c r="O200" s="2202">
        <f>IF(AND($F$36="New Supply",$O$36="9%"),MIN($M200,MAX(O201,O202,O203)),0)</f>
        <v>5</v>
      </c>
      <c r="P200" s="2202">
        <f>IF(AND($F$36="New Supply",$O$36="9%"),MIN($M200,MAX(P201,P202,P203)),0)</f>
        <v>0</v>
      </c>
      <c r="Q200" s="2203" t="s">
        <v>416</v>
      </c>
      <c r="R200" s="2305"/>
      <c r="S200" s="2118"/>
      <c r="T200" s="2118"/>
      <c r="U200" s="2118"/>
      <c r="V200" s="2118"/>
      <c r="W200" s="2345"/>
      <c r="X200" s="2345"/>
    </row>
    <row r="201" spans="1:24" s="2121" customFormat="1" ht="15.95" customHeight="1">
      <c r="A201" s="2138" t="s">
        <v>1840</v>
      </c>
      <c r="B201" s="2131" t="s">
        <v>6937</v>
      </c>
      <c r="M201" s="2123">
        <v>5</v>
      </c>
      <c r="N201" s="2254"/>
      <c r="O201" s="2353">
        <v>5</v>
      </c>
      <c r="P201" s="2354"/>
      <c r="Q201" s="2320" t="str">
        <f>IF(OR($O201=$M201,$O201=$M201-1,$O201=0,$O201=""),"","*CHECK!*")</f>
        <v/>
      </c>
      <c r="R201" s="2305"/>
      <c r="S201" s="2118"/>
      <c r="T201" s="2118"/>
      <c r="U201" s="2118"/>
      <c r="V201" s="2118"/>
    </row>
    <row r="202" spans="1:24" s="2121" customFormat="1" ht="15.95" customHeight="1">
      <c r="A202" s="2138" t="s">
        <v>1842</v>
      </c>
      <c r="B202" s="2131" t="s">
        <v>6935</v>
      </c>
      <c r="M202" s="2123">
        <v>3</v>
      </c>
      <c r="N202" s="2254"/>
      <c r="O202" s="2240"/>
      <c r="P202" s="2241"/>
      <c r="Q202" s="2320" t="str">
        <f>IF(OR($O202=$M202,$O202=$M202-1,$O202=0,$O202=""),"","*CHECK!*")</f>
        <v/>
      </c>
      <c r="R202" s="2305"/>
    </row>
    <row r="203" spans="1:24" ht="15.95" customHeight="1">
      <c r="A203" s="2138" t="s">
        <v>698</v>
      </c>
      <c r="B203" s="2131" t="s">
        <v>6936</v>
      </c>
      <c r="G203" s="2226" t="s">
        <v>6228</v>
      </c>
      <c r="I203" s="2282"/>
      <c r="L203" s="2118"/>
      <c r="M203" s="2123">
        <v>3</v>
      </c>
      <c r="N203" s="2254"/>
      <c r="O203" s="2243"/>
      <c r="P203" s="2244"/>
      <c r="Q203" s="2320" t="str">
        <f>IF(OR($O203=$M203,$O203=$M203-1,$O203=0,$O203=""),"","*CHECK!*")</f>
        <v/>
      </c>
      <c r="R203" s="2305"/>
    </row>
    <row r="204" spans="1:24" ht="15.95" customHeight="1" thickBot="1">
      <c r="A204" s="2121"/>
      <c r="B204" s="2260" t="s">
        <v>3239</v>
      </c>
      <c r="C204" s="2121"/>
      <c r="D204" s="2121"/>
      <c r="E204" s="2121"/>
      <c r="F204" s="2121"/>
      <c r="G204" s="2121"/>
      <c r="H204" s="2121"/>
      <c r="I204" s="2121"/>
      <c r="J204" s="2121"/>
      <c r="K204" s="2121"/>
      <c r="M204" s="2123"/>
      <c r="O204" s="2133"/>
    </row>
    <row r="205" spans="1:24" ht="15.95" customHeight="1" thickTop="1" thickBot="1">
      <c r="A205" s="3867" t="s">
        <v>7101</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1729</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2079</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1840</v>
      </c>
      <c r="B211" s="2131" t="s">
        <v>2064</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1843</v>
      </c>
      <c r="C212" s="2226" t="s">
        <v>6611</v>
      </c>
      <c r="D212" s="2282"/>
      <c r="E212" s="2282"/>
      <c r="G212" s="2120"/>
      <c r="L212" s="2232"/>
      <c r="M212" s="2123">
        <v>3</v>
      </c>
      <c r="N212" s="2377"/>
      <c r="O212" s="2256" t="s">
        <v>2648</v>
      </c>
      <c r="P212" s="2257"/>
      <c r="Q212" s="2320"/>
      <c r="R212" s="2305"/>
      <c r="T212" s="2355"/>
      <c r="U212" s="2355"/>
    </row>
    <row r="213" spans="1:22" s="2121" customFormat="1" ht="15.95" customHeight="1">
      <c r="A213" s="2138"/>
      <c r="B213" s="2285" t="s">
        <v>1845</v>
      </c>
      <c r="C213" s="2226" t="s">
        <v>6612</v>
      </c>
      <c r="D213" s="2282"/>
      <c r="E213" s="2282"/>
      <c r="G213" s="2120"/>
      <c r="L213" s="2232"/>
      <c r="M213" s="2123">
        <v>2</v>
      </c>
      <c r="N213" s="2377"/>
      <c r="O213" s="2269" t="s">
        <v>7050</v>
      </c>
      <c r="P213" s="2270"/>
      <c r="Q213" s="2320"/>
      <c r="R213" s="2305"/>
      <c r="T213" s="2355"/>
      <c r="U213" s="2355"/>
    </row>
    <row r="214" spans="1:22" s="2121" customFormat="1" ht="15.95" customHeight="1">
      <c r="A214" s="2138"/>
      <c r="B214" s="2285" t="s">
        <v>2331</v>
      </c>
      <c r="C214" s="2226" t="s">
        <v>6613</v>
      </c>
      <c r="D214" s="2282"/>
      <c r="E214" s="2282"/>
      <c r="G214" s="2120"/>
      <c r="K214" s="2254"/>
      <c r="M214" s="2123">
        <v>1</v>
      </c>
      <c r="N214" s="2377"/>
      <c r="O214" s="2246" t="s">
        <v>7050</v>
      </c>
      <c r="P214" s="2247"/>
      <c r="R214" s="2120"/>
      <c r="T214" s="2355"/>
      <c r="U214" s="2355"/>
    </row>
    <row r="215" spans="1:22" ht="15.95" customHeight="1">
      <c r="A215" s="2138" t="s">
        <v>1842</v>
      </c>
      <c r="B215" s="2131" t="s">
        <v>3951</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6894</v>
      </c>
      <c r="C216" s="3941"/>
      <c r="D216" s="3941"/>
      <c r="E216" s="3941"/>
      <c r="F216" s="3941"/>
      <c r="G216" s="3941"/>
      <c r="H216" s="3941"/>
      <c r="I216" s="3941"/>
      <c r="J216" s="3941"/>
      <c r="K216" s="3941"/>
      <c r="L216" s="3941"/>
      <c r="M216" s="2123"/>
      <c r="N216" s="2254"/>
      <c r="O216" s="2358" t="s">
        <v>2651</v>
      </c>
      <c r="P216" s="2359"/>
      <c r="R216" s="2232"/>
      <c r="T216" s="2355"/>
      <c r="U216" s="2355"/>
    </row>
    <row r="217" spans="1:22" ht="15.95" customHeight="1">
      <c r="A217" s="2138" t="s">
        <v>698</v>
      </c>
      <c r="B217" s="2131" t="s">
        <v>3823</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6938</v>
      </c>
      <c r="C218" s="3876"/>
      <c r="D218" s="3876"/>
      <c r="E218" s="3876"/>
      <c r="F218" s="3876"/>
      <c r="G218" s="3876"/>
      <c r="H218" s="3876"/>
      <c r="I218" s="3876"/>
      <c r="J218" s="3876"/>
      <c r="K218" s="3876"/>
      <c r="L218" s="3876"/>
      <c r="M218" s="2123"/>
      <c r="N218" s="2254"/>
      <c r="O218" s="2325" t="s">
        <v>2648</v>
      </c>
      <c r="P218" s="2326"/>
      <c r="R218" s="2232"/>
      <c r="T218" s="2355"/>
      <c r="U218" s="2355"/>
    </row>
    <row r="219" spans="1:22" ht="15.95" customHeight="1">
      <c r="A219" s="2121"/>
      <c r="B219" s="2249" t="s">
        <v>1729</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3368</v>
      </c>
      <c r="B223" s="2143" t="s">
        <v>6571</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6858</v>
      </c>
      <c r="D224" s="2184"/>
      <c r="E224" s="2184"/>
      <c r="F224" s="2184"/>
      <c r="G224" s="2184"/>
      <c r="H224" s="2184"/>
      <c r="L224" s="2184"/>
      <c r="M224" s="2139"/>
      <c r="N224" s="2254"/>
      <c r="O224" s="2324" t="s">
        <v>7050</v>
      </c>
      <c r="P224" s="2369"/>
      <c r="Q224" s="2342">
        <f>IF(L224="Yes",1,0)</f>
        <v>0</v>
      </c>
      <c r="R224" s="2118"/>
      <c r="S224" s="2118"/>
      <c r="T224" s="2118"/>
      <c r="U224" s="2118"/>
      <c r="V224" s="2118"/>
    </row>
    <row r="225" spans="1:24" ht="15.75" customHeight="1">
      <c r="B225" s="3931" t="s">
        <v>6895</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3239</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7064</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1729</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3369</v>
      </c>
      <c r="B233" s="2143" t="s">
        <v>6576</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6896</v>
      </c>
      <c r="D234" s="2143"/>
      <c r="E234" s="2143"/>
      <c r="J234" s="2361"/>
      <c r="M234" s="2210"/>
      <c r="O234" s="3942" t="s">
        <v>6897</v>
      </c>
      <c r="P234" s="3942" t="s">
        <v>3149</v>
      </c>
      <c r="Q234" s="2203"/>
      <c r="R234" s="2118"/>
      <c r="S234" s="2118"/>
      <c r="T234" s="2118"/>
      <c r="U234" s="2118"/>
      <c r="V234" s="2118"/>
      <c r="W234" s="2120"/>
      <c r="X234" s="2120"/>
    </row>
    <row r="235" spans="1:24" s="2121" customFormat="1" ht="15.95" customHeight="1">
      <c r="A235" s="2142"/>
      <c r="C235" s="2121" t="s">
        <v>6691</v>
      </c>
      <c r="I235" s="3932" t="s">
        <v>2851</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6690</v>
      </c>
      <c r="I236" s="3934" t="s">
        <v>2851</v>
      </c>
      <c r="J236" s="3935"/>
      <c r="M236" s="2210"/>
      <c r="O236" s="3864"/>
      <c r="P236" s="3864"/>
      <c r="Q236" s="2203"/>
      <c r="R236" s="2118"/>
      <c r="S236" s="2118"/>
      <c r="T236" s="2118"/>
      <c r="U236" s="2118"/>
      <c r="V236" s="2118"/>
      <c r="W236" s="2120"/>
      <c r="X236" s="2120"/>
    </row>
    <row r="237" spans="1:24" s="2121" customFormat="1" ht="15.95" customHeight="1">
      <c r="A237" s="2142"/>
      <c r="C237" s="2121" t="s">
        <v>6692</v>
      </c>
      <c r="I237" s="3939" t="s">
        <v>7065</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6859</v>
      </c>
      <c r="D239" s="3941"/>
      <c r="E239" s="3941"/>
      <c r="F239" s="3941"/>
      <c r="G239" s="3941"/>
      <c r="H239" s="3941"/>
      <c r="I239" s="3941"/>
      <c r="J239" s="3941"/>
      <c r="K239" s="3941"/>
      <c r="L239" s="3941"/>
      <c r="M239" s="2121"/>
      <c r="N239" s="2254"/>
      <c r="O239" s="2246" t="s">
        <v>2648</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1840</v>
      </c>
      <c r="B241" s="2341" t="s">
        <v>6577</v>
      </c>
      <c r="D241" s="2184"/>
      <c r="E241" s="2184"/>
      <c r="G241" s="2184" t="s">
        <v>6585</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6586</v>
      </c>
      <c r="D242" s="3876"/>
      <c r="E242" s="3876"/>
      <c r="F242" s="3876"/>
      <c r="G242" s="3876"/>
      <c r="H242" s="3876"/>
      <c r="I242" s="3876"/>
      <c r="J242" s="3876"/>
      <c r="K242" s="3876"/>
      <c r="L242" s="3876"/>
      <c r="M242" s="3876"/>
      <c r="N242" s="2377"/>
      <c r="O242" s="2256" t="s">
        <v>2648</v>
      </c>
      <c r="P242" s="2257"/>
      <c r="Q242" s="2366"/>
      <c r="R242" s="2367"/>
      <c r="S242" s="2367"/>
      <c r="T242" s="2367"/>
      <c r="U242" s="2367"/>
    </row>
    <row r="243" spans="1:22" s="2157" customFormat="1" ht="29.25" customHeight="1" thickBot="1">
      <c r="A243" s="2365"/>
      <c r="B243" s="2285"/>
      <c r="C243" s="3876" t="s">
        <v>6860</v>
      </c>
      <c r="D243" s="3876"/>
      <c r="E243" s="3876"/>
      <c r="F243" s="3876"/>
      <c r="G243" s="3876"/>
      <c r="H243" s="3876"/>
      <c r="I243" s="3876"/>
      <c r="J243" s="3876"/>
      <c r="K243" s="3876"/>
      <c r="L243" s="3876"/>
      <c r="M243" s="3876"/>
      <c r="N243" s="2377"/>
      <c r="O243" s="2325" t="s">
        <v>2648</v>
      </c>
      <c r="P243" s="2326"/>
      <c r="Q243" s="2366"/>
      <c r="R243" s="2367"/>
      <c r="S243" s="2367"/>
      <c r="T243" s="2367"/>
      <c r="U243" s="2367"/>
    </row>
    <row r="244" spans="1:22" ht="15.95" customHeight="1" thickBot="1">
      <c r="A244" s="2124" t="s">
        <v>1842</v>
      </c>
      <c r="B244" s="2341" t="s">
        <v>6578</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6861</v>
      </c>
      <c r="D245" s="2184"/>
      <c r="L245" s="2184"/>
      <c r="M245" s="2139"/>
      <c r="N245" s="2254"/>
      <c r="O245" s="2256" t="s">
        <v>7050</v>
      </c>
      <c r="P245" s="2257"/>
      <c r="Q245" s="2364"/>
      <c r="R245" s="2305"/>
      <c r="S245" s="2118"/>
      <c r="T245" s="2118"/>
      <c r="U245" s="2118"/>
      <c r="V245" s="2118"/>
    </row>
    <row r="246" spans="1:22" s="2157" customFormat="1" ht="30" customHeight="1">
      <c r="A246" s="2365"/>
      <c r="B246" s="2285"/>
      <c r="C246" s="3876" t="s">
        <v>6934</v>
      </c>
      <c r="D246" s="3876"/>
      <c r="E246" s="3876"/>
      <c r="F246" s="3876"/>
      <c r="G246" s="3876"/>
      <c r="H246" s="3876"/>
      <c r="I246" s="3876"/>
      <c r="J246" s="3876"/>
      <c r="K246" s="3876"/>
      <c r="L246" s="3876"/>
      <c r="M246" s="3876"/>
      <c r="N246" s="2377"/>
      <c r="O246" s="2325" t="s">
        <v>7050</v>
      </c>
      <c r="P246" s="2326"/>
      <c r="Q246" s="2366"/>
      <c r="R246" s="2367"/>
      <c r="S246" s="2367"/>
      <c r="T246" s="2367"/>
      <c r="U246" s="2367"/>
    </row>
    <row r="247" spans="1:22" ht="15.95" customHeight="1" thickBot="1">
      <c r="A247" s="2121"/>
      <c r="B247" s="2260" t="s">
        <v>3239</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67" t="s">
        <v>7066</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1729</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3367</v>
      </c>
      <c r="B253" s="2143" t="s">
        <v>6582</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1840</v>
      </c>
      <c r="B254" s="2341" t="s">
        <v>6583</v>
      </c>
      <c r="D254" s="2184"/>
      <c r="E254" s="2184" t="s">
        <v>6594</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1842</v>
      </c>
      <c r="B255" s="2341" t="s">
        <v>6584</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3239</v>
      </c>
      <c r="C256" s="2121"/>
      <c r="D256" s="2121"/>
      <c r="E256" s="2121"/>
      <c r="F256" s="2121"/>
      <c r="G256" s="2121"/>
      <c r="H256" s="2121"/>
      <c r="I256" s="2121"/>
      <c r="J256" s="2121"/>
      <c r="K256" s="2121"/>
      <c r="M256" s="2123"/>
      <c r="O256" s="2133"/>
      <c r="R256" s="2118"/>
      <c r="S256" s="2118"/>
      <c r="T256" s="2118"/>
      <c r="U256" s="2118"/>
      <c r="V256" s="2118"/>
    </row>
    <row r="257" spans="1:19" ht="32.25" customHeight="1" thickTop="1" thickBot="1">
      <c r="A257" s="3867" t="s">
        <v>7067</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1729</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3370</v>
      </c>
      <c r="B262" s="2143" t="s">
        <v>3341</v>
      </c>
      <c r="C262" s="2227"/>
      <c r="E262" s="2121"/>
      <c r="K262" s="2121"/>
      <c r="L262" s="2121"/>
      <c r="M262" s="2124">
        <v>2</v>
      </c>
      <c r="N262" s="2123"/>
      <c r="O262" s="2123"/>
      <c r="P262" s="2421">
        <f>IF($O$36="9%",P263+P265,0)</f>
        <v>0</v>
      </c>
      <c r="Q262" s="2203" t="s">
        <v>416</v>
      </c>
    </row>
    <row r="263" spans="1:19" ht="15.95" customHeight="1">
      <c r="A263" s="2124" t="s">
        <v>1840</v>
      </c>
      <c r="B263" s="2131" t="s">
        <v>3342</v>
      </c>
      <c r="C263" s="2227"/>
      <c r="E263" s="2121"/>
      <c r="G263" s="2368"/>
      <c r="I263" s="2226"/>
      <c r="K263" s="2420"/>
      <c r="M263" s="2123">
        <v>2</v>
      </c>
      <c r="N263" s="2254"/>
      <c r="O263" s="2120"/>
      <c r="P263" s="2422"/>
      <c r="Q263" s="2203"/>
      <c r="R263" s="2305"/>
    </row>
    <row r="264" spans="1:19" s="2121" customFormat="1" ht="15.95" customHeight="1">
      <c r="A264" s="2124"/>
      <c r="B264" s="2121" t="s">
        <v>6900</v>
      </c>
      <c r="N264" s="2144"/>
      <c r="O264" s="2324" t="s">
        <v>2648</v>
      </c>
      <c r="P264" s="2369"/>
      <c r="R264" s="2232"/>
    </row>
    <row r="265" spans="1:19" ht="15.95" customHeight="1">
      <c r="A265" s="2124" t="s">
        <v>1842</v>
      </c>
      <c r="B265" s="2131" t="s">
        <v>3343</v>
      </c>
      <c r="C265" s="2227"/>
      <c r="E265" s="2121"/>
      <c r="G265" s="2368"/>
      <c r="I265" s="2186"/>
      <c r="L265" s="2139"/>
      <c r="M265" s="2123">
        <v>2</v>
      </c>
      <c r="N265" s="2254"/>
      <c r="O265" s="2120"/>
      <c r="P265" s="2369"/>
      <c r="Q265" s="2203"/>
      <c r="R265" s="2305"/>
    </row>
    <row r="266" spans="1:19" s="2121" customFormat="1" ht="15.95" customHeight="1">
      <c r="A266" s="2338"/>
      <c r="B266" s="2121" t="s">
        <v>6900</v>
      </c>
      <c r="M266" s="2124"/>
      <c r="N266" s="2144"/>
      <c r="O266" s="2324" t="s">
        <v>7050</v>
      </c>
      <c r="P266" s="2375"/>
      <c r="Q266" s="2203"/>
    </row>
    <row r="267" spans="1:19" ht="15.95" customHeight="1">
      <c r="B267" s="2249" t="s">
        <v>1729</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3371</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3152</v>
      </c>
      <c r="D272" s="2227"/>
      <c r="E272" s="2227"/>
      <c r="G272" s="2121"/>
      <c r="I272" s="3873"/>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3239</v>
      </c>
      <c r="M274" s="2123"/>
      <c r="N274" s="2123"/>
      <c r="O274" s="2133"/>
      <c r="P274" s="2124"/>
    </row>
    <row r="275" spans="1:20" ht="15.95" customHeight="1" thickTop="1" thickBot="1">
      <c r="A275" s="3867" t="s">
        <v>7068</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1729</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3374</v>
      </c>
      <c r="B280" s="2143" t="s">
        <v>3345</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1840</v>
      </c>
      <c r="B281" s="2131" t="s">
        <v>3346</v>
      </c>
      <c r="L281" s="2232" t="str">
        <f>IF(O281&lt;=M281,"","* * Check Score! * *")</f>
        <v/>
      </c>
      <c r="M281" s="2123">
        <v>3</v>
      </c>
      <c r="N281" s="2254"/>
      <c r="O281" s="2372"/>
      <c r="P281" s="2373"/>
      <c r="Q281" s="2320" t="str">
        <f>IF(O281&lt;=M281,"","*CHECK!*")</f>
        <v/>
      </c>
      <c r="R281" s="2136"/>
      <c r="S281" s="2136"/>
      <c r="T281" s="2119"/>
    </row>
    <row r="282" spans="1:20" ht="30.95" customHeight="1">
      <c r="A282" s="2313"/>
      <c r="B282" s="3929" t="s">
        <v>6862</v>
      </c>
      <c r="C282" s="3929"/>
      <c r="D282" s="3929"/>
      <c r="E282" s="3929"/>
      <c r="F282" s="3929"/>
      <c r="G282" s="3929"/>
      <c r="H282" s="3929"/>
      <c r="I282" s="3929"/>
      <c r="J282" s="3929"/>
      <c r="K282" s="3929"/>
      <c r="L282" s="3929"/>
      <c r="N282" s="2120"/>
      <c r="O282" s="2374" t="s">
        <v>7050</v>
      </c>
      <c r="P282" s="2375"/>
      <c r="R282" s="2136"/>
      <c r="S282" s="2136"/>
      <c r="T282" s="2119"/>
    </row>
    <row r="283" spans="1:20" ht="15.95" customHeight="1">
      <c r="A283" s="2313"/>
      <c r="B283" s="2423"/>
      <c r="C283" s="2157"/>
      <c r="D283" s="2157"/>
      <c r="E283" s="2157"/>
      <c r="F283" s="2157"/>
      <c r="G283" s="2157"/>
      <c r="H283" s="2157"/>
      <c r="I283" s="2157"/>
      <c r="J283" s="3930" t="s">
        <v>1847</v>
      </c>
      <c r="K283" s="3930"/>
      <c r="M283" s="3930" t="s">
        <v>1847</v>
      </c>
      <c r="N283" s="3930"/>
      <c r="O283" s="3930"/>
      <c r="P283" s="3930"/>
      <c r="R283" s="2376"/>
      <c r="S283" s="2376"/>
      <c r="T283" s="2119"/>
    </row>
    <row r="284" spans="1:20" ht="15.95" customHeight="1">
      <c r="A284" s="2254"/>
      <c r="B284" s="2377" t="s">
        <v>1843</v>
      </c>
      <c r="C284" s="2121" t="s">
        <v>1388</v>
      </c>
      <c r="I284" s="2254"/>
      <c r="J284" s="3943"/>
      <c r="K284" s="3944"/>
      <c r="L284" s="2254"/>
      <c r="M284" s="3945"/>
      <c r="N284" s="3946"/>
      <c r="O284" s="3946"/>
      <c r="P284" s="3947"/>
      <c r="R284" s="2232"/>
    </row>
    <row r="285" spans="1:20" ht="15.95" customHeight="1">
      <c r="A285" s="2230"/>
      <c r="B285" s="2214" t="s">
        <v>1845</v>
      </c>
      <c r="C285" s="2121" t="s">
        <v>3154</v>
      </c>
      <c r="I285" s="2310"/>
      <c r="J285" s="3877"/>
      <c r="K285" s="3878"/>
      <c r="L285" s="2310"/>
      <c r="M285" s="3879"/>
      <c r="N285" s="3880"/>
      <c r="O285" s="3880"/>
      <c r="P285" s="3881"/>
      <c r="R285" s="2232"/>
    </row>
    <row r="286" spans="1:20" ht="15.95" customHeight="1">
      <c r="B286" s="2377" t="s">
        <v>2331</v>
      </c>
      <c r="C286" s="2121" t="s">
        <v>3952</v>
      </c>
      <c r="I286" s="2254"/>
      <c r="J286" s="3877"/>
      <c r="K286" s="3878"/>
      <c r="L286" s="2254"/>
      <c r="M286" s="3879"/>
      <c r="N286" s="3880"/>
      <c r="O286" s="3880"/>
      <c r="P286" s="3881"/>
      <c r="R286" s="2232"/>
    </row>
    <row r="287" spans="1:20" ht="15.95" customHeight="1">
      <c r="A287" s="2230"/>
      <c r="B287" s="2377" t="s">
        <v>1150</v>
      </c>
      <c r="C287" s="2121" t="s">
        <v>3070</v>
      </c>
      <c r="I287" s="2254"/>
      <c r="J287" s="3877"/>
      <c r="K287" s="3878"/>
      <c r="L287" s="2254"/>
      <c r="M287" s="3879"/>
      <c r="N287" s="3880"/>
      <c r="O287" s="3880"/>
      <c r="P287" s="3881"/>
      <c r="R287" s="2232"/>
    </row>
    <row r="288" spans="1:20" ht="15.95" customHeight="1">
      <c r="A288" s="2254"/>
      <c r="B288" s="2214" t="s">
        <v>1151</v>
      </c>
      <c r="C288" s="2121" t="s">
        <v>2472</v>
      </c>
      <c r="I288" s="2310"/>
      <c r="J288" s="3877"/>
      <c r="K288" s="3878"/>
      <c r="L288" s="2310"/>
      <c r="M288" s="3879"/>
      <c r="N288" s="3880"/>
      <c r="O288" s="3880"/>
      <c r="P288" s="3881"/>
      <c r="R288" s="2232"/>
    </row>
    <row r="289" spans="1:26" ht="15.95" customHeight="1">
      <c r="B289" s="2377" t="s">
        <v>1741</v>
      </c>
      <c r="C289" s="2121" t="s">
        <v>1387</v>
      </c>
      <c r="I289" s="2254"/>
      <c r="J289" s="3877"/>
      <c r="K289" s="3878"/>
      <c r="L289" s="2254"/>
      <c r="M289" s="3879"/>
      <c r="N289" s="3880"/>
      <c r="O289" s="3880"/>
      <c r="P289" s="3881"/>
      <c r="R289" s="2232"/>
    </row>
    <row r="290" spans="1:26" ht="15.95" customHeight="1">
      <c r="B290" s="2377" t="s">
        <v>473</v>
      </c>
      <c r="C290" s="2121" t="s">
        <v>6231</v>
      </c>
      <c r="I290" s="2254"/>
      <c r="J290" s="3877"/>
      <c r="K290" s="3878"/>
      <c r="L290" s="2254"/>
      <c r="M290" s="2378"/>
      <c r="N290" s="2379"/>
      <c r="O290" s="2379"/>
      <c r="P290" s="2380"/>
      <c r="R290" s="2232"/>
    </row>
    <row r="291" spans="1:26" ht="15.95" customHeight="1">
      <c r="A291" s="2230"/>
      <c r="B291" s="2377" t="s">
        <v>474</v>
      </c>
      <c r="C291" s="2121" t="s">
        <v>3153</v>
      </c>
      <c r="I291" s="2254"/>
      <c r="J291" s="3877"/>
      <c r="K291" s="3878"/>
      <c r="L291" s="2254"/>
      <c r="M291" s="3879"/>
      <c r="N291" s="3880"/>
      <c r="O291" s="3880"/>
      <c r="P291" s="3881"/>
      <c r="R291" s="2232"/>
    </row>
    <row r="292" spans="1:26" ht="15.95" customHeight="1">
      <c r="B292" s="2377" t="s">
        <v>3887</v>
      </c>
      <c r="C292" s="2121" t="s">
        <v>6863</v>
      </c>
      <c r="I292" s="2254"/>
      <c r="J292" s="3877"/>
      <c r="K292" s="3878"/>
      <c r="L292" s="2254"/>
      <c r="M292" s="3879"/>
      <c r="N292" s="3880"/>
      <c r="O292" s="3880"/>
      <c r="P292" s="3881"/>
      <c r="R292" s="2232"/>
    </row>
    <row r="293" spans="1:26" ht="15.95" customHeight="1">
      <c r="B293" s="2377" t="s">
        <v>6864</v>
      </c>
      <c r="C293" s="2121" t="s">
        <v>6901</v>
      </c>
      <c r="I293" s="2254"/>
      <c r="J293" s="3877"/>
      <c r="K293" s="3878"/>
      <c r="L293" s="2254"/>
      <c r="M293" s="3879"/>
      <c r="N293" s="3880"/>
      <c r="O293" s="3880"/>
      <c r="P293" s="3881"/>
      <c r="R293" s="2232"/>
    </row>
    <row r="294" spans="1:26" ht="15.95" customHeight="1" thickBot="1">
      <c r="B294" s="2377" t="s">
        <v>6865</v>
      </c>
      <c r="C294" s="2121" t="s">
        <v>6902</v>
      </c>
      <c r="I294" s="2254"/>
      <c r="J294" s="3877"/>
      <c r="K294" s="3878"/>
      <c r="L294" s="2254"/>
      <c r="M294" s="3905"/>
      <c r="N294" s="3906"/>
      <c r="O294" s="3906"/>
      <c r="P294" s="3907"/>
      <c r="R294" s="2232"/>
    </row>
    <row r="295" spans="1:26" ht="15.95" customHeight="1" thickBot="1">
      <c r="B295" s="2121"/>
      <c r="I295" s="2138" t="s">
        <v>2412</v>
      </c>
      <c r="J295" s="3908">
        <f>SUM(J284:K294)</f>
        <v>0</v>
      </c>
      <c r="K295" s="3909"/>
      <c r="M295" s="3908">
        <f>SUM($M284:$M294)</f>
        <v>0</v>
      </c>
      <c r="N295" s="3910"/>
      <c r="O295" s="3910"/>
      <c r="P295" s="3909"/>
      <c r="R295" s="2232"/>
    </row>
    <row r="296" spans="1:26" ht="15.95" customHeight="1">
      <c r="M296" s="2136"/>
      <c r="N296" s="2136"/>
      <c r="O296" s="2120"/>
      <c r="P296" s="2136"/>
      <c r="U296" s="3848" t="s">
        <v>6907</v>
      </c>
      <c r="V296" s="3848"/>
      <c r="W296" s="3848"/>
      <c r="X296" s="3848"/>
      <c r="Y296" s="3848"/>
      <c r="Z296" s="3848"/>
    </row>
    <row r="297" spans="1:26" ht="15.95" customHeight="1">
      <c r="A297" s="2121"/>
      <c r="B297" s="2332"/>
      <c r="C297" s="2227" t="s">
        <v>2411</v>
      </c>
      <c r="D297" s="2255"/>
      <c r="E297" s="2255"/>
      <c r="I297" s="2254" t="s">
        <v>6234</v>
      </c>
      <c r="J297" s="3897">
        <f>'Part V-Revenues &amp; Expenses'!$P$67</f>
        <v>56</v>
      </c>
      <c r="K297" s="3898"/>
      <c r="L297" s="2136"/>
      <c r="M297" s="2136"/>
      <c r="N297" s="2136"/>
      <c r="O297" s="2120"/>
      <c r="P297" s="2136"/>
      <c r="U297" s="2432" t="s">
        <v>6905</v>
      </c>
      <c r="V297" s="2432" t="s">
        <v>6906</v>
      </c>
      <c r="W297" s="2432" t="s">
        <v>6905</v>
      </c>
      <c r="X297" s="2432" t="s">
        <v>6906</v>
      </c>
      <c r="Y297" s="2432" t="s">
        <v>6905</v>
      </c>
      <c r="Z297" s="2432" t="s">
        <v>6906</v>
      </c>
    </row>
    <row r="298" spans="1:26" ht="15.95" customHeight="1">
      <c r="C298" s="2255"/>
      <c r="D298" s="2255"/>
      <c r="E298" s="2255"/>
      <c r="I298" s="2381" t="s">
        <v>6235</v>
      </c>
      <c r="J298" s="3911">
        <f>IF(J297=0,0,J295/J297)</f>
        <v>0</v>
      </c>
      <c r="K298" s="3912"/>
      <c r="M298" s="3913">
        <f>IF(J297=0,0,M295/J297)</f>
        <v>0</v>
      </c>
      <c r="N298" s="3914"/>
      <c r="O298" s="3914"/>
      <c r="P298" s="3915"/>
      <c r="S298" s="2431" t="s">
        <v>6903</v>
      </c>
      <c r="U298" s="2425">
        <v>500000</v>
      </c>
      <c r="V298" s="2426">
        <v>999999.99</v>
      </c>
      <c r="W298" s="2425">
        <v>1000000</v>
      </c>
      <c r="X298" s="2426">
        <v>1999999.99</v>
      </c>
      <c r="Y298" s="2425">
        <v>2000000</v>
      </c>
      <c r="Z298" s="2427"/>
    </row>
    <row r="299" spans="1:26" ht="15.95" customHeight="1">
      <c r="C299" s="2255"/>
      <c r="D299" s="2255"/>
      <c r="E299" s="2255"/>
      <c r="I299" s="2230" t="s">
        <v>6866</v>
      </c>
      <c r="J299" s="3897">
        <f>IF(J295&gt;=$Y$298,$Y$300,IF(J295&gt;=$W$298,$W$300,IF(J295&gt;=$U$298,$U$300,0)))</f>
        <v>0</v>
      </c>
      <c r="K299" s="3898"/>
      <c r="M299" s="3897">
        <f t="shared" ref="M299" si="0">IF(M295&gt;=$Y$298,$Y$300,IF(M295&gt;=$W$298,$W$300,IF(M295&gt;=$U$298,$U$300,0)))</f>
        <v>0</v>
      </c>
      <c r="N299" s="3899"/>
      <c r="O299" s="3899">
        <f t="shared" ref="O299" si="1">IF(O295&gt;=$Y$298,$Y$300,IF(O295&gt;=$W$298,$W$300,IF(O295&gt;=$U$298,$U$300,0)))</f>
        <v>0</v>
      </c>
      <c r="P299" s="3898"/>
      <c r="S299" s="2431" t="s">
        <v>6904</v>
      </c>
      <c r="U299" s="2428">
        <v>10000</v>
      </c>
      <c r="V299" s="2429">
        <v>19999.990000000002</v>
      </c>
      <c r="W299" s="2428">
        <v>20000</v>
      </c>
      <c r="X299" s="2429">
        <v>29999.99</v>
      </c>
      <c r="Y299" s="2428">
        <v>30000</v>
      </c>
      <c r="Z299" s="2430"/>
    </row>
    <row r="300" spans="1:26" ht="15.95" customHeight="1">
      <c r="C300" s="2255"/>
      <c r="D300" s="2255"/>
      <c r="E300" s="2255"/>
      <c r="I300" s="2230" t="s">
        <v>6236</v>
      </c>
      <c r="J300" s="3902">
        <f>IF(J298&gt;=$Y$299,$Y$300,IF(J298&gt;=$W$299,$W$300,IF(J298&gt;=$U$299,$U$300,0)))</f>
        <v>0</v>
      </c>
      <c r="K300" s="3903"/>
      <c r="L300" s="2136"/>
      <c r="M300" s="3902">
        <f>IF(M298&gt;=$Y$299,$Y$300,IF(M298&gt;=$W$299,$W$300,IF(M298&gt;=$U$299,$U$300,0)))</f>
        <v>0</v>
      </c>
      <c r="N300" s="3904"/>
      <c r="O300" s="3904"/>
      <c r="P300" s="3903"/>
      <c r="S300" s="2431" t="s">
        <v>6143</v>
      </c>
      <c r="U300" s="3858">
        <v>1</v>
      </c>
      <c r="V300" s="3859"/>
      <c r="W300" s="3858">
        <v>2</v>
      </c>
      <c r="X300" s="3859"/>
      <c r="Y300" s="3858">
        <v>3</v>
      </c>
      <c r="Z300" s="3859"/>
    </row>
    <row r="301" spans="1:26" ht="15.95" customHeight="1" thickBot="1"/>
    <row r="302" spans="1:26" s="2121" customFormat="1" ht="15.95" customHeight="1" thickBot="1">
      <c r="A302" s="2124" t="s">
        <v>1842</v>
      </c>
      <c r="B302" s="2233" t="s">
        <v>3156</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6867</v>
      </c>
      <c r="D303" s="3876"/>
      <c r="E303" s="3876"/>
      <c r="F303" s="3876"/>
      <c r="G303" s="3876"/>
      <c r="H303" s="3876"/>
      <c r="I303" s="3876"/>
      <c r="J303" s="3876"/>
      <c r="K303" s="3876"/>
      <c r="L303" s="3876"/>
      <c r="M303" s="3876"/>
      <c r="N303" s="2413"/>
      <c r="O303" s="2382" t="s">
        <v>7050</v>
      </c>
      <c r="P303" s="2383"/>
      <c r="V303" s="2355"/>
    </row>
    <row r="304" spans="1:26" ht="15.95" customHeight="1">
      <c r="A304" s="2138"/>
      <c r="B304" s="2313"/>
      <c r="C304" s="2121" t="s">
        <v>6868</v>
      </c>
      <c r="D304" s="2121"/>
      <c r="E304" s="2121"/>
      <c r="F304" s="2121"/>
      <c r="G304" s="2121"/>
      <c r="H304" s="2121"/>
      <c r="I304" s="2121"/>
      <c r="J304" s="2121"/>
      <c r="K304" s="2121"/>
      <c r="M304" s="2121"/>
      <c r="N304" s="2144"/>
      <c r="O304" s="2269" t="s">
        <v>7050</v>
      </c>
      <c r="P304" s="2270"/>
      <c r="V304" s="2355"/>
    </row>
    <row r="305" spans="1:19" ht="15.95" customHeight="1">
      <c r="B305" s="2313"/>
      <c r="C305" s="2120" t="s">
        <v>6869</v>
      </c>
      <c r="N305" s="2144"/>
      <c r="O305" s="2246" t="s">
        <v>7050</v>
      </c>
      <c r="P305" s="2247"/>
    </row>
    <row r="306" spans="1:19" ht="15.95" customHeight="1" thickBot="1">
      <c r="B306" s="2260" t="s">
        <v>3239</v>
      </c>
    </row>
    <row r="307" spans="1:19" ht="15.95" customHeight="1" thickTop="1" thickBot="1">
      <c r="A307" s="3867" t="s">
        <v>7068</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1729</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3375</v>
      </c>
      <c r="B312" s="2143" t="s">
        <v>2468</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3071</v>
      </c>
      <c r="G313" s="3873" t="s">
        <v>3884</v>
      </c>
      <c r="H313" s="3874"/>
      <c r="I313" s="3874"/>
      <c r="J313" s="3874"/>
      <c r="K313" s="3874"/>
      <c r="L313" s="3875"/>
      <c r="M313" s="2286"/>
      <c r="N313" s="2286"/>
      <c r="O313" s="2286"/>
      <c r="P313" s="2286"/>
      <c r="Q313" s="2121"/>
    </row>
    <row r="314" spans="1:19" s="2157" customFormat="1" ht="15.95" customHeight="1">
      <c r="A314" s="2211" t="s">
        <v>1840</v>
      </c>
      <c r="B314" s="2131" t="s">
        <v>3953</v>
      </c>
      <c r="M314" s="2286">
        <v>2</v>
      </c>
      <c r="N314" s="2310"/>
      <c r="O314" s="2308"/>
      <c r="P314" s="2384"/>
      <c r="Q314" s="2320" t="str">
        <f>IF(OR($O314=$M314,$O314=0,$O314=""),"","*CHECK!*")</f>
        <v/>
      </c>
      <c r="R314" s="2305"/>
    </row>
    <row r="315" spans="1:19" ht="15.95" customHeight="1">
      <c r="A315" s="2345"/>
      <c r="B315" s="3891" t="s">
        <v>3413</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1842</v>
      </c>
      <c r="B316" s="2289" t="s">
        <v>3954</v>
      </c>
      <c r="M316" s="2286">
        <v>2</v>
      </c>
      <c r="N316" s="2310"/>
      <c r="O316" s="2308"/>
      <c r="P316" s="2384"/>
      <c r="Q316" s="2320" t="str">
        <f>IF(OR($O316=$M316,$O316=0,$O316=""),"","*CHECK!*")</f>
        <v/>
      </c>
      <c r="R316" s="2305"/>
    </row>
    <row r="317" spans="1:19" ht="15.95" customHeight="1" thickBot="1">
      <c r="A317" s="2121"/>
      <c r="B317" s="2260" t="s">
        <v>3239</v>
      </c>
      <c r="C317" s="2121"/>
      <c r="D317" s="2121"/>
      <c r="E317" s="2121"/>
      <c r="F317" s="2121"/>
      <c r="G317" s="2121"/>
      <c r="H317" s="2121"/>
      <c r="I317" s="2121"/>
      <c r="J317" s="2121"/>
      <c r="K317" s="2121"/>
      <c r="M317" s="2123"/>
      <c r="O317" s="2133"/>
    </row>
    <row r="318" spans="1:19" ht="15.95" customHeight="1" thickTop="1" thickBot="1">
      <c r="A318" s="3867" t="s">
        <v>7068</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1729</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3376</v>
      </c>
      <c r="B323" s="2143" t="s">
        <v>4034</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3176</v>
      </c>
      <c r="D325" s="2143"/>
      <c r="E325" s="2143"/>
      <c r="L325" s="2232"/>
      <c r="M325" s="2124"/>
      <c r="N325" s="2123"/>
      <c r="O325" s="2386">
        <v>10</v>
      </c>
      <c r="P325" s="2386">
        <v>10</v>
      </c>
      <c r="Q325" s="2203"/>
    </row>
    <row r="326" spans="1:18" s="2121" customFormat="1" ht="15.95" customHeight="1">
      <c r="A326" s="2124" t="s">
        <v>1840</v>
      </c>
      <c r="B326" s="2131" t="s">
        <v>6939</v>
      </c>
      <c r="D326" s="2143"/>
      <c r="E326" s="2143"/>
      <c r="L326" s="2232"/>
      <c r="M326" s="2124"/>
      <c r="N326" s="2123"/>
      <c r="O326" s="2387"/>
      <c r="P326" s="2354"/>
      <c r="Q326" s="2203"/>
    </row>
    <row r="327" spans="1:18" s="2121" customFormat="1" ht="15.95" customHeight="1">
      <c r="A327" s="2124" t="s">
        <v>1842</v>
      </c>
      <c r="B327" s="2131" t="s">
        <v>6940</v>
      </c>
      <c r="D327" s="2143"/>
      <c r="E327" s="2143"/>
      <c r="L327" s="2232"/>
      <c r="M327" s="2124"/>
      <c r="N327" s="2123"/>
      <c r="O327" s="2388"/>
      <c r="P327" s="2244"/>
      <c r="Q327" s="2203"/>
    </row>
    <row r="328" spans="1:18" s="2121" customFormat="1" ht="15.95" customHeight="1">
      <c r="A328" s="2141"/>
      <c r="B328" s="2141" t="s">
        <v>1729</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3377</v>
      </c>
      <c r="B332" s="2143" t="s">
        <v>6603</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1840</v>
      </c>
      <c r="B333" s="2131" t="s">
        <v>6605</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1842</v>
      </c>
      <c r="B334" s="2131" t="s">
        <v>6606</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6237</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1961</v>
      </c>
      <c r="B336" s="2131" t="s">
        <v>6607</v>
      </c>
      <c r="M336" s="2123">
        <v>2</v>
      </c>
      <c r="N336" s="2390"/>
      <c r="O336" s="2306">
        <f>O337-O338</f>
        <v>2</v>
      </c>
      <c r="P336" s="2306">
        <f>P337-P338</f>
        <v>2</v>
      </c>
      <c r="Q336" s="2320" t="str">
        <f>IF(OR($O336=$M336,$O336=0,$O336=""),"","*CHECK!*")</f>
        <v/>
      </c>
    </row>
    <row r="337" spans="1:18" s="2121" customFormat="1" ht="15.95" customHeight="1">
      <c r="A337" s="2338"/>
      <c r="C337" s="2131" t="s">
        <v>3176</v>
      </c>
      <c r="D337" s="2143"/>
      <c r="E337" s="2143"/>
      <c r="L337" s="2232"/>
      <c r="M337" s="2124"/>
      <c r="N337" s="2123"/>
      <c r="O337" s="2391">
        <v>2</v>
      </c>
      <c r="P337" s="2391">
        <v>2</v>
      </c>
      <c r="Q337" s="2203"/>
    </row>
    <row r="338" spans="1:18" s="2121" customFormat="1" ht="15.95" customHeight="1">
      <c r="A338" s="2338"/>
      <c r="C338" s="2131" t="s">
        <v>3177</v>
      </c>
      <c r="D338" s="2143"/>
      <c r="E338" s="2143"/>
      <c r="L338" s="2232"/>
      <c r="M338" s="2124"/>
      <c r="N338" s="2123"/>
      <c r="O338" s="2392"/>
      <c r="P338" s="2309"/>
      <c r="Q338" s="2203"/>
      <c r="R338" s="2305"/>
    </row>
    <row r="339" spans="1:18" ht="15.95" customHeight="1" thickBot="1">
      <c r="A339" s="2121"/>
      <c r="B339" s="2260" t="s">
        <v>3239</v>
      </c>
      <c r="C339" s="2121"/>
      <c r="D339" s="2121"/>
      <c r="E339" s="2121"/>
      <c r="F339" s="2121"/>
      <c r="G339" s="2121"/>
      <c r="H339" s="2121"/>
      <c r="I339" s="2121"/>
      <c r="J339" s="2121"/>
      <c r="K339" s="2121"/>
      <c r="M339" s="2123"/>
      <c r="O339" s="2133"/>
    </row>
    <row r="340" spans="1:18" ht="43.5" customHeight="1" thickTop="1" thickBot="1">
      <c r="A340" s="3867" t="s">
        <v>7103</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1729</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3378</v>
      </c>
      <c r="B345" s="2143" t="s">
        <v>6238</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3239</v>
      </c>
      <c r="C346" s="2121"/>
      <c r="D346" s="2121"/>
      <c r="E346" s="2121"/>
      <c r="F346" s="2121"/>
      <c r="G346" s="2121"/>
      <c r="H346" s="2121"/>
      <c r="I346" s="2121"/>
      <c r="J346" s="2121"/>
      <c r="K346" s="2121"/>
      <c r="M346" s="2123"/>
      <c r="O346" s="2133"/>
    </row>
    <row r="347" spans="1:18" ht="34.5" customHeight="1" thickTop="1" thickBot="1">
      <c r="A347" s="3867" t="s">
        <v>7102</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1729</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3379</v>
      </c>
      <c r="B352" s="2143" t="s">
        <v>6915</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6870</v>
      </c>
      <c r="D353" s="2143"/>
      <c r="E353" s="2143"/>
      <c r="F353" s="2136"/>
      <c r="L353" s="2320"/>
      <c r="M353" s="2124"/>
      <c r="N353" s="2123"/>
      <c r="O353" s="2324" t="s">
        <v>7050</v>
      </c>
      <c r="P353" s="2369"/>
      <c r="Q353" s="2203"/>
      <c r="R353" s="2305"/>
    </row>
    <row r="354" spans="1:18" s="2121" customFormat="1" ht="15.95" customHeight="1">
      <c r="A354" s="2141"/>
      <c r="B354" s="2141" t="s">
        <v>1729</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3801</v>
      </c>
      <c r="B358" s="2143" t="s">
        <v>6609</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3239</v>
      </c>
      <c r="C359" s="2121"/>
      <c r="D359" s="2121"/>
      <c r="E359" s="2121"/>
      <c r="F359" s="2121"/>
      <c r="G359" s="2121"/>
      <c r="H359" s="2121"/>
      <c r="I359" s="2121"/>
      <c r="J359" s="2121"/>
      <c r="K359" s="2121"/>
      <c r="M359" s="2123"/>
      <c r="O359" s="2133"/>
    </row>
    <row r="360" spans="1:18" ht="15.95" customHeight="1" thickTop="1" thickBot="1">
      <c r="A360" s="3867" t="s">
        <v>7068</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1729</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6554</v>
      </c>
      <c r="B365" s="2143" t="s">
        <v>6610</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1840</v>
      </c>
      <c r="B366" s="2131" t="s">
        <v>6131</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1842</v>
      </c>
      <c r="B367" s="2289" t="s">
        <v>6132</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3239</v>
      </c>
      <c r="C368" s="2121"/>
      <c r="D368" s="2121"/>
      <c r="E368" s="2121"/>
      <c r="F368" s="2121"/>
      <c r="G368" s="2121"/>
      <c r="H368" s="2121"/>
      <c r="I368" s="2121"/>
      <c r="J368" s="2121"/>
      <c r="K368" s="2121"/>
      <c r="M368" s="2123"/>
      <c r="O368" s="2133"/>
    </row>
    <row r="369" spans="1:18" ht="15.95" customHeight="1" thickTop="1" thickBot="1">
      <c r="A369" s="3867" t="s">
        <v>7068</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1729</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6916</v>
      </c>
      <c r="B374" s="2143" t="s">
        <v>6917</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1840</v>
      </c>
      <c r="B375" s="2131" t="s">
        <v>6918</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6930</v>
      </c>
      <c r="E376" s="2121"/>
      <c r="F376" s="2121"/>
      <c r="G376" s="2121" t="s">
        <v>6221</v>
      </c>
      <c r="H376" s="2121"/>
      <c r="I376" s="2121"/>
      <c r="J376" s="2121" t="s">
        <v>575</v>
      </c>
      <c r="L376" s="2139" t="s">
        <v>6931</v>
      </c>
      <c r="M376" s="3848" t="s">
        <v>6941</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1842</v>
      </c>
      <c r="B387" s="2289" t="s">
        <v>6919</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3239</v>
      </c>
      <c r="C388" s="2121"/>
      <c r="D388" s="2121"/>
      <c r="E388" s="2121"/>
      <c r="F388" s="2121"/>
      <c r="G388" s="2121"/>
      <c r="H388" s="2121"/>
      <c r="I388" s="2121"/>
      <c r="J388" s="2121"/>
      <c r="K388" s="2121"/>
      <c r="M388" s="2123"/>
      <c r="O388" s="2133"/>
    </row>
    <row r="389" spans="1:19" ht="15.95" customHeight="1" thickTop="1" thickBot="1">
      <c r="A389" s="3867" t="s">
        <v>7068</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1729</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6921</v>
      </c>
      <c r="B394" s="2143" t="s">
        <v>6922</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1840</v>
      </c>
      <c r="B395" s="2131" t="s">
        <v>6923</v>
      </c>
      <c r="Q395" s="2320" t="str">
        <f>IF(OR($O395=$M395,$O395=0,$O395=""),"","*CHECK!*")</f>
        <v/>
      </c>
      <c r="R395" s="2305"/>
    </row>
    <row r="396" spans="1:19" ht="147" customHeight="1">
      <c r="A396" s="2345"/>
      <c r="B396" s="3891" t="s">
        <v>7068</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1842</v>
      </c>
      <c r="B397" s="2289" t="s">
        <v>6924</v>
      </c>
      <c r="Q397" s="2320" t="str">
        <f>IF(OR($O397=$M397,$O397=0,$O397=""),"","*CHECK!*")</f>
        <v/>
      </c>
      <c r="R397" s="2305"/>
    </row>
    <row r="398" spans="1:19" ht="147" customHeight="1">
      <c r="A398" s="2345"/>
      <c r="B398" s="3891" t="s">
        <v>7068</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3239</v>
      </c>
      <c r="C399" s="2121"/>
      <c r="D399" s="2121"/>
      <c r="E399" s="2121"/>
      <c r="F399" s="2121"/>
      <c r="G399" s="2121"/>
      <c r="H399" s="2121"/>
      <c r="I399" s="2121"/>
      <c r="J399" s="2121"/>
      <c r="K399" s="2121"/>
      <c r="M399" s="2123"/>
      <c r="O399" s="2133"/>
    </row>
    <row r="400" spans="1:19" ht="15.95" customHeight="1" thickTop="1" thickBot="1">
      <c r="A400" s="3867" t="s">
        <v>7068</v>
      </c>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1729</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6947</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6871</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t="s">
        <v>7119</v>
      </c>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1938</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1939</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1940</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1941</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6561</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6562</v>
      </c>
      <c r="AZ416" s="3887"/>
      <c r="BA416" s="3887"/>
      <c r="BB416" s="3887"/>
      <c r="BC416" s="3887"/>
      <c r="BD416" s="3887"/>
      <c r="BE416" s="3888"/>
      <c r="BF416" s="3886" t="s">
        <v>6563</v>
      </c>
      <c r="BG416" s="3887"/>
      <c r="BH416" s="3887"/>
      <c r="BI416" s="3887"/>
      <c r="BJ416" s="3887"/>
      <c r="BK416" s="3887"/>
      <c r="BL416" s="3888"/>
      <c r="BM416" s="2397"/>
      <c r="BN416" s="2397"/>
    </row>
    <row r="417" spans="2:66">
      <c r="B417" s="2397"/>
      <c r="C417" s="2400" t="s">
        <v>1979</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6135</v>
      </c>
      <c r="AC418" s="2199"/>
      <c r="AD418" s="2397"/>
      <c r="AE418" s="2397"/>
      <c r="AF418" s="2397"/>
      <c r="AG418" s="4039" t="s">
        <v>6123</v>
      </c>
      <c r="AH418" s="4040"/>
      <c r="AI418" s="3883" t="s">
        <v>6504</v>
      </c>
      <c r="AJ418" s="3884"/>
      <c r="AK418" s="3884"/>
      <c r="AL418" s="3884"/>
      <c r="AM418" s="3885"/>
      <c r="AN418" s="4041" t="s">
        <v>6136</v>
      </c>
      <c r="AO418" s="4041"/>
      <c r="AP418" s="4041"/>
      <c r="AQ418" s="4041"/>
      <c r="AR418" s="2397"/>
      <c r="AS418" s="2466"/>
      <c r="AT418" s="2465" t="s">
        <v>6135</v>
      </c>
      <c r="AU418" s="2466"/>
      <c r="AV418" s="2466"/>
      <c r="AW418" s="2466"/>
      <c r="AX418" s="2397"/>
      <c r="AY418" s="3883" t="s">
        <v>6123</v>
      </c>
      <c r="AZ418" s="3885"/>
      <c r="BA418" s="3883" t="s">
        <v>6504</v>
      </c>
      <c r="BB418" s="3884"/>
      <c r="BC418" s="3884"/>
      <c r="BD418" s="3884"/>
      <c r="BE418" s="3885"/>
      <c r="BF418" s="3889" t="s">
        <v>6123</v>
      </c>
      <c r="BG418" s="3889"/>
      <c r="BH418" s="3889" t="s">
        <v>6504</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6943</v>
      </c>
      <c r="AI419" s="2467" t="s">
        <v>6943</v>
      </c>
      <c r="AJ419" s="2467" t="s">
        <v>6913</v>
      </c>
      <c r="AK419" s="2467" t="s">
        <v>6544</v>
      </c>
      <c r="AL419" s="2467" t="s">
        <v>6545</v>
      </c>
      <c r="AM419" s="2467" t="s">
        <v>6546</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6943</v>
      </c>
      <c r="BA419" s="2467" t="s">
        <v>6943</v>
      </c>
      <c r="BB419" s="2467" t="s">
        <v>6927</v>
      </c>
      <c r="BC419" s="2467" t="s">
        <v>6544</v>
      </c>
      <c r="BD419" s="2467" t="s">
        <v>6545</v>
      </c>
      <c r="BE419" s="2467" t="s">
        <v>6546</v>
      </c>
      <c r="BF419" s="2467">
        <v>0.09</v>
      </c>
      <c r="BG419" s="2467" t="s">
        <v>6943</v>
      </c>
      <c r="BH419" s="2467" t="s">
        <v>6943</v>
      </c>
      <c r="BI419" s="2467" t="s">
        <v>6927</v>
      </c>
      <c r="BJ419" s="2467" t="s">
        <v>6544</v>
      </c>
      <c r="BK419" s="2467" t="s">
        <v>6545</v>
      </c>
      <c r="BL419" s="2467" t="s">
        <v>6546</v>
      </c>
      <c r="BM419" s="2397"/>
      <c r="BN419" s="2397"/>
    </row>
    <row r="420" spans="2:66">
      <c r="B420" s="2397"/>
      <c r="C420" s="2400" t="s">
        <v>1974</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6750</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6750</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1975</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6124</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6124</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1976</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6125</v>
      </c>
      <c r="AC422" s="2493"/>
      <c r="AD422" s="2493"/>
      <c r="AE422" s="2493"/>
      <c r="AF422" s="2493"/>
      <c r="AG422" s="2494">
        <v>3</v>
      </c>
      <c r="AH422" s="2486">
        <v>3</v>
      </c>
      <c r="AI422" s="2494"/>
      <c r="AJ422" s="2494"/>
      <c r="AK422" s="2485"/>
      <c r="AL422" s="2485"/>
      <c r="AM422" s="2486"/>
      <c r="AN422" s="2198" t="s">
        <v>6137</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6125</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1977</v>
      </c>
      <c r="D423" s="2397"/>
      <c r="E423" s="2397"/>
      <c r="F423" s="2397"/>
      <c r="G423" s="2397"/>
      <c r="H423" s="2397"/>
      <c r="I423" s="2397"/>
      <c r="J423" s="2397"/>
      <c r="K423" s="2397"/>
      <c r="L423" s="2397"/>
      <c r="M423" s="2397"/>
      <c r="N423" s="2342"/>
      <c r="O423" s="2399"/>
      <c r="P423" s="2399"/>
      <c r="Q423" s="2397"/>
      <c r="R423" s="2397"/>
      <c r="S423" s="2397"/>
      <c r="AA423" s="2468" t="s">
        <v>1668</v>
      </c>
      <c r="AB423" s="2492" t="s">
        <v>3392</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3392</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1978</v>
      </c>
      <c r="D424" s="2397"/>
      <c r="E424" s="2397"/>
      <c r="F424" s="2397"/>
      <c r="G424" s="2397"/>
      <c r="H424" s="2397"/>
      <c r="I424" s="2397"/>
      <c r="J424" s="2401" t="s">
        <v>3036</v>
      </c>
      <c r="K424" s="2397"/>
      <c r="L424" s="2397"/>
      <c r="M424" s="2397"/>
      <c r="N424" s="2342"/>
      <c r="O424" s="2401" t="s">
        <v>3250</v>
      </c>
      <c r="P424" s="2399"/>
      <c r="Q424" s="2397"/>
      <c r="R424" s="2397"/>
      <c r="S424" s="2397"/>
      <c r="AA424" s="2468" t="s">
        <v>496</v>
      </c>
      <c r="AB424" s="2492" t="s">
        <v>4036</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4036</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3337</v>
      </c>
      <c r="AC425" s="2493"/>
      <c r="AD425" s="2493"/>
      <c r="AE425" s="2493"/>
      <c r="AF425" s="2493"/>
      <c r="AG425" s="2494">
        <v>3</v>
      </c>
      <c r="AH425" s="2486">
        <v>3</v>
      </c>
      <c r="AI425" s="2494"/>
      <c r="AJ425" s="2494"/>
      <c r="AK425" s="2485"/>
      <c r="AL425" s="2485"/>
      <c r="AM425" s="2486"/>
      <c r="AN425" s="4029" t="s">
        <v>6560</v>
      </c>
      <c r="AO425" s="4030"/>
      <c r="AP425" s="4030"/>
      <c r="AQ425" s="4030"/>
      <c r="AR425" s="2397"/>
      <c r="AS425" s="2468" t="s">
        <v>720</v>
      </c>
      <c r="AT425" s="2492" t="s">
        <v>3337</v>
      </c>
      <c r="AU425" s="2493"/>
      <c r="AV425" s="2493"/>
      <c r="AW425" s="2493"/>
      <c r="AX425" s="2493"/>
      <c r="AY425" s="2494">
        <f>O106</f>
        <v>2</v>
      </c>
      <c r="AZ425" s="2486">
        <f>O106</f>
        <v>2</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2107</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3393</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3393</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3394</v>
      </c>
      <c r="AC427" s="2493"/>
      <c r="AD427" s="2493"/>
      <c r="AE427" s="2493"/>
      <c r="AF427" s="2493"/>
      <c r="AG427" s="2494">
        <v>3</v>
      </c>
      <c r="AH427" s="2486"/>
      <c r="AI427" s="2494"/>
      <c r="AJ427" s="2494"/>
      <c r="AK427" s="2485"/>
      <c r="AL427" s="2485"/>
      <c r="AM427" s="2486"/>
      <c r="AN427" s="2199" t="s">
        <v>6555</v>
      </c>
      <c r="AO427" s="2199"/>
      <c r="AP427" s="2199"/>
      <c r="AQ427" s="2504"/>
      <c r="AR427" s="2397"/>
      <c r="AS427" s="2468" t="s">
        <v>401</v>
      </c>
      <c r="AT427" s="2492" t="s">
        <v>3394</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3023</v>
      </c>
      <c r="K428" s="2397"/>
      <c r="L428" s="2397"/>
      <c r="M428" s="2397"/>
      <c r="N428" s="2342"/>
      <c r="O428" s="2399">
        <v>2</v>
      </c>
      <c r="P428" s="2399"/>
      <c r="Q428" s="2397"/>
      <c r="R428" s="2397"/>
      <c r="S428" s="2397"/>
      <c r="AA428" s="2468" t="s">
        <v>342</v>
      </c>
      <c r="AB428" s="2492" t="s">
        <v>4037</v>
      </c>
      <c r="AC428" s="2493"/>
      <c r="AD428" s="2493"/>
      <c r="AE428" s="2493"/>
      <c r="AF428" s="2493"/>
      <c r="AG428" s="2494">
        <v>9</v>
      </c>
      <c r="AH428" s="2486">
        <v>9</v>
      </c>
      <c r="AI428" s="2494"/>
      <c r="AJ428" s="2494"/>
      <c r="AK428" s="2485"/>
      <c r="AL428" s="2485"/>
      <c r="AM428" s="2486"/>
      <c r="AN428" s="2199" t="s">
        <v>3305</v>
      </c>
      <c r="AO428" s="2199"/>
      <c r="AP428" s="2199"/>
      <c r="AQ428" s="2505"/>
      <c r="AR428" s="2397"/>
      <c r="AS428" s="2468" t="s">
        <v>342</v>
      </c>
      <c r="AT428" s="2492" t="s">
        <v>4037</v>
      </c>
      <c r="AU428" s="2493"/>
      <c r="AV428" s="2493"/>
      <c r="AW428" s="2493"/>
      <c r="AX428" s="2493"/>
      <c r="AY428" s="2487">
        <f>O152</f>
        <v>8</v>
      </c>
      <c r="AZ428" s="2491">
        <f>O152</f>
        <v>8</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4062</v>
      </c>
      <c r="H429" s="2397" t="s">
        <v>4063</v>
      </c>
      <c r="I429" s="2402" t="s">
        <v>4061</v>
      </c>
      <c r="J429" s="2397" t="s">
        <v>3024</v>
      </c>
      <c r="K429" s="2397"/>
      <c r="L429" s="2402"/>
      <c r="M429" s="2397"/>
      <c r="N429" s="2342"/>
      <c r="O429" s="2399">
        <v>2</v>
      </c>
      <c r="P429" s="2399"/>
      <c r="Q429" s="2397"/>
      <c r="R429" s="2397"/>
      <c r="S429" s="2397"/>
      <c r="AA429" s="2468" t="s">
        <v>343</v>
      </c>
      <c r="AB429" s="2492" t="s">
        <v>6126</v>
      </c>
      <c r="AC429" s="2493"/>
      <c r="AD429" s="2493"/>
      <c r="AE429" s="2493"/>
      <c r="AF429" s="2493"/>
      <c r="AG429" s="2494">
        <v>1</v>
      </c>
      <c r="AH429" s="2486"/>
      <c r="AI429" s="2494"/>
      <c r="AJ429" s="2494"/>
      <c r="AK429" s="2485"/>
      <c r="AL429" s="2485"/>
      <c r="AM429" s="2486"/>
      <c r="AN429" s="2506" t="s">
        <v>6141</v>
      </c>
      <c r="AO429" s="2199"/>
      <c r="AP429" s="2199"/>
      <c r="AQ429" s="2507"/>
      <c r="AR429" s="2397"/>
      <c r="AS429" s="2468" t="s">
        <v>343</v>
      </c>
      <c r="AT429" s="2492" t="s">
        <v>6126</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3248</v>
      </c>
      <c r="K430" s="2397"/>
      <c r="L430" s="2404"/>
      <c r="M430" s="2397"/>
      <c r="N430" s="2342"/>
      <c r="O430" s="2399">
        <v>2</v>
      </c>
      <c r="P430" s="2399"/>
      <c r="Q430" s="2397"/>
      <c r="R430" s="2397"/>
      <c r="S430" s="2397"/>
      <c r="AA430" s="2468" t="s">
        <v>344</v>
      </c>
      <c r="AB430" s="2492" t="s">
        <v>3260</v>
      </c>
      <c r="AC430" s="2493"/>
      <c r="AD430" s="2493"/>
      <c r="AE430" s="2493"/>
      <c r="AF430" s="2493"/>
      <c r="AG430" s="2494">
        <v>10</v>
      </c>
      <c r="AH430" s="2486">
        <v>10</v>
      </c>
      <c r="AI430" s="2494"/>
      <c r="AJ430" s="2494"/>
      <c r="AK430" s="2485"/>
      <c r="AL430" s="2485"/>
      <c r="AM430" s="2486"/>
      <c r="AN430" s="2506" t="s">
        <v>6510</v>
      </c>
      <c r="AO430" s="2199"/>
      <c r="AP430" s="2199" t="s">
        <v>6945</v>
      </c>
      <c r="AQ430" s="2508" t="str">
        <f>IF('Part VII-Threshold Criteria'!$P$223="Agree","Yes","")</f>
        <v/>
      </c>
      <c r="AR430" s="2397"/>
      <c r="AS430" s="2468" t="s">
        <v>344</v>
      </c>
      <c r="AT430" s="2492" t="s">
        <v>3260</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4065</v>
      </c>
      <c r="I431" s="2402" t="s">
        <v>2452</v>
      </c>
      <c r="J431" s="2397" t="s">
        <v>3025</v>
      </c>
      <c r="K431" s="2397"/>
      <c r="L431" s="2403"/>
      <c r="M431" s="2397"/>
      <c r="N431" s="2342"/>
      <c r="O431" s="2399">
        <v>1</v>
      </c>
      <c r="P431" s="2399"/>
      <c r="Q431" s="2397"/>
      <c r="R431" s="2397"/>
      <c r="S431" s="2397"/>
      <c r="AA431" s="2468" t="s">
        <v>1604</v>
      </c>
      <c r="AB431" s="2492" t="s">
        <v>6127</v>
      </c>
      <c r="AC431" s="2493"/>
      <c r="AD431" s="2493"/>
      <c r="AE431" s="2493"/>
      <c r="AF431" s="2493"/>
      <c r="AG431" s="2494">
        <v>3</v>
      </c>
      <c r="AH431" s="2486"/>
      <c r="AI431" s="2494"/>
      <c r="AJ431" s="2494"/>
      <c r="AK431" s="2485"/>
      <c r="AL431" s="2485"/>
      <c r="AM431" s="2486"/>
      <c r="AN431" s="2397"/>
      <c r="AO431" s="2199"/>
      <c r="AP431" s="2400" t="s">
        <v>6140</v>
      </c>
      <c r="AQ431" s="2508" t="str">
        <f>IF('Part VII-Threshold Criteria'!$P$224="Agree","Yes","")</f>
        <v/>
      </c>
      <c r="AR431" s="2397"/>
      <c r="AS431" s="2468" t="s">
        <v>1604</v>
      </c>
      <c r="AT431" s="2492" t="s">
        <v>6127</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4064</v>
      </c>
      <c r="J432" s="2397" t="s">
        <v>3026</v>
      </c>
      <c r="K432" s="2397"/>
      <c r="L432" s="2403"/>
      <c r="M432" s="2397"/>
      <c r="N432" s="2342"/>
      <c r="O432" s="2399">
        <v>1</v>
      </c>
      <c r="P432" s="2399"/>
      <c r="Q432" s="2397"/>
      <c r="R432" s="2397"/>
      <c r="S432" s="2397"/>
      <c r="AA432" s="2468" t="s">
        <v>3368</v>
      </c>
      <c r="AB432" s="2492" t="s">
        <v>4041</v>
      </c>
      <c r="AC432" s="2493"/>
      <c r="AD432" s="2493"/>
      <c r="AE432" s="2493"/>
      <c r="AF432" s="2493"/>
      <c r="AG432" s="2494">
        <v>5</v>
      </c>
      <c r="AH432" s="2486"/>
      <c r="AI432" s="2494"/>
      <c r="AJ432" s="2494"/>
      <c r="AK432" s="2485"/>
      <c r="AL432" s="2485"/>
      <c r="AM432" s="2486"/>
      <c r="AN432" s="2506"/>
      <c r="AO432" s="2199"/>
      <c r="AP432" s="2400" t="s">
        <v>6556</v>
      </c>
      <c r="AQ432" s="2509" t="str">
        <f>IF('Part VII-Threshold Criteria'!$P$225="Agree","Yes","")</f>
        <v/>
      </c>
      <c r="AR432" s="2397"/>
      <c r="AS432" s="2468" t="s">
        <v>3368</v>
      </c>
      <c r="AT432" s="2492" t="s">
        <v>4041</v>
      </c>
      <c r="AU432" s="2493"/>
      <c r="AV432" s="2493"/>
      <c r="AW432" s="2493"/>
      <c r="AX432" s="2493"/>
      <c r="AY432" s="2487">
        <f>O200</f>
        <v>5</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2079</v>
      </c>
      <c r="AB433" s="2492" t="s">
        <v>3802</v>
      </c>
      <c r="AC433" s="2493"/>
      <c r="AD433" s="2493"/>
      <c r="AE433" s="2493"/>
      <c r="AF433" s="2493"/>
      <c r="AG433" s="2494">
        <v>4</v>
      </c>
      <c r="AH433" s="2486">
        <v>4</v>
      </c>
      <c r="AI433" s="2494">
        <v>4</v>
      </c>
      <c r="AJ433" s="2494">
        <v>4</v>
      </c>
      <c r="AK433" s="2485">
        <v>4</v>
      </c>
      <c r="AL433" s="2485">
        <v>4</v>
      </c>
      <c r="AM433" s="2486">
        <v>4</v>
      </c>
      <c r="AN433" s="2510"/>
      <c r="AO433" s="2469"/>
      <c r="AP433" s="2511" t="s">
        <v>6557</v>
      </c>
      <c r="AQ433" s="2512" t="str">
        <f>IF('Part VII-Threshold Criteria'!$P$226="Agree","Yes","")</f>
        <v/>
      </c>
      <c r="AR433" s="2397"/>
      <c r="AS433" s="2468" t="s">
        <v>2079</v>
      </c>
      <c r="AT433" s="2492" t="s">
        <v>3802</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4064</v>
      </c>
      <c r="J434" s="2397" t="s">
        <v>3249</v>
      </c>
      <c r="K434" s="2397"/>
      <c r="L434" s="2403"/>
      <c r="M434" s="2397"/>
      <c r="N434" s="2342"/>
      <c r="O434" s="2399">
        <v>1</v>
      </c>
      <c r="P434" s="2399"/>
      <c r="Q434" s="2397"/>
      <c r="R434" s="2397"/>
      <c r="S434" s="2397"/>
      <c r="AA434" s="2468" t="s">
        <v>3368</v>
      </c>
      <c r="AB434" s="2492" t="s">
        <v>6547</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3368</v>
      </c>
      <c r="AT434" s="2492" t="s">
        <v>6547</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3271</v>
      </c>
      <c r="H435" s="2342">
        <v>2019</v>
      </c>
      <c r="I435" s="2342" t="s">
        <v>4064</v>
      </c>
      <c r="J435" s="2397" t="s">
        <v>3035</v>
      </c>
      <c r="K435" s="2397"/>
      <c r="L435" s="2403"/>
      <c r="M435" s="2397"/>
      <c r="N435" s="2342"/>
      <c r="O435" s="2399">
        <v>1</v>
      </c>
      <c r="P435" s="2399"/>
      <c r="Q435" s="2397"/>
      <c r="R435" s="2397"/>
      <c r="S435" s="2397"/>
      <c r="AA435" s="2468" t="s">
        <v>3369</v>
      </c>
      <c r="AB435" s="2492" t="s">
        <v>6548</v>
      </c>
      <c r="AC435" s="2493"/>
      <c r="AD435" s="2493"/>
      <c r="AE435" s="2493"/>
      <c r="AF435" s="2493"/>
      <c r="AG435" s="2494">
        <v>2</v>
      </c>
      <c r="AH435" s="2486">
        <v>2</v>
      </c>
      <c r="AI435" s="2494">
        <v>2</v>
      </c>
      <c r="AJ435" s="2494">
        <v>2</v>
      </c>
      <c r="AK435" s="2485">
        <v>2</v>
      </c>
      <c r="AL435" s="2485">
        <v>2</v>
      </c>
      <c r="AM435" s="2486">
        <v>2</v>
      </c>
      <c r="AN435" s="2516" t="s">
        <v>6558</v>
      </c>
      <c r="AO435" s="2517"/>
      <c r="AP435" s="2518"/>
      <c r="AQ435" s="2507"/>
      <c r="AR435" s="2397"/>
      <c r="AS435" s="2468" t="s">
        <v>3369</v>
      </c>
      <c r="AT435" s="2492" t="s">
        <v>6548</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3367</v>
      </c>
      <c r="AB436" s="2492" t="s">
        <v>6553</v>
      </c>
      <c r="AC436" s="2493"/>
      <c r="AD436" s="2493"/>
      <c r="AE436" s="2493"/>
      <c r="AF436" s="2493"/>
      <c r="AG436" s="2494">
        <v>2</v>
      </c>
      <c r="AH436" s="2486"/>
      <c r="AI436" s="2494"/>
      <c r="AJ436" s="2494"/>
      <c r="AK436" s="2485">
        <v>2</v>
      </c>
      <c r="AL436" s="2485">
        <v>2</v>
      </c>
      <c r="AM436" s="2486">
        <v>2</v>
      </c>
      <c r="AN436" s="2199" t="s">
        <v>6559</v>
      </c>
      <c r="AO436" s="2199"/>
      <c r="AP436" s="2199"/>
      <c r="AQ436" s="2500" t="str">
        <f>'Part II-Sources of Funds'!$L$14</f>
        <v>No</v>
      </c>
      <c r="AR436" s="2397"/>
      <c r="AS436" s="2468" t="s">
        <v>3367</v>
      </c>
      <c r="AT436" s="2492" t="s">
        <v>6553</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4064</v>
      </c>
      <c r="J437" s="2397" t="s">
        <v>3029</v>
      </c>
      <c r="K437" s="2397"/>
      <c r="L437" s="2403"/>
      <c r="M437" s="2397"/>
      <c r="N437" s="2342"/>
      <c r="O437" s="2399">
        <v>1</v>
      </c>
      <c r="P437" s="2399"/>
      <c r="Q437" s="2397"/>
      <c r="R437" s="2397"/>
      <c r="S437" s="2397"/>
      <c r="AA437" s="2468" t="s">
        <v>3370</v>
      </c>
      <c r="AB437" s="2492" t="s">
        <v>6128</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3370</v>
      </c>
      <c r="AT437" s="2492" t="s">
        <v>6128</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1908</v>
      </c>
      <c r="H438" s="2342" t="s">
        <v>4065</v>
      </c>
      <c r="I438" s="2402" t="s">
        <v>2452</v>
      </c>
      <c r="J438" s="2397" t="s">
        <v>3030</v>
      </c>
      <c r="K438" s="2397"/>
      <c r="L438" s="2403"/>
      <c r="M438" s="2397"/>
      <c r="N438" s="2342"/>
      <c r="O438" s="2399">
        <v>1</v>
      </c>
      <c r="P438" s="2399"/>
      <c r="Q438" s="2397"/>
      <c r="R438" s="2397"/>
      <c r="S438" s="2397"/>
      <c r="AA438" s="2468" t="s">
        <v>3371</v>
      </c>
      <c r="AB438" s="2492" t="s">
        <v>3395</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3371</v>
      </c>
      <c r="AT438" s="2492" t="s">
        <v>3395</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4065</v>
      </c>
      <c r="I439" s="2402" t="s">
        <v>2452</v>
      </c>
      <c r="J439" s="2397" t="s">
        <v>3031</v>
      </c>
      <c r="K439" s="2397"/>
      <c r="L439" s="2403"/>
      <c r="M439" s="2397"/>
      <c r="N439" s="2342"/>
      <c r="O439" s="2399">
        <v>1</v>
      </c>
      <c r="P439" s="2399"/>
      <c r="Q439" s="2397"/>
      <c r="R439" s="2397"/>
      <c r="S439" s="2397"/>
      <c r="AA439" s="2468" t="s">
        <v>3374</v>
      </c>
      <c r="AB439" s="2492" t="s">
        <v>3396</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3374</v>
      </c>
      <c r="AT439" s="2492" t="s">
        <v>3396</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4064</v>
      </c>
      <c r="J440" s="2397" t="s">
        <v>3034</v>
      </c>
      <c r="K440" s="2397"/>
      <c r="L440" s="2403"/>
      <c r="M440" s="2397"/>
      <c r="N440" s="2342"/>
      <c r="O440" s="2399">
        <v>1</v>
      </c>
      <c r="P440" s="2399"/>
      <c r="Q440" s="2397"/>
      <c r="R440" s="2397"/>
      <c r="S440" s="2397"/>
      <c r="AA440" s="2468" t="s">
        <v>3375</v>
      </c>
      <c r="AB440" s="2492" t="s">
        <v>3397</v>
      </c>
      <c r="AC440" s="2493"/>
      <c r="AD440" s="2493"/>
      <c r="AE440" s="2493"/>
      <c r="AF440" s="2493"/>
      <c r="AG440" s="2494">
        <v>2</v>
      </c>
      <c r="AH440" s="2486"/>
      <c r="AI440" s="2494"/>
      <c r="AJ440" s="2494"/>
      <c r="AK440" s="2485"/>
      <c r="AL440" s="2485"/>
      <c r="AM440" s="2486"/>
      <c r="AN440" s="2397"/>
      <c r="AO440" s="2397"/>
      <c r="AP440" s="2397"/>
      <c r="AQ440" s="2397"/>
      <c r="AR440" s="2397"/>
      <c r="AS440" s="2468" t="s">
        <v>3375</v>
      </c>
      <c r="AT440" s="2492" t="s">
        <v>3397</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1985</v>
      </c>
      <c r="H441" s="2342" t="s">
        <v>4065</v>
      </c>
      <c r="I441" s="2402" t="s">
        <v>2452</v>
      </c>
      <c r="J441" s="2397" t="s">
        <v>3032</v>
      </c>
      <c r="K441" s="2397"/>
      <c r="L441" s="2403"/>
      <c r="M441" s="2397"/>
      <c r="N441" s="2342"/>
      <c r="O441" s="2399">
        <v>1</v>
      </c>
      <c r="P441" s="2399"/>
      <c r="Q441" s="2397"/>
      <c r="R441" s="2397"/>
      <c r="S441" s="2397"/>
      <c r="AA441" s="2468" t="s">
        <v>3376</v>
      </c>
      <c r="AB441" s="2492" t="s">
        <v>6129</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3376</v>
      </c>
      <c r="AT441" s="2492" t="s">
        <v>6129</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1906</v>
      </c>
      <c r="H442" s="2342">
        <v>2019</v>
      </c>
      <c r="I442" s="2342" t="s">
        <v>4064</v>
      </c>
      <c r="J442" s="2397" t="s">
        <v>3033</v>
      </c>
      <c r="K442" s="2397"/>
      <c r="L442" s="2403"/>
      <c r="M442" s="2397"/>
      <c r="N442" s="2342"/>
      <c r="O442" s="2399">
        <v>1</v>
      </c>
      <c r="P442" s="2399"/>
      <c r="Q442" s="2397"/>
      <c r="R442" s="2397"/>
      <c r="S442" s="2397"/>
      <c r="AA442" s="2468" t="s">
        <v>3377</v>
      </c>
      <c r="AB442" s="2492" t="s">
        <v>6549</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3377</v>
      </c>
      <c r="AT442" s="2492" t="s">
        <v>6549</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4064</v>
      </c>
      <c r="J443" s="2397"/>
      <c r="K443" s="2397"/>
      <c r="L443" s="2403"/>
      <c r="M443" s="2397"/>
      <c r="N443" s="2342"/>
      <c r="O443" s="2399"/>
      <c r="P443" s="2399"/>
      <c r="Q443" s="2397"/>
      <c r="R443" s="2397"/>
      <c r="S443" s="2397"/>
      <c r="AA443" s="2468" t="s">
        <v>3378</v>
      </c>
      <c r="AB443" s="2492" t="s">
        <v>6130</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3378</v>
      </c>
      <c r="AT443" s="2492" t="s">
        <v>6130</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4064</v>
      </c>
      <c r="J444" s="2397"/>
      <c r="K444" s="2397"/>
      <c r="L444" s="2403"/>
      <c r="M444" s="2397"/>
      <c r="N444" s="2342"/>
      <c r="O444" s="2399"/>
      <c r="P444" s="2399"/>
      <c r="Q444" s="2397"/>
      <c r="R444" s="2397"/>
      <c r="S444" s="2397"/>
      <c r="AA444" s="2468" t="s">
        <v>3379</v>
      </c>
      <c r="AB444" s="2492" t="s">
        <v>6914</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3379</v>
      </c>
      <c r="AT444" s="2492" t="s">
        <v>6914</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1788</v>
      </c>
      <c r="H445" s="2342">
        <v>2019</v>
      </c>
      <c r="I445" s="2342" t="s">
        <v>4064</v>
      </c>
      <c r="J445" s="2405" t="s">
        <v>3259</v>
      </c>
      <c r="K445" s="2397"/>
      <c r="L445" s="2403"/>
      <c r="M445" s="2397"/>
      <c r="N445" s="2342"/>
      <c r="O445" s="2399"/>
      <c r="P445" s="2399"/>
      <c r="Q445" s="2397"/>
      <c r="R445" s="2397"/>
      <c r="S445" s="2397"/>
      <c r="AA445" s="2468" t="s">
        <v>3801</v>
      </c>
      <c r="AB445" s="2492" t="s">
        <v>6551</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3801</v>
      </c>
      <c r="AT445" s="2492" t="s">
        <v>6551</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4064</v>
      </c>
      <c r="J446" s="2397" t="s">
        <v>3335</v>
      </c>
      <c r="K446" s="2397"/>
      <c r="L446" s="2403"/>
      <c r="M446" s="2397"/>
      <c r="N446" s="2342"/>
      <c r="O446" s="2399"/>
      <c r="P446" s="2399"/>
      <c r="Q446" s="2397"/>
      <c r="R446" s="2397"/>
      <c r="S446" s="2397"/>
      <c r="AA446" s="2468" t="s">
        <v>6554</v>
      </c>
      <c r="AB446" s="2514" t="s">
        <v>6552</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6554</v>
      </c>
      <c r="AT446" s="2514" t="s">
        <v>6552</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4064</v>
      </c>
      <c r="J447" s="2397" t="s">
        <v>3330</v>
      </c>
      <c r="K447" s="2397"/>
      <c r="L447" s="2403"/>
      <c r="M447" s="2397"/>
      <c r="N447" s="2342"/>
      <c r="O447" s="2399"/>
      <c r="P447" s="2399"/>
      <c r="Q447" s="2397"/>
      <c r="R447" s="2397"/>
      <c r="S447" s="2397"/>
      <c r="AA447" s="2468" t="s">
        <v>6916</v>
      </c>
      <c r="AB447" s="2527" t="s">
        <v>6925</v>
      </c>
      <c r="AC447" s="2528"/>
      <c r="AD447" s="2528"/>
      <c r="AE447" s="2528"/>
      <c r="AF447" s="2528"/>
      <c r="AG447" s="2529"/>
      <c r="AH447" s="2530"/>
      <c r="AI447" s="2531"/>
      <c r="AJ447" s="2529">
        <v>16</v>
      </c>
      <c r="AK447" s="2532"/>
      <c r="AL447" s="2532"/>
      <c r="AM447" s="2533"/>
      <c r="AN447" s="2397"/>
      <c r="AO447" s="2397"/>
      <c r="AP447" s="2397"/>
      <c r="AQ447" s="2397"/>
      <c r="AR447" s="2397"/>
      <c r="AS447" s="2468" t="s">
        <v>6916</v>
      </c>
      <c r="AT447" s="2527" t="s">
        <v>6925</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4064</v>
      </c>
      <c r="J448" s="2397" t="s">
        <v>3252</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4065</v>
      </c>
      <c r="I449" s="2402" t="s">
        <v>2452</v>
      </c>
      <c r="J449" s="2397" t="s">
        <v>3326</v>
      </c>
      <c r="K449" s="2397"/>
      <c r="L449" s="2403"/>
      <c r="M449" s="2397"/>
      <c r="N449" s="2342"/>
      <c r="O449" s="2399"/>
      <c r="P449" s="2399"/>
      <c r="Q449" s="2397"/>
      <c r="R449" s="2397"/>
      <c r="S449" s="2397"/>
      <c r="AA449" s="2199"/>
      <c r="AB449" s="2540"/>
      <c r="AC449" s="2199"/>
      <c r="AD449" s="2198" t="s">
        <v>6242</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71</v>
      </c>
      <c r="AZ449" s="2542">
        <f>IF(AND($O$36="4%",($C$36-$A$36)&gt;0),(SUM(AZ420:AZ447)-($C$36-$A$36)),SUM(AZ420:AZ447))</f>
        <v>63</v>
      </c>
      <c r="BA449" s="2542">
        <f t="shared" ref="BA449:BB449" si="3">IF(AND($O$36="4%",($C$36-$A$36)&gt;0),(SUM(BA420:BA447)-($C$36-$A$36)),SUM(BA420:BA447))</f>
        <v>28</v>
      </c>
      <c r="BB449" s="2542">
        <f t="shared" si="3"/>
        <v>28</v>
      </c>
      <c r="BC449" s="2542">
        <f t="shared" ref="BC449:BL449" si="4">SUM(BC420:BC447)</f>
        <v>30</v>
      </c>
      <c r="BD449" s="2542">
        <f t="shared" si="4"/>
        <v>30</v>
      </c>
      <c r="BE449" s="2542">
        <f t="shared" si="4"/>
        <v>30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4064</v>
      </c>
      <c r="J450" s="2397" t="s">
        <v>3253</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4064</v>
      </c>
      <c r="J451" s="2397" t="s">
        <v>3327</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4064</v>
      </c>
      <c r="J452" s="2397" t="s">
        <v>3254</v>
      </c>
      <c r="K452" s="2397"/>
      <c r="L452" s="2397"/>
      <c r="M452" s="2397"/>
      <c r="N452" s="2342"/>
      <c r="O452" s="2399"/>
      <c r="P452" s="2399"/>
      <c r="Q452" s="2397"/>
      <c r="R452" s="2397"/>
      <c r="S452" s="2397"/>
    </row>
    <row r="453" spans="2:66">
      <c r="B453" s="2397"/>
      <c r="C453" s="2397"/>
      <c r="D453" s="2397"/>
      <c r="E453" s="2397"/>
      <c r="F453" s="2397"/>
      <c r="G453" s="2404" t="s">
        <v>3344</v>
      </c>
      <c r="H453" s="2342" t="s">
        <v>4065</v>
      </c>
      <c r="I453" s="2402" t="s">
        <v>2452</v>
      </c>
      <c r="J453" s="2397" t="s">
        <v>3328</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4064</v>
      </c>
      <c r="J454" s="2397" t="s">
        <v>3331</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4064</v>
      </c>
      <c r="J455" s="2397" t="s">
        <v>3334</v>
      </c>
      <c r="K455" s="2397"/>
      <c r="L455" s="2397"/>
      <c r="M455" s="2397"/>
      <c r="N455" s="2397"/>
      <c r="O455" s="2397"/>
      <c r="P455" s="2397"/>
      <c r="Q455" s="2397"/>
      <c r="R455" s="2397"/>
      <c r="S455" s="2397"/>
    </row>
    <row r="456" spans="2:66" ht="14.25">
      <c r="B456" s="2397"/>
      <c r="C456" s="2397"/>
      <c r="D456" s="2406"/>
      <c r="E456" s="2397"/>
      <c r="F456" s="2397"/>
      <c r="G456" s="2404" t="s">
        <v>1349</v>
      </c>
      <c r="H456" s="2342" t="s">
        <v>4065</v>
      </c>
      <c r="I456" s="2402" t="s">
        <v>2452</v>
      </c>
      <c r="J456" s="2397" t="s">
        <v>3255</v>
      </c>
      <c r="K456" s="2397"/>
      <c r="L456" s="2403"/>
      <c r="M456" s="2397"/>
      <c r="N456" s="2397"/>
      <c r="O456" s="2397"/>
      <c r="P456" s="2397"/>
      <c r="Q456" s="2397"/>
      <c r="R456" s="2397"/>
      <c r="S456" s="2397"/>
    </row>
    <row r="457" spans="2:66" ht="14.25">
      <c r="B457" s="2397"/>
      <c r="C457" s="2397"/>
      <c r="D457" s="2406"/>
      <c r="E457" s="2397"/>
      <c r="F457" s="2397"/>
      <c r="G457" s="2404" t="s">
        <v>1706</v>
      </c>
      <c r="H457" s="2342" t="s">
        <v>4065</v>
      </c>
      <c r="I457" s="2402" t="s">
        <v>2452</v>
      </c>
      <c r="J457" s="2397" t="s">
        <v>3256</v>
      </c>
      <c r="K457" s="2397"/>
      <c r="L457" s="2403"/>
      <c r="M457" s="2397"/>
      <c r="N457" s="2397"/>
      <c r="O457" s="2397"/>
      <c r="P457" s="2397"/>
      <c r="Q457" s="2397"/>
      <c r="R457" s="2397"/>
      <c r="S457" s="2397"/>
    </row>
    <row r="458" spans="2:66" ht="14.25">
      <c r="B458" s="2397"/>
      <c r="C458" s="2397"/>
      <c r="D458" s="2397"/>
      <c r="E458" s="2397"/>
      <c r="F458" s="2397"/>
      <c r="G458" s="2404" t="s">
        <v>1968</v>
      </c>
      <c r="H458" s="2342">
        <v>2020</v>
      </c>
      <c r="I458" s="2342" t="s">
        <v>4064</v>
      </c>
      <c r="J458" s="2397" t="s">
        <v>3329</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4064</v>
      </c>
      <c r="J459" s="2397" t="s">
        <v>3332</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4064</v>
      </c>
      <c r="J460" s="2397" t="s">
        <v>3333</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4064</v>
      </c>
      <c r="J461" s="2397" t="s">
        <v>3257</v>
      </c>
      <c r="K461" s="2397"/>
      <c r="L461" s="2403"/>
      <c r="M461" s="2397"/>
      <c r="N461" s="2397"/>
      <c r="O461" s="2397"/>
      <c r="P461" s="2397"/>
      <c r="Q461" s="2397"/>
      <c r="R461" s="2397"/>
      <c r="S461" s="2397"/>
    </row>
    <row r="462" spans="2:66" ht="14.25">
      <c r="B462" s="2397"/>
      <c r="C462" s="2406"/>
      <c r="D462" s="2397"/>
      <c r="E462" s="2397"/>
      <c r="F462" s="2397"/>
      <c r="G462" s="2404" t="s">
        <v>2095</v>
      </c>
      <c r="H462" s="2342">
        <v>2020</v>
      </c>
      <c r="I462" s="2342" t="s">
        <v>4064</v>
      </c>
      <c r="J462" s="2397" t="s">
        <v>3258</v>
      </c>
      <c r="K462" s="2397"/>
      <c r="L462" s="2403"/>
      <c r="M462" s="2397"/>
      <c r="N462" s="2397"/>
      <c r="O462" s="2397"/>
      <c r="P462" s="2397"/>
      <c r="Q462" s="2397"/>
      <c r="R462" s="2397"/>
      <c r="S462" s="2397"/>
    </row>
    <row r="463" spans="2:66" ht="14.25">
      <c r="B463" s="2397"/>
      <c r="C463" s="2406"/>
      <c r="D463" s="2397"/>
      <c r="E463" s="2397"/>
      <c r="F463" s="2397"/>
      <c r="G463" s="2404" t="s">
        <v>4059</v>
      </c>
      <c r="H463" s="2342" t="s">
        <v>4065</v>
      </c>
      <c r="I463" s="2402" t="s">
        <v>2452</v>
      </c>
      <c r="J463" s="2397"/>
      <c r="K463" s="2397"/>
      <c r="L463" s="2403"/>
      <c r="M463" s="2397"/>
      <c r="N463" s="2397"/>
      <c r="O463" s="2397"/>
      <c r="P463" s="2397"/>
      <c r="Q463" s="2397"/>
      <c r="R463" s="2397"/>
      <c r="S463" s="2397"/>
    </row>
    <row r="464" spans="2:66" ht="14.25">
      <c r="B464" s="2397"/>
      <c r="C464" s="2406"/>
      <c r="D464" s="2397"/>
      <c r="E464" s="2397"/>
      <c r="F464" s="2397"/>
      <c r="G464" s="2404" t="s">
        <v>1748</v>
      </c>
      <c r="H464" s="2342" t="s">
        <v>4065</v>
      </c>
      <c r="I464" s="2402" t="s">
        <v>2452</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4065</v>
      </c>
      <c r="I465" s="2402" t="s">
        <v>2452</v>
      </c>
      <c r="J465" s="2397"/>
      <c r="K465" s="2397"/>
      <c r="L465" s="2403"/>
      <c r="M465" s="2397"/>
      <c r="N465" s="2397"/>
      <c r="O465" s="2397"/>
      <c r="P465" s="2397"/>
      <c r="Q465" s="2397"/>
      <c r="R465" s="2397"/>
      <c r="S465" s="2397"/>
    </row>
    <row r="466" spans="2:19" ht="14.25">
      <c r="B466" s="2397"/>
      <c r="C466" s="2406"/>
      <c r="D466" s="2397"/>
      <c r="E466" s="2397"/>
      <c r="F466" s="2397"/>
      <c r="G466" s="2404" t="s">
        <v>1950</v>
      </c>
      <c r="H466" s="2342" t="s">
        <v>4065</v>
      </c>
      <c r="I466" s="2402" t="s">
        <v>2452</v>
      </c>
      <c r="J466" s="2397"/>
      <c r="K466" s="2397"/>
      <c r="L466" s="2403"/>
      <c r="M466" s="2397"/>
      <c r="N466" s="2397"/>
      <c r="O466" s="2397"/>
      <c r="P466" s="2397"/>
      <c r="Q466" s="2397"/>
      <c r="R466" s="2397"/>
      <c r="S466" s="2397"/>
    </row>
    <row r="467" spans="2:19" ht="14.25">
      <c r="B467" s="2397"/>
      <c r="C467" s="2406"/>
      <c r="D467" s="2397"/>
      <c r="E467" s="2397"/>
      <c r="F467" s="2397"/>
      <c r="G467" s="2404" t="s">
        <v>2087</v>
      </c>
      <c r="H467" s="2342">
        <v>2020</v>
      </c>
      <c r="I467" s="2342" t="s">
        <v>4064</v>
      </c>
      <c r="J467" s="2397"/>
      <c r="K467" s="2397"/>
      <c r="L467" s="2403"/>
      <c r="M467" s="2397"/>
      <c r="N467" s="2397"/>
      <c r="O467" s="2397"/>
      <c r="P467" s="2397"/>
      <c r="Q467" s="2397"/>
      <c r="R467" s="2397"/>
      <c r="S467" s="2397"/>
    </row>
    <row r="468" spans="2:19" ht="14.25">
      <c r="B468" s="2397"/>
      <c r="C468" s="2406"/>
      <c r="D468" s="2397"/>
      <c r="E468" s="2397"/>
      <c r="F468" s="2397"/>
      <c r="G468" s="2404" t="s">
        <v>1973</v>
      </c>
      <c r="H468" s="2342">
        <v>2020</v>
      </c>
      <c r="I468" s="2342" t="s">
        <v>4064</v>
      </c>
      <c r="J468" s="2397"/>
      <c r="K468" s="2397"/>
      <c r="L468" s="2397"/>
      <c r="M468" s="2397"/>
      <c r="N468" s="2397"/>
      <c r="O468" s="2397"/>
      <c r="P468" s="2397"/>
      <c r="Q468" s="2397"/>
      <c r="R468" s="2397"/>
      <c r="S468" s="2397"/>
    </row>
    <row r="469" spans="2:19" ht="14.25">
      <c r="B469" s="2397"/>
      <c r="C469" s="2397"/>
      <c r="D469" s="2397"/>
      <c r="E469" s="2397"/>
      <c r="F469" s="2397"/>
      <c r="G469" s="2404" t="s">
        <v>2153</v>
      </c>
      <c r="H469" s="2342">
        <v>2019</v>
      </c>
      <c r="I469" s="2342" t="s">
        <v>4064</v>
      </c>
      <c r="J469" s="2397"/>
      <c r="K469" s="2397"/>
      <c r="L469" s="2397"/>
      <c r="M469" s="2397"/>
      <c r="N469" s="2397"/>
      <c r="O469" s="2397"/>
      <c r="P469" s="2397"/>
      <c r="Q469" s="2397"/>
      <c r="R469" s="2397"/>
      <c r="S469" s="2397"/>
    </row>
    <row r="470" spans="2:19">
      <c r="B470" s="2397"/>
      <c r="C470" s="2397"/>
      <c r="D470" s="2397"/>
      <c r="E470" s="2397"/>
      <c r="F470" s="2397"/>
      <c r="G470" s="2404" t="s">
        <v>4060</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4064</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4064</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4064</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4064</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4064</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4064</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4064</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4065</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2479</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1766</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6926</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3187</v>
      </c>
      <c r="C13" s="4105"/>
      <c r="D13" s="4105"/>
      <c r="E13" s="4105"/>
      <c r="F13" s="4105"/>
      <c r="G13" s="4105"/>
      <c r="H13" s="4105"/>
      <c r="I13" s="4105"/>
      <c r="J13" s="4105"/>
      <c r="K13" s="4105"/>
      <c r="L13" s="4105"/>
      <c r="M13" s="4105"/>
      <c r="U13" s="809" t="s">
        <v>6269</v>
      </c>
    </row>
    <row r="14" spans="1:26" ht="47.25" customHeight="1">
      <c r="A14" s="815" t="s">
        <v>1615</v>
      </c>
      <c r="B14" s="4105" t="s">
        <v>3188</v>
      </c>
      <c r="C14" s="4105"/>
      <c r="D14" s="4105"/>
      <c r="E14" s="4105"/>
      <c r="F14" s="4105"/>
      <c r="G14" s="4105"/>
      <c r="H14" s="4105"/>
      <c r="I14" s="4105"/>
      <c r="J14" s="4105"/>
      <c r="K14" s="4105"/>
      <c r="L14" s="4105"/>
      <c r="M14" s="4105"/>
    </row>
    <row r="15" spans="1:26" ht="117" customHeight="1">
      <c r="A15" s="815" t="s">
        <v>1616</v>
      </c>
      <c r="B15" s="4105" t="s">
        <v>3189</v>
      </c>
      <c r="C15" s="4105"/>
      <c r="D15" s="4105"/>
      <c r="E15" s="4105"/>
      <c r="F15" s="4105"/>
      <c r="G15" s="4105"/>
      <c r="H15" s="4105"/>
      <c r="I15" s="4105"/>
      <c r="J15" s="4105"/>
      <c r="K15" s="4105"/>
      <c r="L15" s="4105"/>
      <c r="M15" s="4105"/>
    </row>
    <row r="16" spans="1:26" ht="147" customHeight="1">
      <c r="A16" s="815" t="s">
        <v>2181</v>
      </c>
      <c r="B16" s="4105" t="s">
        <v>3068</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3067</v>
      </c>
      <c r="C18" s="4105"/>
      <c r="D18" s="4105"/>
      <c r="E18" s="4105"/>
      <c r="F18" s="4105"/>
      <c r="G18" s="4105"/>
      <c r="H18" s="4105"/>
      <c r="I18" s="4105"/>
      <c r="J18" s="4105"/>
      <c r="K18" s="4105"/>
      <c r="L18" s="4105"/>
      <c r="M18" s="4105"/>
    </row>
    <row r="19" spans="1:13" ht="48.75" customHeight="1">
      <c r="A19" s="815" t="s">
        <v>93</v>
      </c>
      <c r="B19" s="4101" t="s">
        <v>3190</v>
      </c>
      <c r="C19" s="4101"/>
      <c r="D19" s="4101"/>
      <c r="E19" s="4101"/>
      <c r="F19" s="4101"/>
      <c r="G19" s="4101"/>
      <c r="H19" s="4101"/>
      <c r="I19" s="4101"/>
      <c r="J19" s="4101"/>
      <c r="K19" s="4101"/>
      <c r="L19" s="4101"/>
      <c r="M19" s="4101"/>
    </row>
    <row r="20" spans="1:13" ht="50.25" customHeight="1">
      <c r="A20" s="815" t="s">
        <v>481</v>
      </c>
      <c r="B20" s="4105" t="s">
        <v>3069</v>
      </c>
      <c r="C20" s="4105"/>
      <c r="D20" s="4105"/>
      <c r="E20" s="4105"/>
      <c r="F20" s="4105"/>
      <c r="G20" s="4105"/>
      <c r="H20" s="4105"/>
      <c r="I20" s="4105"/>
      <c r="J20" s="4105"/>
      <c r="K20" s="4105"/>
      <c r="L20" s="4105"/>
      <c r="M20" s="4105"/>
    </row>
    <row r="21" spans="1:13" ht="31.5" customHeight="1">
      <c r="A21" s="815" t="s">
        <v>482</v>
      </c>
      <c r="B21" s="4105" t="s">
        <v>3086</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3087</v>
      </c>
      <c r="C25" s="4105"/>
      <c r="D25" s="4105"/>
      <c r="E25" s="4105"/>
      <c r="F25" s="4105"/>
      <c r="G25" s="4105"/>
      <c r="H25" s="4105"/>
      <c r="I25" s="4105"/>
      <c r="J25" s="4105"/>
      <c r="K25" s="4105"/>
      <c r="L25" s="4105"/>
      <c r="M25" s="4105"/>
    </row>
    <row r="26" spans="1:13" ht="31.5" customHeight="1">
      <c r="A26" s="815" t="s">
        <v>1375</v>
      </c>
      <c r="B26" s="4105" t="s">
        <v>3088</v>
      </c>
      <c r="C26" s="4105"/>
      <c r="D26" s="4105"/>
      <c r="E26" s="4105"/>
      <c r="F26" s="4105"/>
      <c r="G26" s="4105"/>
      <c r="H26" s="4105"/>
      <c r="I26" s="4105"/>
      <c r="J26" s="4105"/>
      <c r="K26" s="4105"/>
      <c r="L26" s="4105"/>
      <c r="M26" s="4105"/>
    </row>
    <row r="27" spans="1:13" ht="78.75" customHeight="1">
      <c r="A27" s="815" t="s">
        <v>1375</v>
      </c>
      <c r="B27" s="4105" t="s">
        <v>2480</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2481</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1838</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66" t="str">
        <f>'Part I-Project Identification'!F25</f>
        <v>Peaks of Douglas</v>
      </c>
      <c r="E3" s="4167"/>
      <c r="F3" s="4167"/>
      <c r="G3" s="4167"/>
      <c r="H3" s="4167"/>
      <c r="I3" s="4167"/>
      <c r="J3" s="4168" t="s">
        <v>6169</v>
      </c>
      <c r="K3" s="4169"/>
    </row>
    <row r="4" spans="1:11" ht="15" customHeight="1">
      <c r="A4" s="1332" t="s">
        <v>3967</v>
      </c>
      <c r="B4" s="1333"/>
      <c r="C4" s="1334"/>
      <c r="D4" s="4170"/>
      <c r="E4" s="4171"/>
      <c r="F4" s="4171"/>
      <c r="G4" s="4171"/>
      <c r="H4" s="4171"/>
      <c r="I4" s="4171"/>
      <c r="J4" s="4172" t="s">
        <v>4008</v>
      </c>
      <c r="K4" s="4173"/>
    </row>
    <row r="5" spans="1:11" ht="15" customHeight="1" thickBot="1">
      <c r="A5" s="1335" t="s">
        <v>3968</v>
      </c>
      <c r="B5" s="1336"/>
      <c r="C5" s="1337"/>
      <c r="D5" s="4176"/>
      <c r="E5" s="4177"/>
      <c r="F5" s="4177"/>
      <c r="G5" s="4177"/>
      <c r="H5" s="4177"/>
      <c r="I5" s="4177"/>
      <c r="J5" s="4174"/>
      <c r="K5" s="4175"/>
    </row>
    <row r="6" spans="1:11" ht="9" customHeight="1" thickBot="1">
      <c r="E6" s="1327"/>
    </row>
    <row r="7" spans="1:11">
      <c r="A7" s="4184" t="s">
        <v>3970</v>
      </c>
      <c r="B7" s="4185"/>
      <c r="C7" s="4185"/>
      <c r="D7" s="4185"/>
      <c r="E7" s="4185"/>
      <c r="F7" s="4185"/>
      <c r="G7" s="4185"/>
      <c r="H7" s="4185"/>
      <c r="I7" s="4185"/>
      <c r="J7" s="4185"/>
      <c r="K7" s="4186"/>
    </row>
    <row r="8" spans="1:11" ht="14.25" customHeight="1">
      <c r="A8" s="1333"/>
      <c r="B8" s="1333"/>
      <c r="C8" s="1567">
        <v>1</v>
      </c>
      <c r="D8" s="1352" t="s">
        <v>3971</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3972</v>
      </c>
      <c r="B10" s="4188"/>
      <c r="C10" s="4188"/>
      <c r="D10" s="4188"/>
      <c r="E10" s="4188"/>
      <c r="F10" s="4188"/>
      <c r="G10" s="4188"/>
      <c r="H10" s="4188"/>
      <c r="I10" s="4188"/>
      <c r="J10" s="4188"/>
      <c r="K10" s="4189"/>
    </row>
    <row r="11" spans="1:11" ht="14.25" customHeight="1">
      <c r="A11" s="1333"/>
      <c r="B11" s="1333"/>
      <c r="C11" s="1567">
        <v>2</v>
      </c>
      <c r="D11" s="1352" t="s">
        <v>3973</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3974</v>
      </c>
      <c r="B13" s="4188"/>
      <c r="C13" s="4188"/>
      <c r="D13" s="4188"/>
      <c r="E13" s="4188"/>
      <c r="F13" s="4188"/>
      <c r="G13" s="4188"/>
      <c r="H13" s="4188"/>
      <c r="I13" s="4188"/>
      <c r="J13" s="4188"/>
      <c r="K13" s="4189"/>
    </row>
    <row r="14" spans="1:11" ht="14.25" customHeight="1">
      <c r="A14" s="1333"/>
      <c r="B14" s="1333"/>
      <c r="C14" s="1568">
        <v>3</v>
      </c>
      <c r="D14" s="1356" t="s">
        <v>3975</v>
      </c>
      <c r="E14" s="1356"/>
      <c r="F14" s="1356"/>
      <c r="G14" s="1356"/>
      <c r="H14" s="1356"/>
      <c r="I14" s="1356"/>
      <c r="J14" s="4178"/>
      <c r="K14" s="4179"/>
    </row>
    <row r="15" spans="1:11" ht="14.25" customHeight="1">
      <c r="A15" s="1333"/>
      <c r="B15" s="1333"/>
      <c r="C15" s="1569">
        <v>4</v>
      </c>
      <c r="D15" s="1333" t="s">
        <v>3976</v>
      </c>
      <c r="E15" s="1333"/>
      <c r="F15" s="1333"/>
      <c r="G15" s="1333"/>
      <c r="H15" s="1333"/>
      <c r="I15" s="1333"/>
      <c r="J15" s="4119"/>
      <c r="K15" s="4120"/>
    </row>
    <row r="16" spans="1:11" ht="14.25" customHeight="1">
      <c r="A16" s="1333"/>
      <c r="B16" s="1333"/>
      <c r="C16" s="1569">
        <v>5</v>
      </c>
      <c r="D16" s="1333" t="s">
        <v>3977</v>
      </c>
      <c r="E16" s="1333"/>
      <c r="F16" s="1333"/>
      <c r="G16" s="1333"/>
      <c r="H16" s="1333"/>
      <c r="I16" s="1333"/>
      <c r="J16" s="4119"/>
      <c r="K16" s="4120"/>
    </row>
    <row r="17" spans="1:13" ht="14.25" customHeight="1">
      <c r="A17" s="1333"/>
      <c r="B17" s="1333"/>
      <c r="C17" s="1570">
        <v>6</v>
      </c>
      <c r="D17" s="1336" t="s">
        <v>3978</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3979</v>
      </c>
      <c r="E19" s="1356"/>
      <c r="F19" s="1356"/>
      <c r="G19" s="1356"/>
      <c r="H19" s="1356"/>
      <c r="I19" s="1356"/>
      <c r="J19" s="4115" t="str">
        <f>IF(J17="No",J14-J15,IF(J17="Yes",J14-J15-J16,"Error"))</f>
        <v>Error</v>
      </c>
      <c r="K19" s="4116"/>
    </row>
    <row r="20" spans="1:13" ht="14.25" customHeight="1">
      <c r="A20" s="1333"/>
      <c r="B20" s="1333"/>
      <c r="C20" s="1570">
        <v>8</v>
      </c>
      <c r="D20" s="1336" t="s">
        <v>3980</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3981</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4012</v>
      </c>
      <c r="B30" s="4155"/>
      <c r="C30" s="4155"/>
      <c r="D30" s="4155"/>
      <c r="E30" s="4155"/>
      <c r="F30" s="4155"/>
      <c r="G30" s="4155"/>
      <c r="H30" s="4155"/>
      <c r="I30" s="4155"/>
      <c r="J30" s="4155"/>
      <c r="K30" s="4156"/>
    </row>
    <row r="31" spans="1:13">
      <c r="B31" s="4157" t="s">
        <v>6169</v>
      </c>
      <c r="C31" s="4157"/>
      <c r="D31" s="4157"/>
      <c r="E31" s="4157"/>
      <c r="F31" s="4157"/>
      <c r="G31" s="4158" t="s">
        <v>3983</v>
      </c>
      <c r="H31" s="4159"/>
      <c r="I31" s="4159"/>
      <c r="J31" s="4159"/>
      <c r="K31" s="4160"/>
    </row>
    <row r="32" spans="1:13" ht="56.25" customHeight="1">
      <c r="A32" s="1351"/>
      <c r="B32" s="1369" t="s">
        <v>4011</v>
      </c>
      <c r="C32" s="1370" t="s">
        <v>4007</v>
      </c>
      <c r="D32" s="1370" t="s">
        <v>4006</v>
      </c>
      <c r="E32" s="4161" t="s">
        <v>6097</v>
      </c>
      <c r="F32" s="4162"/>
      <c r="G32" s="1371" t="s">
        <v>3984</v>
      </c>
      <c r="H32" s="1371" t="s">
        <v>3985</v>
      </c>
      <c r="J32" s="1371" t="s">
        <v>3986</v>
      </c>
      <c r="K32" s="1371" t="s">
        <v>3987</v>
      </c>
      <c r="L32" s="4163" t="s">
        <v>3988</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3989</v>
      </c>
      <c r="H52" s="1372" t="e">
        <f>SUM(H33:H51)</f>
        <v>#VALUE!</v>
      </c>
      <c r="I52" s="1356"/>
      <c r="J52" s="1362" t="s">
        <v>3990</v>
      </c>
      <c r="K52" s="1358" t="e">
        <f>SUM(K33:K51)</f>
        <v>#VALUE!</v>
      </c>
      <c r="L52" s="4163"/>
      <c r="M52" s="4163"/>
    </row>
    <row r="53" spans="1:13" ht="15" customHeight="1">
      <c r="B53" s="1363"/>
      <c r="C53" s="4149" t="s">
        <v>3991</v>
      </c>
      <c r="D53" s="4149"/>
      <c r="E53" s="4149"/>
      <c r="F53" s="4149"/>
      <c r="G53" s="4149"/>
      <c r="H53" s="4149"/>
      <c r="I53" s="4149"/>
      <c r="J53" s="4150"/>
      <c r="K53" s="1364" t="str">
        <f>IF(J17="no",0,IF(J17="yes",J16,"Error"))</f>
        <v>Error</v>
      </c>
      <c r="L53" s="4163"/>
      <c r="M53" s="4163"/>
    </row>
    <row r="54" spans="1:13" ht="15" customHeight="1" thickBot="1">
      <c r="B54" s="1363"/>
      <c r="C54" s="4151" t="s">
        <v>3992</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3993</v>
      </c>
      <c r="B56" s="4125"/>
      <c r="C56" s="4125"/>
      <c r="D56" s="4125"/>
      <c r="E56" s="4125"/>
      <c r="F56" s="4125"/>
      <c r="G56" s="4125"/>
      <c r="H56" s="4125"/>
      <c r="I56" s="4125"/>
      <c r="J56" s="4125"/>
      <c r="K56" s="4126"/>
    </row>
    <row r="57" spans="1:13" ht="48" customHeight="1">
      <c r="A57" s="1348"/>
      <c r="B57" s="1339"/>
      <c r="C57" s="1350" t="s">
        <v>3994</v>
      </c>
      <c r="D57" s="1483" t="s">
        <v>6062</v>
      </c>
      <c r="E57" s="4136" t="s">
        <v>4010</v>
      </c>
      <c r="F57" s="4137"/>
      <c r="G57" s="4138" t="s">
        <v>3995</v>
      </c>
      <c r="H57" s="4139"/>
      <c r="I57" s="4136" t="s">
        <v>4009</v>
      </c>
      <c r="J57" s="4137"/>
      <c r="K57" s="4140"/>
    </row>
    <row r="58" spans="1:13" ht="15" customHeight="1">
      <c r="A58" s="1465"/>
      <c r="B58" s="1381"/>
      <c r="C58" s="1359">
        <f>SUMIF(C33:C51, "0", H33:H51)</f>
        <v>0</v>
      </c>
      <c r="D58" s="1484">
        <f t="shared" ref="D58:D63" si="4">ROUNDUP(C58*1.1,0)</f>
        <v>0</v>
      </c>
      <c r="E58" s="4142" t="s">
        <v>3996</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2461</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2462</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2465</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3997</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3998</v>
      </c>
      <c r="F63" s="4134"/>
      <c r="G63" s="4130">
        <f>'DCA Underwriting Assumptions'!H133</f>
        <v>316236</v>
      </c>
      <c r="H63" s="4131"/>
      <c r="I63" s="4135">
        <f t="shared" si="5"/>
        <v>0</v>
      </c>
      <c r="J63" s="4135"/>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23"/>
      <c r="B65" s="4123"/>
      <c r="C65" s="4123"/>
      <c r="D65" s="4123"/>
      <c r="E65" s="4123"/>
      <c r="F65" s="4123"/>
      <c r="G65" s="4123"/>
      <c r="H65" s="4123"/>
      <c r="I65" s="4123"/>
      <c r="J65" s="4123"/>
    </row>
    <row r="66" spans="1:11">
      <c r="A66" s="4124" t="s">
        <v>4001</v>
      </c>
      <c r="B66" s="4125"/>
      <c r="C66" s="4125"/>
      <c r="D66" s="4125"/>
      <c r="E66" s="4125"/>
      <c r="F66" s="4125"/>
      <c r="G66" s="4125"/>
      <c r="H66" s="4125"/>
      <c r="I66" s="4125"/>
      <c r="J66" s="4125"/>
      <c r="K66" s="4126"/>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127" t="s">
        <v>4005</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Peaks of Douglas, Douglasville, Douglas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6529</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6528</v>
      </c>
      <c r="M5" s="1807" t="str">
        <f>'Part I-Project Identification'!$F$12</f>
        <v>9% Credit Competitive Round only</v>
      </c>
      <c r="N5" s="1808"/>
      <c r="O5" s="1809"/>
      <c r="P5" s="4322"/>
      <c r="Q5" s="4368"/>
      <c r="R5" s="1604"/>
      <c r="S5" s="1604"/>
    </row>
    <row r="6" spans="1:19" ht="17.25" customHeight="1">
      <c r="A6" s="96" t="s">
        <v>6527</v>
      </c>
      <c r="I6" s="490"/>
      <c r="J6" s="490"/>
      <c r="K6" s="4317" t="s">
        <v>3279</v>
      </c>
      <c r="L6" s="4317"/>
      <c r="M6" s="4317"/>
      <c r="N6" s="4317"/>
      <c r="O6" s="4318"/>
      <c r="P6" s="4312"/>
      <c r="Q6" s="4313"/>
      <c r="R6" s="1604"/>
      <c r="S6" s="1604"/>
    </row>
    <row r="7" spans="1:19" ht="12.6" customHeight="1">
      <c r="A7" s="97" t="s">
        <v>3065</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1882</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1871</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1872</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1873</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1874</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1875</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1876</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1877</v>
      </c>
      <c r="B21" s="4297"/>
      <c r="C21" s="4297"/>
      <c r="D21" s="4297"/>
      <c r="E21" s="4297"/>
      <c r="F21" s="4297"/>
      <c r="G21" s="4297"/>
      <c r="H21" s="4297"/>
      <c r="I21" s="4297"/>
      <c r="J21" s="4297"/>
      <c r="K21" s="4297"/>
      <c r="L21" s="4297"/>
      <c r="M21" s="4297"/>
      <c r="N21" s="4297"/>
      <c r="O21" s="4297"/>
      <c r="P21" s="4297"/>
      <c r="Q21" s="4298"/>
    </row>
    <row r="22" spans="1:31" ht="11.25" customHeight="1">
      <c r="A22" s="4296" t="s">
        <v>1878</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1879</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1880</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1881</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6631</v>
      </c>
      <c r="C27" s="100"/>
      <c r="D27" s="66"/>
      <c r="E27" s="66"/>
      <c r="F27" s="66"/>
      <c r="G27" s="66"/>
      <c r="I27" s="891"/>
      <c r="J27" s="891"/>
      <c r="K27" s="891"/>
      <c r="L27" s="686"/>
      <c r="M27" s="686"/>
      <c r="O27" s="101" t="s">
        <v>1730</v>
      </c>
      <c r="P27" s="4199"/>
      <c r="Q27" s="4200"/>
    </row>
    <row r="28" spans="1:31" ht="3" customHeight="1"/>
    <row r="29" spans="1:31" ht="11.25" customHeight="1">
      <c r="B29" s="42" t="s">
        <v>3238</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1730</v>
      </c>
      <c r="P34" s="4199"/>
      <c r="Q34" s="4200"/>
    </row>
    <row r="35" spans="1:31" ht="12.75" customHeight="1">
      <c r="A35" s="2"/>
      <c r="B35" s="108" t="s">
        <v>6639</v>
      </c>
      <c r="C35" s="4"/>
      <c r="D35" s="4"/>
      <c r="E35" s="887"/>
      <c r="F35" s="887"/>
      <c r="H35" s="887"/>
      <c r="J35" s="3040" t="s">
        <v>6463</v>
      </c>
      <c r="K35" s="3041"/>
      <c r="L35" s="3042"/>
      <c r="M35" s="147" t="s">
        <v>1647</v>
      </c>
      <c r="N35" s="4190"/>
      <c r="O35" s="4191"/>
      <c r="P35" s="4191"/>
      <c r="Q35" s="4192"/>
    </row>
    <row r="36" spans="1:31" ht="12.75" customHeight="1">
      <c r="A36" s="2"/>
      <c r="B36" s="108" t="s">
        <v>6638</v>
      </c>
      <c r="C36" s="4"/>
      <c r="D36" s="4"/>
      <c r="E36" s="887"/>
      <c r="F36" s="887"/>
      <c r="G36" s="1664"/>
      <c r="H36" s="887"/>
      <c r="J36" s="3040" t="s">
        <v>6464</v>
      </c>
      <c r="K36" s="3041"/>
      <c r="L36" s="3042"/>
      <c r="M36" s="147" t="s">
        <v>1647</v>
      </c>
      <c r="N36" s="4190"/>
      <c r="O36" s="4191"/>
      <c r="P36" s="4191"/>
      <c r="Q36" s="4192"/>
    </row>
    <row r="37" spans="1:31" ht="12.75" customHeight="1">
      <c r="B37" s="73" t="s">
        <v>3238</v>
      </c>
      <c r="D37" s="73"/>
      <c r="E37" s="73"/>
      <c r="F37" s="73"/>
      <c r="G37" s="73"/>
      <c r="H37" s="33"/>
      <c r="I37" s="891"/>
      <c r="J37" s="891"/>
      <c r="K37" s="1770" t="s">
        <v>1729</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3787</v>
      </c>
      <c r="M40" s="1319" t="s">
        <v>3788</v>
      </c>
      <c r="O40" s="101" t="s">
        <v>1730</v>
      </c>
      <c r="P40" s="4199"/>
      <c r="Q40" s="4200"/>
    </row>
    <row r="41" spans="1:31" ht="1.5" customHeight="1"/>
    <row r="42" spans="1:31" ht="12" customHeight="1">
      <c r="A42" s="110" t="s">
        <v>1840</v>
      </c>
      <c r="B42" s="4193" t="s">
        <v>3782</v>
      </c>
      <c r="C42" s="4193"/>
      <c r="D42" s="4193"/>
      <c r="E42" s="4193"/>
      <c r="F42" s="4193"/>
      <c r="G42" s="4193"/>
      <c r="H42" s="4193"/>
      <c r="I42" s="4193"/>
      <c r="J42" s="4193"/>
      <c r="K42" s="115"/>
      <c r="L42" s="347" t="s">
        <v>2579</v>
      </c>
      <c r="M42" s="1203">
        <v>2</v>
      </c>
      <c r="N42" s="108" t="s">
        <v>4019</v>
      </c>
      <c r="P42" s="4345"/>
      <c r="Q42" s="4355"/>
    </row>
    <row r="43" spans="1:31" ht="12" customHeight="1">
      <c r="A43" s="110"/>
      <c r="B43" s="4193"/>
      <c r="C43" s="4193"/>
      <c r="D43" s="4193"/>
      <c r="E43" s="4193"/>
      <c r="F43" s="4193"/>
      <c r="G43" s="4193"/>
      <c r="H43" s="4193"/>
      <c r="I43" s="4193"/>
      <c r="J43" s="4193"/>
      <c r="K43" s="115"/>
      <c r="L43" s="347" t="s">
        <v>3786</v>
      </c>
      <c r="M43" s="1204">
        <v>4</v>
      </c>
      <c r="O43" s="111"/>
      <c r="P43" s="4346"/>
      <c r="Q43" s="4356"/>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1842</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2181</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16"/>
      <c r="M50" s="4217"/>
      <c r="N50" s="4217"/>
      <c r="O50" s="4217"/>
      <c r="P50" s="4217"/>
      <c r="Q50" s="4295"/>
    </row>
    <row r="51" spans="1:31" ht="12.75" customHeight="1">
      <c r="A51" s="112"/>
      <c r="B51" s="372" t="s">
        <v>1448</v>
      </c>
      <c r="C51" s="4193" t="s">
        <v>3792</v>
      </c>
      <c r="D51" s="4193"/>
      <c r="E51" s="4193"/>
      <c r="F51" s="4193"/>
      <c r="G51" s="4193"/>
      <c r="H51" s="4193"/>
      <c r="I51" s="4193"/>
      <c r="J51" s="4193"/>
      <c r="K51" s="4193"/>
      <c r="L51" s="4193"/>
      <c r="M51" s="413"/>
      <c r="N51" s="108" t="s">
        <v>4024</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3238</v>
      </c>
      <c r="D53" s="73"/>
      <c r="E53" s="73"/>
      <c r="F53" s="73"/>
      <c r="G53" s="73"/>
      <c r="H53" s="33"/>
      <c r="I53" s="891"/>
      <c r="J53" s="891"/>
      <c r="K53" s="105" t="s">
        <v>1729</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1730</v>
      </c>
      <c r="P56" s="4199"/>
      <c r="Q56" s="4200"/>
    </row>
    <row r="57" spans="1:31" ht="3" customHeight="1"/>
    <row r="58" spans="1:31" ht="12.75" customHeight="1">
      <c r="A58" s="40" t="s">
        <v>1840</v>
      </c>
      <c r="B58" s="32" t="s">
        <v>2263</v>
      </c>
      <c r="D58" s="103"/>
      <c r="E58" s="103"/>
      <c r="F58" s="103"/>
      <c r="G58" s="103"/>
      <c r="H58" s="103"/>
      <c r="I58" s="35"/>
      <c r="J58" s="35"/>
      <c r="K58" s="35"/>
      <c r="L58" s="48" t="s">
        <v>1840</v>
      </c>
      <c r="M58" s="4220"/>
      <c r="N58" s="4221"/>
      <c r="O58" s="4221"/>
      <c r="P58" s="4308"/>
      <c r="Q58" s="419"/>
    </row>
    <row r="59" spans="1:31" ht="12.75" customHeight="1">
      <c r="A59" s="40" t="s">
        <v>1842</v>
      </c>
      <c r="B59" s="29" t="s">
        <v>3944</v>
      </c>
      <c r="D59" s="103"/>
      <c r="E59" s="103"/>
      <c r="F59" s="103"/>
      <c r="L59" s="48" t="s">
        <v>1842</v>
      </c>
      <c r="M59" s="4343"/>
      <c r="N59" s="4344"/>
      <c r="O59" s="4344"/>
      <c r="P59" s="3209"/>
      <c r="Q59" s="420"/>
    </row>
    <row r="60" spans="1:31" ht="12.75" customHeight="1">
      <c r="A60" s="40" t="s">
        <v>698</v>
      </c>
      <c r="B60" s="29" t="s">
        <v>2556</v>
      </c>
      <c r="D60" s="103"/>
      <c r="E60" s="103"/>
      <c r="F60" s="103"/>
      <c r="L60" s="48" t="s">
        <v>698</v>
      </c>
      <c r="M60" s="4339"/>
      <c r="N60" s="4340"/>
      <c r="O60" s="4340"/>
      <c r="P60" s="4341"/>
      <c r="Q60" s="420"/>
    </row>
    <row r="61" spans="1:31" ht="12.75" customHeight="1">
      <c r="A61" s="40" t="s">
        <v>1961</v>
      </c>
      <c r="B61" s="29" t="s">
        <v>3302</v>
      </c>
      <c r="D61" s="103"/>
      <c r="E61" s="103"/>
      <c r="F61" s="103"/>
      <c r="J61" s="48" t="s">
        <v>3303</v>
      </c>
      <c r="K61" s="1531"/>
      <c r="L61" s="1528"/>
      <c r="M61" s="1530"/>
      <c r="N61" s="1529"/>
      <c r="O61" s="877" t="s">
        <v>3388</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35"/>
      <c r="F64" s="4235"/>
      <c r="G64" s="4235"/>
      <c r="H64" s="48" t="s">
        <v>2181</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1807</v>
      </c>
      <c r="B68" s="29" t="s">
        <v>6104</v>
      </c>
      <c r="D68" s="103"/>
      <c r="E68" s="103"/>
      <c r="F68" s="103"/>
      <c r="G68" s="103"/>
      <c r="H68" s="103"/>
      <c r="I68" s="35"/>
      <c r="J68" s="35"/>
      <c r="K68" s="103"/>
      <c r="L68" s="889"/>
      <c r="M68" s="889"/>
      <c r="O68" s="48" t="s">
        <v>1807</v>
      </c>
      <c r="P68" s="299"/>
      <c r="Q68" s="420"/>
    </row>
    <row r="69" spans="1:31" ht="10.5" customHeight="1">
      <c r="A69" s="40" t="s">
        <v>3003</v>
      </c>
      <c r="B69" s="29" t="s">
        <v>6105</v>
      </c>
      <c r="D69" s="103"/>
      <c r="E69" s="103"/>
      <c r="F69" s="103"/>
      <c r="G69" s="103"/>
      <c r="H69" s="103"/>
      <c r="I69" s="35"/>
      <c r="J69" s="35"/>
      <c r="K69" s="103"/>
      <c r="L69" s="889"/>
      <c r="M69" s="889"/>
      <c r="O69" s="48" t="s">
        <v>3003</v>
      </c>
      <c r="P69" s="878"/>
      <c r="Q69" s="1527"/>
    </row>
    <row r="70" spans="1:31" ht="9.75" customHeight="1">
      <c r="B70" s="109" t="s">
        <v>3238</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2422</v>
      </c>
      <c r="C74" s="2"/>
      <c r="D74" s="887"/>
      <c r="E74" s="887"/>
      <c r="F74" s="887"/>
      <c r="G74" s="887"/>
      <c r="H74" s="887"/>
      <c r="I74" s="887"/>
      <c r="J74" s="887"/>
      <c r="K74" s="887"/>
      <c r="L74" s="887"/>
      <c r="M74" s="887"/>
      <c r="O74" s="101" t="s">
        <v>1730</v>
      </c>
      <c r="P74" s="4199"/>
      <c r="Q74" s="4200"/>
    </row>
    <row r="75" spans="1:31" ht="3" customHeight="1"/>
    <row r="76" spans="1:31" ht="12.75" customHeight="1">
      <c r="A76" s="40" t="s">
        <v>1840</v>
      </c>
      <c r="B76" s="29" t="s">
        <v>4025</v>
      </c>
      <c r="C76" s="29"/>
      <c r="E76" s="29"/>
      <c r="F76" s="29"/>
      <c r="G76" s="29"/>
      <c r="H76" s="29"/>
      <c r="I76" s="29"/>
      <c r="J76" s="29"/>
      <c r="K76" s="29"/>
      <c r="L76" s="33"/>
      <c r="M76" s="33"/>
      <c r="O76" s="48" t="s">
        <v>1840</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2181</v>
      </c>
      <c r="C80" s="33" t="s">
        <v>3796</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3" t="s">
        <v>3947</v>
      </c>
      <c r="D84" s="4193"/>
      <c r="E84" s="4193"/>
      <c r="F84" s="4193"/>
      <c r="G84" s="4193"/>
      <c r="H84" s="4193"/>
      <c r="I84" s="4193"/>
      <c r="J84" s="4193"/>
      <c r="K84" s="4193"/>
      <c r="L84" s="4193"/>
      <c r="M84" s="4193"/>
      <c r="N84" s="4193"/>
      <c r="O84" s="128" t="s">
        <v>481</v>
      </c>
      <c r="P84" s="896"/>
      <c r="Q84" s="895"/>
    </row>
    <row r="85" spans="1:31" ht="12.75" customHeight="1">
      <c r="A85" s="40" t="s">
        <v>1842</v>
      </c>
      <c r="B85" s="29" t="s">
        <v>3946</v>
      </c>
      <c r="C85" s="29"/>
      <c r="E85" s="29"/>
      <c r="F85" s="29"/>
      <c r="G85" s="29"/>
      <c r="H85" s="29"/>
      <c r="I85" s="29"/>
      <c r="J85" s="29"/>
      <c r="K85" s="29"/>
      <c r="L85" s="29"/>
      <c r="M85" s="29"/>
      <c r="O85" s="48" t="s">
        <v>1842</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3238</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2423</v>
      </c>
      <c r="C92" s="33"/>
      <c r="D92" s="887"/>
      <c r="E92" s="887"/>
      <c r="F92" s="887"/>
      <c r="G92" s="887"/>
      <c r="H92" s="887"/>
      <c r="I92" s="887"/>
      <c r="J92" s="887"/>
      <c r="K92" s="887"/>
      <c r="L92" s="887"/>
      <c r="M92" s="887"/>
      <c r="N92" s="858" t="s">
        <v>6530</v>
      </c>
      <c r="O92" s="101" t="s">
        <v>1730</v>
      </c>
      <c r="P92" s="4199"/>
      <c r="Q92" s="4200"/>
      <c r="R92" s="860" t="s">
        <v>6517</v>
      </c>
    </row>
    <row r="93" spans="1:31" ht="6.6" customHeight="1"/>
    <row r="94" spans="1:31">
      <c r="A94" s="40" t="s">
        <v>1840</v>
      </c>
      <c r="B94" s="29" t="s">
        <v>6184</v>
      </c>
      <c r="D94" s="103"/>
      <c r="E94" s="103"/>
      <c r="F94" s="103"/>
      <c r="G94" s="103"/>
      <c r="H94" s="103"/>
      <c r="I94" s="35"/>
      <c r="J94" s="35"/>
      <c r="K94" s="48" t="s">
        <v>1840</v>
      </c>
      <c r="L94" s="4238"/>
      <c r="M94" s="4238"/>
      <c r="N94" s="4238"/>
      <c r="O94" s="4238"/>
      <c r="P94" s="4239"/>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1842</v>
      </c>
      <c r="B97" s="29" t="s">
        <v>6629</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57"/>
      <c r="M99" s="4357"/>
      <c r="N99" s="4357"/>
      <c r="O99" s="4357"/>
      <c r="P99" s="4358"/>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6617</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2239</v>
      </c>
      <c r="F105" s="29" t="s">
        <v>6620</v>
      </c>
      <c r="G105" s="72"/>
      <c r="H105" s="29"/>
      <c r="I105" s="72"/>
      <c r="J105" s="72"/>
      <c r="K105" s="103"/>
      <c r="L105" s="889"/>
      <c r="M105" s="889"/>
      <c r="O105" s="48" t="s">
        <v>2239</v>
      </c>
      <c r="P105" s="1864"/>
      <c r="Q105" s="1865"/>
    </row>
    <row r="106" spans="1:17" s="115" customFormat="1" ht="12" customHeight="1">
      <c r="A106" s="40"/>
      <c r="B106" s="33"/>
      <c r="E106" s="48" t="s">
        <v>2240</v>
      </c>
      <c r="F106" s="29" t="s">
        <v>6621</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2239</v>
      </c>
      <c r="F108" s="29" t="s">
        <v>6622</v>
      </c>
      <c r="G108" s="72"/>
      <c r="H108" s="29"/>
      <c r="I108" s="72"/>
      <c r="J108" s="72"/>
      <c r="K108" s="103"/>
      <c r="L108" s="889"/>
      <c r="O108" s="48" t="s">
        <v>2239</v>
      </c>
      <c r="P108" s="1864"/>
      <c r="Q108" s="1865"/>
    </row>
    <row r="109" spans="1:17" s="115" customFormat="1" ht="12" customHeight="1">
      <c r="A109" s="40"/>
      <c r="B109" s="48"/>
      <c r="E109" s="48" t="s">
        <v>2240</v>
      </c>
      <c r="F109" s="29" t="s">
        <v>6623</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2499</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3280</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2181</v>
      </c>
      <c r="C114" s="44" t="s">
        <v>2414</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2500</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3844</v>
      </c>
      <c r="E121" s="29"/>
      <c r="F121" s="29"/>
      <c r="G121" s="29"/>
      <c r="H121" s="29"/>
      <c r="I121" s="35"/>
      <c r="J121" s="35"/>
      <c r="K121" s="29"/>
      <c r="L121" s="29"/>
      <c r="M121" s="29"/>
      <c r="O121" s="48" t="s">
        <v>2181</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193" t="s">
        <v>141</v>
      </c>
      <c r="C123" s="4193"/>
      <c r="D123" s="4193"/>
      <c r="E123" s="4193"/>
      <c r="F123" s="4193"/>
      <c r="G123" s="4193"/>
      <c r="H123" s="4193"/>
      <c r="I123" s="4193"/>
      <c r="J123" s="4193"/>
      <c r="K123" s="4193"/>
      <c r="L123" s="4193"/>
      <c r="M123" s="128" t="s">
        <v>1807</v>
      </c>
      <c r="N123" s="4373" t="s">
        <v>1646</v>
      </c>
      <c r="O123" s="4374"/>
      <c r="P123" s="4375" t="s">
        <v>1646</v>
      </c>
      <c r="Q123" s="4376"/>
    </row>
    <row r="124" spans="1:31" ht="11.25" customHeight="1">
      <c r="B124" s="109" t="s">
        <v>3238</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6530</v>
      </c>
      <c r="O130" s="101" t="s">
        <v>1730</v>
      </c>
      <c r="P130" s="4199"/>
      <c r="Q130" s="4200"/>
      <c r="R130" s="860" t="s">
        <v>6517</v>
      </c>
    </row>
    <row r="131" spans="1:31" ht="12" customHeight="1">
      <c r="A131" s="40" t="s">
        <v>1840</v>
      </c>
      <c r="B131" s="113" t="s">
        <v>1614</v>
      </c>
      <c r="C131" s="29" t="s">
        <v>6532</v>
      </c>
      <c r="D131" s="29"/>
      <c r="E131" s="29"/>
      <c r="F131" s="29"/>
      <c r="G131" s="29"/>
      <c r="K131" s="29" t="s">
        <v>2459</v>
      </c>
      <c r="M131" s="4302"/>
      <c r="N131" s="4303"/>
      <c r="O131" s="49" t="s">
        <v>1614</v>
      </c>
      <c r="P131" s="74"/>
      <c r="Q131" s="417"/>
    </row>
    <row r="132" spans="1:31" ht="12" customHeight="1">
      <c r="A132" s="40"/>
      <c r="B132" s="113" t="s">
        <v>1615</v>
      </c>
      <c r="C132" s="29" t="s">
        <v>4053</v>
      </c>
      <c r="D132" s="29"/>
      <c r="E132" s="29"/>
      <c r="F132" s="29"/>
      <c r="G132" s="29"/>
      <c r="K132" s="29" t="s">
        <v>2459</v>
      </c>
      <c r="M132" s="4302"/>
      <c r="N132" s="4303"/>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1842</v>
      </c>
      <c r="M133" s="4304" t="s">
        <v>6839</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1961</v>
      </c>
      <c r="B135" s="4193" t="s">
        <v>6190</v>
      </c>
      <c r="C135" s="4193"/>
      <c r="D135" s="4193"/>
      <c r="E135" s="4193"/>
      <c r="F135" s="4193"/>
      <c r="G135" s="4193"/>
      <c r="H135" s="4193"/>
      <c r="I135" s="4193"/>
      <c r="J135" s="4193"/>
      <c r="K135" s="4193"/>
      <c r="L135" s="4193"/>
      <c r="M135" s="4193"/>
      <c r="N135" s="4193"/>
      <c r="O135" s="128" t="s">
        <v>1961</v>
      </c>
      <c r="P135" s="896"/>
      <c r="Q135" s="895"/>
    </row>
    <row r="136" spans="1:31" ht="12" customHeight="1">
      <c r="B136" s="109" t="s">
        <v>3238</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1730</v>
      </c>
      <c r="P141" s="4199"/>
      <c r="Q141" s="4200"/>
    </row>
    <row r="142" spans="1:31" ht="21.75" customHeight="1">
      <c r="A142" s="110" t="s">
        <v>1840</v>
      </c>
      <c r="B142" s="4193" t="s">
        <v>3231</v>
      </c>
      <c r="C142" s="4193"/>
      <c r="D142" s="4193"/>
      <c r="E142" s="4193"/>
      <c r="F142" s="4193"/>
      <c r="G142" s="4193"/>
      <c r="H142" s="4193"/>
      <c r="I142" s="4193"/>
      <c r="J142" s="4193"/>
      <c r="K142" s="4193"/>
      <c r="L142" s="4193"/>
      <c r="M142" s="4193"/>
      <c r="N142" s="4193"/>
      <c r="O142" s="128" t="s">
        <v>1840</v>
      </c>
      <c r="P142" s="894"/>
      <c r="Q142" s="893"/>
    </row>
    <row r="143" spans="1:31" ht="22.35" customHeight="1">
      <c r="A143" s="110" t="s">
        <v>1842</v>
      </c>
      <c r="B143" s="4193" t="s">
        <v>3797</v>
      </c>
      <c r="C143" s="4193"/>
      <c r="D143" s="4193"/>
      <c r="E143" s="4193"/>
      <c r="F143" s="4193"/>
      <c r="G143" s="4193"/>
      <c r="H143" s="4193"/>
      <c r="I143" s="4193"/>
      <c r="J143" s="4193"/>
      <c r="K143" s="4193"/>
      <c r="L143" s="4193"/>
      <c r="M143" s="4193"/>
      <c r="N143" s="4193"/>
      <c r="O143" s="128" t="s">
        <v>1842</v>
      </c>
      <c r="P143" s="431"/>
      <c r="Q143" s="422"/>
    </row>
    <row r="144" spans="1:31" ht="22.35" customHeight="1">
      <c r="A144" s="110" t="s">
        <v>698</v>
      </c>
      <c r="B144" s="4193" t="s">
        <v>3232</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1961</v>
      </c>
      <c r="B145" s="4193" t="s">
        <v>3830</v>
      </c>
      <c r="C145" s="4193"/>
      <c r="D145" s="4193"/>
      <c r="E145" s="4193"/>
      <c r="F145" s="4193"/>
      <c r="G145" s="4193"/>
      <c r="H145" s="4193"/>
      <c r="I145" s="4193"/>
      <c r="J145" s="4193"/>
      <c r="K145" s="4193"/>
      <c r="L145" s="4193"/>
      <c r="M145" s="4193"/>
      <c r="N145" s="4193"/>
      <c r="O145" s="128" t="s">
        <v>1961</v>
      </c>
      <c r="P145" s="896"/>
      <c r="Q145" s="895"/>
    </row>
    <row r="146" spans="1:44" ht="12" customHeight="1">
      <c r="B146" s="109" t="s">
        <v>3238</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2426</v>
      </c>
      <c r="C151" s="3594"/>
      <c r="D151" s="3594"/>
      <c r="E151" s="236"/>
      <c r="N151" s="858" t="s">
        <v>6530</v>
      </c>
      <c r="O151" s="101" t="s">
        <v>1730</v>
      </c>
      <c r="P151" s="4199"/>
      <c r="Q151" s="4200"/>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6109</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3832</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3" t="s">
        <v>3233</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193" t="s">
        <v>2419</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3304</v>
      </c>
      <c r="D161" s="4193"/>
      <c r="E161" s="4193"/>
      <c r="F161" s="4193"/>
      <c r="G161" s="4193"/>
      <c r="H161" s="4193"/>
      <c r="I161" s="4193"/>
      <c r="J161" s="4193"/>
      <c r="K161" s="4193"/>
      <c r="L161" s="4193"/>
      <c r="M161" s="4193"/>
      <c r="N161" s="4193"/>
      <c r="O161" s="128" t="s">
        <v>1449</v>
      </c>
      <c r="P161" s="431"/>
      <c r="Q161" s="422"/>
    </row>
    <row r="162" spans="1:44" ht="21.75" customHeight="1">
      <c r="A162" s="110" t="s">
        <v>1961</v>
      </c>
      <c r="B162" s="4193" t="s">
        <v>2420</v>
      </c>
      <c r="C162" s="4193"/>
      <c r="D162" s="4193"/>
      <c r="E162" s="4193"/>
      <c r="F162" s="4193"/>
      <c r="G162" s="4193"/>
      <c r="H162" s="4193"/>
      <c r="I162" s="4193"/>
      <c r="J162" s="4193"/>
      <c r="K162" s="4193"/>
      <c r="L162" s="4193"/>
      <c r="M162" s="4193"/>
      <c r="N162" s="4193"/>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3238</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6530</v>
      </c>
      <c r="O169" s="101" t="s">
        <v>1730</v>
      </c>
      <c r="P169" s="4199"/>
      <c r="Q169" s="4200"/>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1709</v>
      </c>
      <c r="K171" s="4221"/>
      <c r="L171" s="4221"/>
      <c r="M171" s="4221"/>
      <c r="N171" s="4222"/>
      <c r="O171" s="49" t="s">
        <v>1614</v>
      </c>
      <c r="P171" s="175"/>
      <c r="Q171" s="419"/>
    </row>
    <row r="172" spans="1:44" ht="12.75" customHeight="1">
      <c r="A172" s="107"/>
      <c r="B172" s="109" t="s">
        <v>3238</v>
      </c>
      <c r="C172" s="82"/>
      <c r="D172" s="82"/>
      <c r="E172" s="82"/>
      <c r="F172" s="82"/>
      <c r="H172" s="49" t="s">
        <v>1615</v>
      </c>
      <c r="I172" s="29" t="s">
        <v>1491</v>
      </c>
      <c r="J172" s="4247" t="s">
        <v>1709</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6530</v>
      </c>
      <c r="O177" s="101" t="s">
        <v>1730</v>
      </c>
      <c r="P177" s="4199"/>
      <c r="Q177" s="4200"/>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193" t="s">
        <v>1712</v>
      </c>
      <c r="C179" s="4193"/>
      <c r="D179" s="4193"/>
      <c r="E179" s="4193"/>
      <c r="F179" s="4193"/>
      <c r="G179" s="4193"/>
      <c r="H179" s="49" t="s">
        <v>1614</v>
      </c>
      <c r="I179" s="29" t="s">
        <v>592</v>
      </c>
      <c r="J179" s="4220" t="s">
        <v>1709</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1709</v>
      </c>
      <c r="K180" s="4248"/>
      <c r="L180" s="4248"/>
      <c r="M180" s="4248"/>
      <c r="N180" s="4249"/>
      <c r="O180" s="128" t="s">
        <v>1615</v>
      </c>
      <c r="P180" s="1759"/>
      <c r="Q180" s="687"/>
    </row>
    <row r="181" spans="1:44" ht="12.75" customHeight="1">
      <c r="A181" s="40" t="s">
        <v>1842</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3238</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1730</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4026</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1791</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6716</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6191</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4027</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3150</v>
      </c>
      <c r="O197" s="1233">
        <f>'Part V-Revenues &amp; Expenses'!$P$67</f>
        <v>56</v>
      </c>
      <c r="P197" s="4227" t="s">
        <v>3853</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333" t="s">
        <v>950</v>
      </c>
      <c r="D199" s="4334"/>
      <c r="E199" s="4334"/>
      <c r="F199" s="4334"/>
      <c r="G199" s="4335"/>
      <c r="H199" s="48" t="s">
        <v>1962</v>
      </c>
      <c r="I199" s="4336" t="s">
        <v>3399</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350" t="s">
        <v>950</v>
      </c>
      <c r="D200" s="4351"/>
      <c r="E200" s="4351"/>
      <c r="F200" s="4351"/>
      <c r="G200" s="4352"/>
      <c r="H200" s="48" t="s">
        <v>1963</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3399</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86" t="s">
        <v>950</v>
      </c>
      <c r="D202" s="4287"/>
      <c r="E202" s="4287"/>
      <c r="F202" s="4287"/>
      <c r="G202" s="4288"/>
      <c r="H202" s="48" t="s">
        <v>3863</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2503</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6742</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6096</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3238</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6111</v>
      </c>
      <c r="C217" s="33"/>
      <c r="D217" s="887"/>
      <c r="E217" s="887"/>
      <c r="F217" s="887"/>
      <c r="G217" s="887"/>
      <c r="H217" s="887"/>
      <c r="I217" s="887"/>
      <c r="J217" s="887"/>
      <c r="K217" s="396" t="s">
        <v>6738</v>
      </c>
      <c r="L217" s="1326" t="str">
        <f>'Part I-Project Identification'!$P$25</f>
        <v>No</v>
      </c>
      <c r="M217" s="887"/>
      <c r="O217" s="101" t="s">
        <v>1730</v>
      </c>
      <c r="P217" s="4199"/>
      <c r="Q217" s="4200"/>
    </row>
    <row r="218" spans="1:44" ht="11.25" customHeight="1">
      <c r="A218" s="110" t="s">
        <v>1840</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1842</v>
      </c>
      <c r="B228" s="1532" t="s">
        <v>6117</v>
      </c>
      <c r="C228" s="1533"/>
      <c r="D228" s="1534"/>
      <c r="E228" s="1534"/>
      <c r="F228" s="1534"/>
      <c r="G228" s="1534"/>
      <c r="H228" s="1534"/>
      <c r="I228" s="1535"/>
      <c r="J228" s="1535"/>
      <c r="K228" s="1534"/>
      <c r="L228" s="1536"/>
      <c r="M228" s="1533"/>
      <c r="N228" s="1533"/>
      <c r="O228" s="128" t="s">
        <v>1842</v>
      </c>
      <c r="P228" s="1287"/>
      <c r="Q228" s="1288"/>
    </row>
    <row r="229" spans="1:44" s="334" customFormat="1">
      <c r="A229" s="110" t="s">
        <v>698</v>
      </c>
      <c r="B229" s="4193" t="s">
        <v>6113</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6112</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3238</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2079</v>
      </c>
      <c r="B236" s="4" t="s">
        <v>3949</v>
      </c>
      <c r="C236" s="4"/>
      <c r="D236" s="66"/>
      <c r="E236" s="66"/>
      <c r="F236" s="66"/>
      <c r="G236" s="66"/>
      <c r="H236" s="887"/>
      <c r="I236" s="887"/>
      <c r="J236" s="887"/>
      <c r="K236" s="887"/>
      <c r="L236" s="669"/>
      <c r="M236" s="1262"/>
      <c r="O236" s="101" t="s">
        <v>1730</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1840</v>
      </c>
      <c r="B238" s="29" t="s">
        <v>1192</v>
      </c>
      <c r="D238" s="35"/>
      <c r="E238" s="29"/>
      <c r="F238" s="29"/>
      <c r="J238" s="48" t="s">
        <v>1840</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6193</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2505</v>
      </c>
      <c r="D240" s="29"/>
      <c r="E240" s="29"/>
      <c r="F240" s="29"/>
      <c r="J240" s="48" t="s">
        <v>1842</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1805</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6204</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193" t="s">
        <v>6205</v>
      </c>
      <c r="D244" s="4193"/>
      <c r="E244" s="4193"/>
      <c r="F244" s="4193"/>
      <c r="G244" s="4193"/>
      <c r="H244" s="4193"/>
      <c r="I244" s="4193"/>
      <c r="J244" s="4193"/>
      <c r="K244" s="4193"/>
      <c r="L244" s="4193"/>
      <c r="M244" s="4193"/>
      <c r="N244" s="4193"/>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3307</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3243</v>
      </c>
      <c r="C246" s="4223"/>
      <c r="D246" s="4223"/>
      <c r="E246" s="44" t="s">
        <v>3380</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3381</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3382</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3383</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6500</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3238</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3368</v>
      </c>
      <c r="B256" s="4" t="s">
        <v>2430</v>
      </c>
      <c r="C256" s="4"/>
      <c r="D256" s="66"/>
      <c r="E256" s="66"/>
      <c r="F256" s="66"/>
      <c r="G256" s="66"/>
      <c r="H256" s="887"/>
      <c r="I256" s="887"/>
      <c r="J256" s="887"/>
      <c r="K256" s="887"/>
      <c r="L256" s="887"/>
      <c r="M256" s="887"/>
      <c r="O256" s="101" t="s">
        <v>1730</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1614</v>
      </c>
      <c r="C257" s="4193" t="s">
        <v>4028</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3240</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1842</v>
      </c>
      <c r="B259" s="29" t="s">
        <v>3241</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4054</v>
      </c>
      <c r="D260" s="4193"/>
      <c r="E260" s="4193"/>
      <c r="F260" s="4193"/>
      <c r="G260" s="4193"/>
      <c r="H260" s="4193"/>
      <c r="I260" s="4193"/>
      <c r="J260" s="4193"/>
      <c r="K260" s="4193"/>
      <c r="L260" s="4193"/>
      <c r="M260" s="4193"/>
      <c r="N260" s="4193"/>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3242</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193" t="s">
        <v>6118</v>
      </c>
      <c r="C262" s="4193"/>
      <c r="D262" s="4193"/>
      <c r="E262" s="4193"/>
      <c r="F262" s="4193"/>
      <c r="G262" s="4193"/>
      <c r="H262" s="4193"/>
      <c r="I262" s="4193"/>
      <c r="J262" s="4193"/>
      <c r="K262" s="4193"/>
      <c r="L262" s="4193"/>
      <c r="M262" s="4193"/>
      <c r="N262" s="4193"/>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3238</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3369</v>
      </c>
      <c r="B268" s="2" t="s">
        <v>2431</v>
      </c>
      <c r="C268" s="2"/>
      <c r="D268" s="887"/>
      <c r="E268" s="887"/>
      <c r="F268" s="887"/>
      <c r="G268" s="887"/>
      <c r="H268" s="887"/>
      <c r="I268" s="887"/>
      <c r="J268" s="887"/>
      <c r="K268" s="887"/>
      <c r="L268" s="887"/>
      <c r="M268" s="887"/>
      <c r="O268" s="101" t="s">
        <v>1730</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1840</v>
      </c>
      <c r="B270" s="141" t="s">
        <v>6196</v>
      </c>
      <c r="C270" s="72"/>
      <c r="D270" s="72"/>
      <c r="E270" s="72"/>
      <c r="F270" s="72"/>
      <c r="H270" s="72"/>
      <c r="I270" s="72"/>
      <c r="O270" s="128" t="s">
        <v>1840</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3845</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2506</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297</v>
      </c>
      <c r="C273" s="115"/>
      <c r="D273" s="72"/>
      <c r="E273" s="72"/>
      <c r="F273" s="115"/>
      <c r="K273" s="48" t="s">
        <v>1842</v>
      </c>
      <c r="L273" s="4224" t="s">
        <v>3335</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3238</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3367</v>
      </c>
      <c r="B281" s="2" t="s">
        <v>2432</v>
      </c>
      <c r="C281" s="116"/>
      <c r="D281" s="890"/>
      <c r="E281" s="887"/>
      <c r="F281" s="887"/>
      <c r="G281" s="887"/>
      <c r="H281" s="887"/>
      <c r="I281" s="887"/>
      <c r="J281" s="887"/>
      <c r="K281" s="887"/>
      <c r="L281" s="887"/>
      <c r="M281" s="887"/>
      <c r="O281" s="101" t="s">
        <v>1730</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3384</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6654</v>
      </c>
      <c r="D284" s="4193"/>
      <c r="E284" s="4193"/>
      <c r="F284" s="4193"/>
      <c r="G284" s="4193"/>
      <c r="H284" s="4193"/>
      <c r="I284" s="4193"/>
      <c r="J284" s="4193"/>
      <c r="K284" s="4193"/>
      <c r="L284" s="4193"/>
      <c r="M284" s="4193"/>
      <c r="N284" s="4193"/>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6655</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6199</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3291</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1962</v>
      </c>
      <c r="D288" s="4193" t="s">
        <v>6202</v>
      </c>
      <c r="E288" s="4193"/>
      <c r="F288" s="4193"/>
      <c r="G288" s="4193"/>
      <c r="H288" s="4193"/>
      <c r="I288" s="108"/>
      <c r="J288" s="4201" t="s">
        <v>3264</v>
      </c>
      <c r="K288" s="4227"/>
      <c r="L288" s="4227"/>
      <c r="M288" s="4331" t="s">
        <v>3245</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3246</v>
      </c>
      <c r="N289" s="891" t="s">
        <v>3263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3385</v>
      </c>
      <c r="K290" s="1595"/>
      <c r="L290" s="795" t="str">
        <f>IF(K290&lt;M290,"Check!!!","")</f>
        <v>Check!!!</v>
      </c>
      <c r="M290" s="1597">
        <f>ROUNDUP('Part V-Revenues &amp; Expenses'!$P$67*'Part VII-Threshold Criteria OLD'!N290,0)</f>
        <v>3</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193" t="s">
        <v>6203</v>
      </c>
      <c r="E291" s="4193"/>
      <c r="F291" s="4193"/>
      <c r="G291" s="4193"/>
      <c r="H291" s="4193"/>
      <c r="I291" s="370" t="s">
        <v>3386</v>
      </c>
      <c r="J291" s="144"/>
      <c r="K291" s="1596"/>
      <c r="L291" s="795" t="str">
        <f>IF(K291&lt;M291,"Check!!!","")</f>
        <v/>
      </c>
      <c r="M291" s="1598">
        <f>ROUNDUP(K290*'Part VII-Threshold Criteria OLD'!N291,0)</f>
        <v>0</v>
      </c>
      <c r="N291" s="1205">
        <f>'DCA Underwriting Assumptions'!$Q$123</f>
        <v>0.4</v>
      </c>
      <c r="O291" s="48" t="s">
        <v>1963</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6739</v>
      </c>
      <c r="D293" s="4193"/>
      <c r="E293" s="4193"/>
      <c r="F293" s="4193"/>
      <c r="G293" s="4193"/>
      <c r="H293" s="4193"/>
      <c r="I293" s="29" t="s">
        <v>3387</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3292</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6717</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3244</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6656</v>
      </c>
      <c r="D299" s="4193"/>
      <c r="E299" s="4193"/>
      <c r="F299" s="4193"/>
      <c r="G299" s="4193"/>
      <c r="H299" s="4193"/>
      <c r="I299" s="4193"/>
      <c r="J299" s="4193"/>
      <c r="K299" s="4193"/>
      <c r="L299" s="4193"/>
      <c r="M299" s="4193"/>
      <c r="N299" s="4193"/>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3831</v>
      </c>
      <c r="D300" s="4193"/>
      <c r="E300" s="4193"/>
      <c r="F300" s="4193"/>
      <c r="G300" s="4193"/>
      <c r="H300" s="4193"/>
      <c r="I300" s="4193"/>
      <c r="J300" s="4193"/>
      <c r="K300" s="4193"/>
      <c r="L300" s="4193"/>
      <c r="M300" s="4193"/>
      <c r="N300" s="4193"/>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3167</v>
      </c>
      <c r="D301" s="4193"/>
      <c r="E301" s="4193"/>
      <c r="F301" s="4193"/>
      <c r="G301" s="4193"/>
      <c r="H301" s="4193"/>
      <c r="I301" s="4193"/>
      <c r="J301" s="4193"/>
      <c r="K301" s="4193"/>
      <c r="L301" s="4193"/>
      <c r="M301" s="4193"/>
      <c r="N301" s="4193"/>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193" t="s">
        <v>3168</v>
      </c>
      <c r="D302" s="4193"/>
      <c r="E302" s="4193"/>
      <c r="F302" s="4193"/>
      <c r="G302" s="4193"/>
      <c r="H302" s="4193"/>
      <c r="I302" s="4193"/>
      <c r="J302" s="4193"/>
      <c r="K302" s="4193"/>
      <c r="L302" s="4193"/>
      <c r="M302" s="4193"/>
      <c r="N302" s="4193"/>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3238</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3370</v>
      </c>
      <c r="B307" s="4" t="s">
        <v>2433</v>
      </c>
      <c r="C307" s="4"/>
      <c r="D307" s="4"/>
      <c r="E307" s="4"/>
      <c r="F307" s="4"/>
      <c r="G307" s="4"/>
      <c r="H307" s="887"/>
      <c r="I307" s="887"/>
      <c r="J307" s="887"/>
      <c r="K307" s="887"/>
      <c r="L307" s="887"/>
      <c r="M307" s="887"/>
      <c r="O307" s="101" t="s">
        <v>1730</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1840</v>
      </c>
      <c r="B311" s="89" t="s">
        <v>6667</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6666</v>
      </c>
      <c r="C312" s="4193"/>
      <c r="D312" s="4193"/>
      <c r="E312" s="4193"/>
      <c r="F312" s="4193"/>
      <c r="G312" s="4193"/>
      <c r="H312" s="4193"/>
      <c r="I312" s="4193"/>
      <c r="J312" s="4193"/>
      <c r="K312" s="4193"/>
      <c r="L312" s="4193"/>
      <c r="M312" s="4193"/>
      <c r="N312" s="4193"/>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1842</v>
      </c>
      <c r="B313" s="66" t="s">
        <v>433</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2146</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219" t="s">
        <v>6120</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272"/>
      <c r="D318" s="4273"/>
      <c r="E318" s="4273"/>
      <c r="F318" s="4273"/>
      <c r="G318" s="4273"/>
      <c r="H318" s="4273"/>
      <c r="I318" s="4273"/>
      <c r="J318" s="4273"/>
      <c r="K318" s="4273"/>
      <c r="L318" s="4273"/>
      <c r="M318" s="4273"/>
      <c r="N318" s="4274"/>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6"/>
      <c r="D319" s="4287"/>
      <c r="E319" s="4287"/>
      <c r="F319" s="4287"/>
      <c r="G319" s="4287"/>
      <c r="H319" s="4287"/>
      <c r="I319" s="4287"/>
      <c r="J319" s="4287"/>
      <c r="K319" s="4287"/>
      <c r="L319" s="4287"/>
      <c r="M319" s="4287"/>
      <c r="N319" s="4288"/>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193" t="s">
        <v>6121</v>
      </c>
      <c r="C320" s="4193"/>
      <c r="D320" s="4193"/>
      <c r="E320" s="4193"/>
      <c r="F320" s="4193"/>
      <c r="G320" s="4193"/>
      <c r="H320" s="4193"/>
      <c r="I320" s="4193"/>
      <c r="J320" s="4193"/>
      <c r="K320" s="4193"/>
      <c r="L320" s="4193"/>
      <c r="M320" s="4193"/>
      <c r="N320" s="4193"/>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3238</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3371</v>
      </c>
      <c r="B326" s="153" t="s">
        <v>6531</v>
      </c>
      <c r="C326" s="2"/>
      <c r="D326" s="887"/>
      <c r="E326" s="887"/>
      <c r="F326" s="887"/>
      <c r="G326" s="887"/>
      <c r="H326" s="887"/>
      <c r="N326" s="858" t="s">
        <v>6530</v>
      </c>
      <c r="O326" s="101" t="s">
        <v>1730</v>
      </c>
      <c r="P326" s="4199"/>
      <c r="Q326" s="4200"/>
      <c r="R326" s="860" t="s">
        <v>6517</v>
      </c>
    </row>
    <row r="327" spans="1:256" ht="11.65" customHeight="1">
      <c r="A327" s="40" t="s">
        <v>1840</v>
      </c>
      <c r="B327" s="44" t="s">
        <v>6526</v>
      </c>
      <c r="O327" s="128" t="s">
        <v>1840</v>
      </c>
      <c r="P327" s="175"/>
      <c r="Q327" s="419"/>
    </row>
    <row r="328" spans="1:256" ht="11.65" customHeight="1">
      <c r="A328" s="110" t="s">
        <v>1842</v>
      </c>
      <c r="B328" s="44" t="s">
        <v>6533</v>
      </c>
      <c r="O328" s="128" t="s">
        <v>1842</v>
      </c>
      <c r="P328" s="1759"/>
      <c r="Q328" s="687"/>
    </row>
    <row r="329" spans="1:256" ht="11.65" customHeight="1">
      <c r="A329" s="110" t="s">
        <v>698</v>
      </c>
      <c r="B329" s="44" t="s">
        <v>6534</v>
      </c>
      <c r="K329" s="231"/>
      <c r="M329" s="128" t="s">
        <v>698</v>
      </c>
      <c r="N329" s="4268" t="s">
        <v>1646</v>
      </c>
      <c r="O329" s="4269"/>
      <c r="P329" s="4270" t="s">
        <v>1646</v>
      </c>
      <c r="Q329" s="4271"/>
    </row>
    <row r="330" spans="1:256" ht="11.65" customHeight="1">
      <c r="A330" s="40" t="s">
        <v>1961</v>
      </c>
      <c r="B330" s="44" t="s">
        <v>6535</v>
      </c>
      <c r="O330" s="48" t="s">
        <v>1961</v>
      </c>
      <c r="P330" s="1400"/>
      <c r="Q330" s="1399"/>
    </row>
    <row r="331" spans="1:256" ht="11.65" customHeight="1">
      <c r="A331" s="110" t="s">
        <v>1612</v>
      </c>
      <c r="B331" s="44" t="s">
        <v>6536</v>
      </c>
      <c r="N331" s="128" t="s">
        <v>1612</v>
      </c>
      <c r="O331" s="4262" t="s">
        <v>2558</v>
      </c>
      <c r="P331" s="4263"/>
      <c r="Q331" s="4264"/>
    </row>
    <row r="332" spans="1:256" ht="11.65" customHeight="1">
      <c r="A332" s="110" t="s">
        <v>1613</v>
      </c>
      <c r="B332" s="67" t="s">
        <v>2169</v>
      </c>
      <c r="N332" s="128" t="s">
        <v>1613</v>
      </c>
      <c r="O332" s="4328" t="s">
        <v>2558</v>
      </c>
      <c r="P332" s="4329"/>
      <c r="Q332" s="4330"/>
    </row>
    <row r="333" spans="1:256" ht="11.25" customHeight="1">
      <c r="B333" s="109" t="s">
        <v>3238</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3374</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213"/>
      <c r="Q338" s="4214"/>
    </row>
    <row r="339" spans="1:44" ht="14.1"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1840</v>
      </c>
      <c r="B341" s="4193" t="s">
        <v>6684</v>
      </c>
      <c r="C341" s="4193"/>
      <c r="D341" s="4193"/>
      <c r="E341" s="4193"/>
      <c r="F341" s="4193"/>
      <c r="G341" s="4193"/>
      <c r="H341" s="4193"/>
      <c r="I341" s="4193"/>
      <c r="J341" s="4193"/>
      <c r="K341" s="4193"/>
      <c r="L341" s="4193"/>
      <c r="M341" s="4193"/>
      <c r="N341" s="4193"/>
      <c r="O341" s="128" t="s">
        <v>1840</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56</v>
      </c>
      <c r="F343" s="29" t="s">
        <v>3892</v>
      </c>
      <c r="G343" s="1541">
        <f>'Part V-Revenues &amp; Expenses'!$P$100</f>
        <v>0</v>
      </c>
      <c r="H343" s="72"/>
      <c r="I343" s="29" t="s">
        <v>832</v>
      </c>
      <c r="J343" s="72"/>
      <c r="K343" s="72"/>
      <c r="L343" s="1540">
        <f>'Part V-Revenues &amp; Expenses'!$P$111</f>
        <v>0</v>
      </c>
      <c r="M343" s="48" t="s">
        <v>6740</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193" t="s">
        <v>6685</v>
      </c>
      <c r="C344" s="4193"/>
      <c r="D344" s="4193"/>
      <c r="E344" s="4193"/>
      <c r="F344" s="4193"/>
      <c r="G344" s="4193"/>
      <c r="H344" s="4193"/>
      <c r="I344" s="4193"/>
      <c r="J344" s="4193"/>
      <c r="K344" s="4193"/>
      <c r="L344" s="4193"/>
      <c r="M344" s="4193"/>
      <c r="N344" s="4193"/>
      <c r="O344" s="128" t="s">
        <v>1842</v>
      </c>
      <c r="P344" s="905"/>
      <c r="Q344" s="906"/>
    </row>
    <row r="345" spans="1:44" s="115" customFormat="1">
      <c r="A345" s="110"/>
      <c r="B345" s="1220"/>
      <c r="C345" s="29" t="s">
        <v>1667</v>
      </c>
      <c r="D345" s="29"/>
      <c r="E345" s="1540">
        <f>'Part V-Revenues &amp; Expenses'!$P$67</f>
        <v>56</v>
      </c>
      <c r="F345" s="29" t="s">
        <v>6687</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6686</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56</v>
      </c>
      <c r="F348" s="29" t="s">
        <v>3892</v>
      </c>
      <c r="G348" s="1541">
        <f>'Part V-Revenues &amp; Expenses'!$P$100</f>
        <v>0</v>
      </c>
      <c r="H348" s="72"/>
      <c r="I348" s="29" t="s">
        <v>832</v>
      </c>
      <c r="J348" s="72"/>
      <c r="K348" s="72"/>
      <c r="L348" s="1540">
        <f>'Part V-Revenues &amp; Expenses'!$P$111</f>
        <v>0</v>
      </c>
      <c r="M348" s="48" t="s">
        <v>6740</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3238</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3375</v>
      </c>
      <c r="B354" s="4" t="s">
        <v>3356</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369"/>
      <c r="Q354" s="4200"/>
    </row>
    <row r="355" spans="1:31" ht="10.5" customHeight="1">
      <c r="A355" s="40" t="s">
        <v>1840</v>
      </c>
      <c r="B355" s="29" t="s">
        <v>3357</v>
      </c>
      <c r="D355" s="118"/>
      <c r="E355" s="118"/>
      <c r="F355" s="118"/>
      <c r="G355" s="118"/>
      <c r="H355" s="48" t="s">
        <v>1840</v>
      </c>
      <c r="I355" s="4370"/>
      <c r="J355" s="4371"/>
      <c r="K355" s="4371"/>
      <c r="L355" s="4371"/>
      <c r="M355" s="4371"/>
      <c r="N355" s="4371"/>
      <c r="O355" s="4371"/>
      <c r="P355" s="4372"/>
      <c r="Q355" s="419"/>
    </row>
    <row r="356" spans="1:31" ht="10.5" customHeight="1">
      <c r="A356" s="110" t="s">
        <v>1842</v>
      </c>
      <c r="B356" s="29" t="s">
        <v>3358</v>
      </c>
      <c r="D356" s="118"/>
      <c r="E356" s="118"/>
      <c r="F356" s="118"/>
      <c r="G356" s="118"/>
      <c r="H356" s="128" t="s">
        <v>1842</v>
      </c>
      <c r="I356" s="4247"/>
      <c r="J356" s="4248"/>
      <c r="K356" s="4248"/>
      <c r="L356" s="4248"/>
      <c r="M356" s="4248"/>
      <c r="N356" s="4248"/>
      <c r="O356" s="4248"/>
      <c r="P356" s="4249"/>
      <c r="Q356" s="421"/>
    </row>
    <row r="357" spans="1:31" ht="21.75" customHeight="1">
      <c r="A357" s="110" t="s">
        <v>698</v>
      </c>
      <c r="B357" s="4215" t="s">
        <v>3349</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1961</v>
      </c>
      <c r="B358" s="4193" t="s">
        <v>3350</v>
      </c>
      <c r="C358" s="4193"/>
      <c r="D358" s="4193"/>
      <c r="E358" s="4193"/>
      <c r="F358" s="4193"/>
      <c r="G358" s="4193"/>
      <c r="H358" s="4193"/>
      <c r="I358" s="4193"/>
      <c r="J358" s="4193"/>
      <c r="K358" s="4193"/>
      <c r="L358" s="4193"/>
      <c r="M358" s="4193"/>
      <c r="N358" s="4193"/>
      <c r="O358" s="128" t="s">
        <v>1961</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3352</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1807</v>
      </c>
      <c r="B361" s="108" t="s">
        <v>3353</v>
      </c>
      <c r="D361" s="457"/>
      <c r="E361" s="457"/>
      <c r="F361" s="457"/>
      <c r="G361" s="457"/>
      <c r="H361" s="457"/>
      <c r="I361" s="457"/>
      <c r="J361" s="457"/>
      <c r="K361" s="457"/>
      <c r="L361" s="457"/>
      <c r="M361" s="457"/>
      <c r="N361" s="457"/>
      <c r="O361" s="128" t="s">
        <v>1807</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3003</v>
      </c>
      <c r="B363" s="4193" t="s">
        <v>3354</v>
      </c>
      <c r="C363" s="4193"/>
      <c r="D363" s="4193"/>
      <c r="E363" s="4193"/>
      <c r="F363" s="4193"/>
      <c r="G363" s="4193"/>
      <c r="H363" s="4193"/>
      <c r="I363" s="4193"/>
      <c r="J363" s="4193"/>
      <c r="K363" s="4193"/>
      <c r="L363" s="4193"/>
      <c r="M363" s="4193"/>
      <c r="N363" s="4193"/>
      <c r="O363" s="128" t="s">
        <v>3003</v>
      </c>
      <c r="P363" s="894"/>
      <c r="Q363" s="893"/>
    </row>
    <row r="364" spans="1:31" ht="33" customHeight="1">
      <c r="A364" s="110" t="s">
        <v>573</v>
      </c>
      <c r="B364" s="4193" t="s">
        <v>3355</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3238</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3376</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199"/>
      <c r="Q371" s="4200"/>
    </row>
    <row r="372" spans="1:31" ht="11.65" customHeight="1">
      <c r="A372" s="40" t="s">
        <v>1840</v>
      </c>
      <c r="B372" s="32" t="s">
        <v>970</v>
      </c>
      <c r="E372" s="4254"/>
      <c r="F372" s="4255"/>
      <c r="G372" s="4255"/>
      <c r="H372" s="4255"/>
      <c r="I372" s="4256"/>
      <c r="J372" s="4257" t="s">
        <v>2436</v>
      </c>
      <c r="K372" s="4258"/>
      <c r="L372" s="4259"/>
      <c r="M372" s="4254"/>
      <c r="N372" s="4255"/>
      <c r="O372" s="4255"/>
      <c r="P372" s="4255"/>
      <c r="Q372" s="4256"/>
    </row>
    <row r="373" spans="1:31" s="102" customFormat="1" ht="22.5" customHeight="1">
      <c r="A373" s="110" t="s">
        <v>1842</v>
      </c>
      <c r="B373" s="4193" t="s">
        <v>3080</v>
      </c>
      <c r="C373" s="4193"/>
      <c r="D373" s="4193"/>
      <c r="E373" s="4193"/>
      <c r="F373" s="4193"/>
      <c r="G373" s="4193"/>
      <c r="H373" s="4193"/>
      <c r="I373" s="4193"/>
      <c r="J373" s="4193"/>
      <c r="K373" s="4193"/>
      <c r="L373" s="4193"/>
      <c r="M373" s="4193"/>
      <c r="N373" s="4193"/>
      <c r="O373" s="128" t="s">
        <v>1842</v>
      </c>
      <c r="P373" s="431"/>
      <c r="Q373" s="422"/>
    </row>
    <row r="374" spans="1:31">
      <c r="A374" s="110" t="s">
        <v>698</v>
      </c>
      <c r="B374" s="44" t="s">
        <v>3200</v>
      </c>
      <c r="G374" s="889"/>
      <c r="H374" s="889"/>
      <c r="I374" s="889"/>
      <c r="J374" s="33" t="s">
        <v>3201</v>
      </c>
      <c r="L374" s="889"/>
      <c r="M374" s="4260">
        <f>'Part II-Sources of Funds'!I6</f>
        <v>0</v>
      </c>
      <c r="N374" s="4261"/>
      <c r="O374" s="128" t="s">
        <v>698</v>
      </c>
      <c r="P374" s="176"/>
      <c r="Q374" s="421"/>
    </row>
    <row r="375" spans="1:31" ht="11.25" customHeight="1">
      <c r="B375" s="109" t="s">
        <v>3238</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3377</v>
      </c>
      <c r="B380" s="4" t="s">
        <v>2434</v>
      </c>
      <c r="C380" s="4"/>
      <c r="D380" s="4"/>
      <c r="E380" s="887"/>
      <c r="G380" s="108" t="s">
        <v>655</v>
      </c>
      <c r="H380" s="887"/>
      <c r="I380" s="887"/>
      <c r="J380" s="887"/>
      <c r="K380" s="887"/>
      <c r="L380" s="887"/>
      <c r="M380" s="887"/>
      <c r="O380" s="101" t="s">
        <v>1730</v>
      </c>
      <c r="P380" s="4199"/>
      <c r="Q380" s="4250"/>
    </row>
    <row r="381" spans="1:31" ht="12" customHeight="1">
      <c r="A381" s="40" t="s">
        <v>1840</v>
      </c>
      <c r="B381" s="29" t="s">
        <v>2437</v>
      </c>
      <c r="D381" s="457"/>
      <c r="E381" s="457"/>
      <c r="O381" s="48" t="s">
        <v>1840</v>
      </c>
      <c r="P381" s="175"/>
      <c r="Q381" s="419"/>
    </row>
    <row r="382" spans="1:31" ht="12" customHeight="1">
      <c r="A382" s="40" t="s">
        <v>1842</v>
      </c>
      <c r="B382" s="29" t="s">
        <v>3141</v>
      </c>
      <c r="D382" s="457"/>
      <c r="E382" s="457"/>
      <c r="O382" s="48" t="s">
        <v>1842</v>
      </c>
      <c r="P382" s="299"/>
      <c r="Q382" s="420"/>
    </row>
    <row r="383" spans="1:31" ht="12" customHeight="1">
      <c r="A383" s="40" t="s">
        <v>698</v>
      </c>
      <c r="B383" s="29" t="s">
        <v>4029</v>
      </c>
      <c r="D383" s="457"/>
      <c r="E383" s="457"/>
      <c r="O383" s="48" t="s">
        <v>698</v>
      </c>
      <c r="P383" s="299"/>
      <c r="Q383" s="420"/>
    </row>
    <row r="384" spans="1:31" ht="12" customHeight="1">
      <c r="A384" s="40" t="s">
        <v>1961</v>
      </c>
      <c r="B384" s="29" t="s">
        <v>3142</v>
      </c>
      <c r="E384" s="108"/>
      <c r="O384" s="48" t="s">
        <v>1961</v>
      </c>
      <c r="P384" s="299"/>
      <c r="Q384" s="420"/>
    </row>
    <row r="385" spans="1:31" ht="12" customHeight="1">
      <c r="A385" s="40" t="s">
        <v>1612</v>
      </c>
      <c r="B385" s="29" t="s">
        <v>1927</v>
      </c>
      <c r="E385" s="108"/>
      <c r="G385" s="48" t="s">
        <v>1612</v>
      </c>
      <c r="H385" s="4210"/>
      <c r="I385" s="4211"/>
      <c r="J385" s="4211"/>
      <c r="K385" s="4211"/>
      <c r="L385" s="4211"/>
      <c r="M385" s="4211"/>
      <c r="N385" s="4211"/>
      <c r="O385" s="4212"/>
      <c r="P385" s="176"/>
      <c r="Q385" s="421"/>
    </row>
    <row r="386" spans="1:31" ht="11.25" customHeight="1">
      <c r="B386" s="109" t="s">
        <v>3238</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3378</v>
      </c>
      <c r="B391" s="4" t="s">
        <v>3937</v>
      </c>
      <c r="C391" s="4"/>
      <c r="D391" s="4"/>
      <c r="E391" s="4"/>
      <c r="F391" s="4"/>
      <c r="G391" s="4"/>
      <c r="H391" s="887"/>
      <c r="I391" s="887"/>
      <c r="J391" s="887"/>
      <c r="K391" s="887"/>
      <c r="L391" s="887"/>
      <c r="M391" s="887"/>
      <c r="O391" s="101" t="s">
        <v>1730</v>
      </c>
      <c r="P391" s="4213"/>
      <c r="Q391" s="4214"/>
    </row>
    <row r="392" spans="1:31" ht="12" customHeight="1">
      <c r="B392" s="44" t="s">
        <v>6249</v>
      </c>
      <c r="O392" s="49"/>
      <c r="P392" s="373"/>
      <c r="Q392" s="418"/>
    </row>
    <row r="393" spans="1:31" ht="12" customHeight="1">
      <c r="A393" s="40" t="s">
        <v>1840</v>
      </c>
      <c r="B393" s="66" t="s">
        <v>3936</v>
      </c>
      <c r="D393" s="35"/>
      <c r="E393" s="35"/>
      <c r="F393" s="35"/>
      <c r="G393" s="35"/>
      <c r="H393" s="35"/>
      <c r="I393" s="35"/>
      <c r="J393" s="35"/>
      <c r="K393" s="35"/>
      <c r="L393" s="35"/>
      <c r="M393" s="35"/>
      <c r="N393" s="35"/>
      <c r="O393" s="35"/>
      <c r="P393" s="35"/>
      <c r="Q393" s="35"/>
    </row>
    <row r="394" spans="1:31" ht="12" customHeight="1">
      <c r="A394" s="40"/>
      <c r="B394" s="1316" t="s">
        <v>1843</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293"/>
      <c r="Q395" s="4291"/>
    </row>
    <row r="396" spans="1:31" ht="12" customHeight="1">
      <c r="A396" s="40"/>
      <c r="D396" s="29" t="s">
        <v>6499</v>
      </c>
      <c r="E396" s="29"/>
      <c r="F396" s="29"/>
      <c r="G396" s="29"/>
      <c r="H396" s="29"/>
      <c r="I396" s="29"/>
      <c r="J396" s="29"/>
      <c r="K396" s="29"/>
      <c r="L396" s="29"/>
      <c r="M396" s="29"/>
      <c r="N396" s="35"/>
      <c r="O396" s="1398"/>
      <c r="P396" s="4294"/>
      <c r="Q396" s="4292"/>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3940</v>
      </c>
      <c r="D398" s="29" t="s">
        <v>3138</v>
      </c>
      <c r="E398" s="29"/>
      <c r="F398" s="29"/>
      <c r="G398" s="29"/>
      <c r="H398" s="29"/>
      <c r="I398" s="29"/>
      <c r="J398" s="29"/>
      <c r="K398" s="29"/>
      <c r="L398" s="29"/>
      <c r="M398" s="29"/>
      <c r="N398" s="72"/>
      <c r="O398" s="48" t="s">
        <v>2241</v>
      </c>
      <c r="P398" s="1759"/>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2331</v>
      </c>
      <c r="C400" s="4193" t="s">
        <v>6149</v>
      </c>
      <c r="D400" s="4193"/>
      <c r="E400" s="4193"/>
      <c r="F400" s="4193"/>
      <c r="G400" s="29" t="s">
        <v>3941</v>
      </c>
      <c r="J400" s="718"/>
      <c r="K400" s="426"/>
      <c r="M400" s="29" t="s">
        <v>6223</v>
      </c>
      <c r="P400" s="1760"/>
      <c r="Q400" s="1761"/>
    </row>
    <row r="401" spans="1:44" ht="12" customHeight="1">
      <c r="A401" s="40"/>
      <c r="C401" s="4193"/>
      <c r="D401" s="4193"/>
      <c r="E401" s="4193"/>
      <c r="F401" s="4193"/>
      <c r="G401" s="29" t="s">
        <v>6222</v>
      </c>
      <c r="J401" s="719"/>
      <c r="K401" s="427"/>
      <c r="M401" s="29" t="s">
        <v>6224</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6179</v>
      </c>
      <c r="J403" s="4201" t="s">
        <v>6180</v>
      </c>
      <c r="K403" s="4201" t="s">
        <v>6182</v>
      </c>
      <c r="L403" s="4201"/>
      <c r="M403" s="4201"/>
      <c r="N403" s="4240" t="s">
        <v>6181</v>
      </c>
      <c r="O403" s="48"/>
      <c r="P403" s="4364" t="s">
        <v>6696</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6293</v>
      </c>
      <c r="D405" s="4193"/>
      <c r="E405" s="4193"/>
      <c r="F405" s="4193"/>
      <c r="G405" s="4193"/>
      <c r="H405" s="4193"/>
      <c r="I405" s="365">
        <f>K290</f>
        <v>0</v>
      </c>
      <c r="J405" s="1762"/>
      <c r="K405" s="4202"/>
      <c r="L405" s="4202"/>
      <c r="M405" s="4203"/>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6294</v>
      </c>
      <c r="D411" s="4193"/>
      <c r="E411" s="4193"/>
      <c r="F411" s="4193"/>
      <c r="G411" s="4193"/>
      <c r="H411" s="4193"/>
      <c r="I411" s="365">
        <f>K293</f>
        <v>0</v>
      </c>
      <c r="J411" s="1762"/>
      <c r="K411" s="4202"/>
      <c r="L411" s="4202"/>
      <c r="M411" s="4203"/>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2239</v>
      </c>
      <c r="P415" s="373" t="s">
        <v>1646</v>
      </c>
      <c r="Q415" s="418" t="s">
        <v>1646</v>
      </c>
    </row>
    <row r="416" spans="1:44" ht="12" customHeight="1">
      <c r="A416" s="35"/>
      <c r="B416" s="115"/>
      <c r="D416" s="4198" t="s">
        <v>6227</v>
      </c>
      <c r="E416" s="352" t="s">
        <v>2262</v>
      </c>
      <c r="F416" s="44" t="s">
        <v>3286</v>
      </c>
      <c r="G416" s="4194"/>
      <c r="H416" s="4195"/>
      <c r="I416" s="4195"/>
      <c r="J416" s="4195"/>
      <c r="K416" s="4196"/>
      <c r="L416" s="352"/>
    </row>
    <row r="417" spans="1:31" ht="12" customHeight="1">
      <c r="B417" s="115"/>
      <c r="D417" s="4198"/>
      <c r="E417" s="352" t="s">
        <v>3938</v>
      </c>
      <c r="F417" s="44" t="s">
        <v>3939</v>
      </c>
      <c r="G417" s="4251" t="s">
        <v>3203</v>
      </c>
      <c r="H417" s="4252"/>
      <c r="I417" s="4253"/>
      <c r="J417" s="44" t="s">
        <v>3800</v>
      </c>
      <c r="K417" s="115"/>
      <c r="M417" s="4194"/>
      <c r="N417" s="4195"/>
      <c r="O417" s="4195"/>
      <c r="P417" s="4195"/>
      <c r="Q417" s="4196"/>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197" t="s">
        <v>4032</v>
      </c>
      <c r="C421" s="4193"/>
      <c r="D421" s="4193"/>
      <c r="E421" s="4193"/>
      <c r="F421" s="4193"/>
      <c r="G421" s="4193"/>
      <c r="H421" s="4193"/>
      <c r="I421" s="4193"/>
      <c r="J421" s="4193"/>
      <c r="K421" s="4193"/>
      <c r="L421" s="4193"/>
      <c r="M421" s="4193"/>
      <c r="N421" s="4193"/>
    </row>
    <row r="422" spans="1:31" s="115" customFormat="1" ht="45" customHeight="1">
      <c r="B422" s="4193" t="s">
        <v>6541</v>
      </c>
      <c r="C422" s="4193"/>
      <c r="D422" s="4193"/>
      <c r="E422" s="4193"/>
      <c r="F422" s="4193"/>
      <c r="G422" s="4193"/>
      <c r="H422" s="4193"/>
      <c r="I422" s="4193"/>
      <c r="J422" s="4193"/>
      <c r="K422" s="4193"/>
      <c r="L422" s="4193"/>
      <c r="M422" s="4193"/>
      <c r="N422" s="4193"/>
      <c r="O422" s="128" t="s">
        <v>1842</v>
      </c>
      <c r="P422" s="905"/>
      <c r="Q422" s="906"/>
    </row>
    <row r="423" spans="1:31" ht="12" customHeight="1">
      <c r="B423" s="109" t="s">
        <v>3238</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3379</v>
      </c>
      <c r="B428" s="4" t="s">
        <v>2507</v>
      </c>
      <c r="C428" s="4"/>
      <c r="D428" s="66"/>
      <c r="E428" s="887"/>
      <c r="F428" s="887"/>
      <c r="G428" s="887"/>
      <c r="H428" s="887"/>
      <c r="O428" s="101" t="s">
        <v>1730</v>
      </c>
      <c r="P428" s="4199"/>
      <c r="Q428" s="4200"/>
    </row>
    <row r="429" spans="1:31" ht="14.1" customHeight="1">
      <c r="B429" s="66" t="s">
        <v>3895</v>
      </c>
      <c r="C429" s="4"/>
      <c r="D429" s="66"/>
      <c r="E429" s="887"/>
      <c r="F429" s="887"/>
      <c r="G429" s="887"/>
      <c r="H429" s="887"/>
    </row>
    <row r="430" spans="1:31" s="102" customFormat="1" ht="21.75" customHeight="1">
      <c r="A430" s="110" t="s">
        <v>1840</v>
      </c>
      <c r="B430" s="4193" t="s">
        <v>3310</v>
      </c>
      <c r="C430" s="4193"/>
      <c r="D430" s="4193"/>
      <c r="E430" s="4193"/>
      <c r="F430" s="4193"/>
      <c r="G430" s="4193"/>
      <c r="H430" s="4193"/>
      <c r="I430" s="4193"/>
      <c r="J430" s="4193"/>
      <c r="K430" s="4193"/>
      <c r="L430" s="4193"/>
      <c r="M430" s="4193"/>
      <c r="N430" s="4193"/>
      <c r="O430" s="128" t="s">
        <v>1840</v>
      </c>
      <c r="P430" s="894"/>
      <c r="Q430" s="893"/>
    </row>
    <row r="431" spans="1:31" s="102" customFormat="1" ht="22.5" customHeight="1">
      <c r="A431" s="110" t="s">
        <v>1842</v>
      </c>
      <c r="B431" s="4193" t="s">
        <v>3309</v>
      </c>
      <c r="C431" s="4193"/>
      <c r="D431" s="4193"/>
      <c r="E431" s="4193"/>
      <c r="F431" s="4193"/>
      <c r="G431" s="4193"/>
      <c r="H431" s="4193"/>
      <c r="I431" s="4193"/>
      <c r="J431" s="4193"/>
      <c r="K431" s="4193"/>
      <c r="L431" s="4193"/>
      <c r="M431" s="4193"/>
      <c r="N431" s="4193"/>
      <c r="O431" s="128" t="s">
        <v>1842</v>
      </c>
      <c r="P431" s="431"/>
      <c r="Q431" s="422"/>
    </row>
    <row r="432" spans="1:31" s="102" customFormat="1" ht="22.5" customHeight="1">
      <c r="B432" s="1220" t="s">
        <v>1614</v>
      </c>
      <c r="C432" s="4193" t="s">
        <v>3865</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3867</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2181</v>
      </c>
      <c r="C435" s="4193" t="s">
        <v>3868</v>
      </c>
      <c r="D435" s="4193"/>
      <c r="E435" s="4193"/>
      <c r="F435" s="4193"/>
      <c r="G435" s="4193"/>
      <c r="H435" s="4193"/>
      <c r="I435" s="4193"/>
      <c r="J435" s="4193"/>
      <c r="K435" s="4193"/>
      <c r="L435" s="4193"/>
      <c r="M435" s="4193"/>
      <c r="N435" s="4193"/>
      <c r="O435" s="128" t="s">
        <v>2181</v>
      </c>
      <c r="P435" s="431"/>
      <c r="Q435" s="422"/>
    </row>
    <row r="436" spans="1:31" s="102" customFormat="1" ht="22.5" customHeight="1">
      <c r="A436" s="110" t="s">
        <v>698</v>
      </c>
      <c r="B436" s="4193" t="s">
        <v>3311</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1961</v>
      </c>
      <c r="B437" s="4193" t="s">
        <v>3916</v>
      </c>
      <c r="C437" s="4193"/>
      <c r="D437" s="4193"/>
      <c r="E437" s="4193"/>
      <c r="F437" s="4193"/>
      <c r="G437" s="4193"/>
      <c r="H437" s="4193"/>
      <c r="I437" s="4193"/>
      <c r="J437" s="4193"/>
      <c r="K437" s="4193"/>
      <c r="L437" s="4193"/>
      <c r="M437" s="4193"/>
      <c r="N437" s="4193"/>
      <c r="O437" s="128" t="s">
        <v>1961</v>
      </c>
      <c r="P437" s="431"/>
      <c r="Q437" s="422"/>
    </row>
    <row r="438" spans="1:31" s="102" customFormat="1" ht="21.75" customHeight="1">
      <c r="A438" s="110" t="s">
        <v>1612</v>
      </c>
      <c r="B438" s="4193" t="s">
        <v>3917</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3950</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3238</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2435</v>
      </c>
      <c r="D445" s="66"/>
      <c r="E445" s="887"/>
      <c r="F445" s="887"/>
      <c r="G445" s="887"/>
      <c r="H445" s="887"/>
      <c r="J445" s="887"/>
      <c r="K445" s="887"/>
      <c r="L445" s="887"/>
      <c r="M445" s="887"/>
      <c r="O445" s="101" t="s">
        <v>1730</v>
      </c>
      <c r="P445" s="4199"/>
      <c r="Q445" s="4200"/>
    </row>
    <row r="446" spans="1:31" ht="11.25" customHeight="1">
      <c r="A446" s="2"/>
      <c r="B446" s="109" t="s">
        <v>3238</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4044</v>
      </c>
      <c r="P456" s="1876"/>
      <c r="R456" s="44"/>
    </row>
    <row r="457" spans="1:18" s="807" customFormat="1" ht="11.25">
      <c r="A457" s="44"/>
      <c r="B457" s="44"/>
      <c r="C457" s="1877" t="s">
        <v>1312</v>
      </c>
      <c r="J457" s="1875" t="s">
        <v>1952</v>
      </c>
      <c r="N457" s="808"/>
      <c r="O457" s="1875" t="s">
        <v>4045</v>
      </c>
      <c r="P457" s="1876"/>
      <c r="R457" s="44"/>
    </row>
    <row r="458" spans="1:18" s="807" customFormat="1" ht="11.25">
      <c r="A458" s="44"/>
      <c r="B458" s="44"/>
      <c r="C458" s="1877" t="s">
        <v>1313</v>
      </c>
      <c r="J458" s="1875" t="s">
        <v>1537</v>
      </c>
      <c r="N458" s="808"/>
      <c r="O458" s="1875" t="s">
        <v>4046</v>
      </c>
      <c r="P458" s="1876"/>
      <c r="R458" s="44"/>
    </row>
    <row r="459" spans="1:18" s="807" customFormat="1" ht="11.25">
      <c r="A459" s="44"/>
      <c r="B459" s="44"/>
      <c r="C459" s="1877" t="s">
        <v>1979</v>
      </c>
      <c r="J459" s="1875" t="s">
        <v>1120</v>
      </c>
      <c r="N459" s="808"/>
      <c r="O459" s="1875" t="s">
        <v>4050</v>
      </c>
      <c r="P459" s="1876"/>
      <c r="R459" s="44"/>
    </row>
    <row r="460" spans="1:18" s="807" customFormat="1" ht="11.25">
      <c r="A460" s="44"/>
      <c r="B460" s="44"/>
      <c r="C460" s="1877" t="s">
        <v>1309</v>
      </c>
      <c r="J460" s="1875" t="s">
        <v>549</v>
      </c>
      <c r="N460" s="808"/>
      <c r="O460" s="1875" t="s">
        <v>4047</v>
      </c>
      <c r="P460" s="1876"/>
      <c r="R460" s="44"/>
    </row>
    <row r="461" spans="1:18" s="807" customFormat="1" ht="11.25">
      <c r="A461" s="44"/>
      <c r="B461" s="44"/>
      <c r="C461" s="1877" t="s">
        <v>1310</v>
      </c>
      <c r="J461" s="1875" t="s">
        <v>1543</v>
      </c>
      <c r="N461" s="808"/>
      <c r="O461" s="1875" t="s">
        <v>4048</v>
      </c>
      <c r="P461" s="1876"/>
      <c r="R461" s="44"/>
    </row>
    <row r="462" spans="1:18" s="807" customFormat="1" ht="11.25">
      <c r="A462" s="44"/>
      <c r="B462" s="44"/>
      <c r="C462" s="1877" t="s">
        <v>1974</v>
      </c>
      <c r="J462" s="1875" t="s">
        <v>1117</v>
      </c>
      <c r="N462" s="808"/>
      <c r="O462" s="1875" t="s">
        <v>4049</v>
      </c>
      <c r="P462" s="1876"/>
      <c r="R462" s="44"/>
    </row>
    <row r="463" spans="1:18" s="807" customFormat="1" ht="11.25">
      <c r="A463" s="44"/>
      <c r="B463" s="44"/>
      <c r="C463" s="1877" t="s">
        <v>1975</v>
      </c>
      <c r="J463" s="1875" t="s">
        <v>1116</v>
      </c>
      <c r="N463" s="808"/>
      <c r="O463" s="807" t="s">
        <v>3276</v>
      </c>
      <c r="P463" s="1876"/>
      <c r="R463" s="44"/>
    </row>
    <row r="464" spans="1:18" s="807" customFormat="1" ht="11.25">
      <c r="A464" s="44"/>
      <c r="B464" s="44"/>
      <c r="C464" s="1877" t="s">
        <v>1976</v>
      </c>
      <c r="J464" s="1875" t="s">
        <v>1603</v>
      </c>
      <c r="N464" s="808"/>
      <c r="O464" s="807" t="s">
        <v>3277</v>
      </c>
      <c r="P464" s="1876"/>
      <c r="R464" s="44"/>
    </row>
    <row r="465" spans="1:22" s="807" customFormat="1" ht="11.25">
      <c r="A465" s="44"/>
      <c r="B465" s="44"/>
      <c r="C465" s="1877" t="s">
        <v>1977</v>
      </c>
      <c r="J465" s="1875" t="s">
        <v>1546</v>
      </c>
      <c r="N465" s="808"/>
      <c r="O465" s="1875"/>
      <c r="P465" s="1876"/>
      <c r="R465" s="44"/>
    </row>
    <row r="466" spans="1:22" s="807" customFormat="1" ht="11.25">
      <c r="A466" s="44"/>
      <c r="B466" s="44"/>
      <c r="C466" s="1877" t="s">
        <v>1978</v>
      </c>
      <c r="J466" s="1875" t="s">
        <v>1538</v>
      </c>
      <c r="N466" s="808"/>
      <c r="O466" s="1876"/>
      <c r="P466" s="1876"/>
      <c r="R466" s="44"/>
    </row>
    <row r="467" spans="1:22" s="807" customFormat="1" ht="11.25">
      <c r="A467" s="44"/>
      <c r="B467" s="44"/>
      <c r="C467" s="1877" t="s">
        <v>1311</v>
      </c>
      <c r="J467" s="1875" t="s">
        <v>1951</v>
      </c>
      <c r="N467" s="808"/>
      <c r="O467" s="1875"/>
      <c r="P467" s="1876"/>
      <c r="R467" s="44"/>
    </row>
    <row r="468" spans="1:22" s="807" customFormat="1" ht="11.25">
      <c r="A468" s="44"/>
      <c r="B468" s="44"/>
      <c r="C468" s="1877" t="s">
        <v>2107</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2000</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1740</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1864</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3247</v>
      </c>
      <c r="R490" s="44"/>
    </row>
    <row r="491" spans="1:18" s="807" customFormat="1" ht="11.25">
      <c r="A491" s="44"/>
      <c r="B491" s="44"/>
      <c r="C491" s="1877" t="s">
        <v>1130</v>
      </c>
      <c r="K491" s="807" t="s">
        <v>6200</v>
      </c>
      <c r="R491" s="44"/>
    </row>
    <row r="492" spans="1:18" s="807" customFormat="1" ht="11.25">
      <c r="A492" s="44"/>
      <c r="B492" s="44"/>
      <c r="R492" s="44"/>
    </row>
    <row r="493" spans="1:18" s="807" customFormat="1" ht="11.25">
      <c r="A493" s="44"/>
      <c r="B493" s="44"/>
      <c r="C493" s="1878" t="s">
        <v>244</v>
      </c>
      <c r="K493" s="1878" t="s">
        <v>2071</v>
      </c>
      <c r="R493" s="44"/>
    </row>
    <row r="494" spans="1:18" s="807" customFormat="1" ht="11.25">
      <c r="A494" s="44"/>
      <c r="B494" s="44"/>
      <c r="C494" s="807" t="s">
        <v>1019</v>
      </c>
      <c r="K494" s="807" t="s">
        <v>2146</v>
      </c>
      <c r="R494" s="44"/>
    </row>
    <row r="495" spans="1:18" s="807" customFormat="1" ht="11.25">
      <c r="A495" s="44"/>
      <c r="B495" s="44"/>
      <c r="C495" s="807" t="s">
        <v>163</v>
      </c>
      <c r="K495" s="807" t="s">
        <v>6303</v>
      </c>
      <c r="R495" s="44"/>
    </row>
    <row r="496" spans="1:18" s="807" customFormat="1" ht="11.25">
      <c r="A496" s="44"/>
      <c r="B496" s="44"/>
      <c r="C496" s="807" t="s">
        <v>1429</v>
      </c>
      <c r="K496" s="807" t="s">
        <v>6302</v>
      </c>
      <c r="R496" s="44"/>
    </row>
    <row r="497" spans="1:18" s="807" customFormat="1" ht="11.25">
      <c r="A497" s="44"/>
      <c r="B497" s="44"/>
      <c r="C497" s="807" t="s">
        <v>1964</v>
      </c>
      <c r="K497" s="807" t="s">
        <v>6201</v>
      </c>
      <c r="R497" s="44"/>
    </row>
    <row r="498" spans="1:18" s="807" customFormat="1" ht="11.25">
      <c r="A498" s="44"/>
      <c r="B498" s="44"/>
      <c r="C498" s="807" t="s">
        <v>162</v>
      </c>
      <c r="K498" s="807" t="s">
        <v>6304</v>
      </c>
      <c r="R498" s="44"/>
    </row>
    <row r="499" spans="1:18" s="807" customFormat="1" ht="11.25">
      <c r="A499" s="44"/>
      <c r="B499" s="44"/>
      <c r="K499" s="1878" t="s">
        <v>1808</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2184</v>
      </c>
      <c r="R504" s="44"/>
    </row>
    <row r="505" spans="1:18" s="807" customFormat="1" ht="11.25">
      <c r="A505" s="44"/>
      <c r="B505" s="44"/>
      <c r="R505" s="44"/>
    </row>
    <row r="506" spans="1:18" s="807" customFormat="1" ht="11.25">
      <c r="A506" s="44"/>
      <c r="B506" s="44"/>
      <c r="C506" s="1878" t="s">
        <v>951</v>
      </c>
      <c r="M506" s="1878" t="s">
        <v>3850</v>
      </c>
      <c r="R506" s="44"/>
    </row>
    <row r="507" spans="1:18" s="807" customFormat="1" ht="11.25">
      <c r="A507" s="44"/>
      <c r="B507" s="44"/>
      <c r="C507" s="807" t="s">
        <v>950</v>
      </c>
      <c r="M507" s="807" t="s">
        <v>950</v>
      </c>
      <c r="R507" s="44"/>
    </row>
    <row r="508" spans="1:18" s="807" customFormat="1" ht="11.25">
      <c r="A508" s="44"/>
      <c r="B508" s="44"/>
      <c r="C508" s="807" t="s">
        <v>1937</v>
      </c>
      <c r="M508" s="807" t="s">
        <v>3847</v>
      </c>
      <c r="R508" s="44"/>
    </row>
    <row r="509" spans="1:18" s="807" customFormat="1" ht="11.25">
      <c r="A509" s="44"/>
      <c r="B509" s="44"/>
      <c r="C509" s="807" t="s">
        <v>2340</v>
      </c>
      <c r="M509" s="807" t="s">
        <v>3878</v>
      </c>
      <c r="R509" s="44"/>
    </row>
    <row r="510" spans="1:18" s="807" customFormat="1" ht="11.25">
      <c r="A510" s="44"/>
      <c r="B510" s="44"/>
      <c r="C510" s="807" t="s">
        <v>1938</v>
      </c>
      <c r="M510" s="807" t="s">
        <v>1540</v>
      </c>
      <c r="R510" s="44"/>
    </row>
    <row r="511" spans="1:18" s="807" customFormat="1" ht="11.25">
      <c r="A511" s="44"/>
      <c r="B511" s="44"/>
      <c r="C511" s="807" t="s">
        <v>1809</v>
      </c>
      <c r="M511" s="807" t="s">
        <v>3848</v>
      </c>
      <c r="R511" s="44"/>
    </row>
    <row r="512" spans="1:18" s="807" customFormat="1" ht="11.25">
      <c r="A512" s="44"/>
      <c r="B512" s="44"/>
      <c r="C512" s="807" t="s">
        <v>548</v>
      </c>
      <c r="M512" s="807" t="s">
        <v>3897</v>
      </c>
      <c r="R512" s="44"/>
    </row>
    <row r="513" spans="1:18" s="807" customFormat="1" ht="11.25">
      <c r="A513" s="44"/>
      <c r="B513" s="44"/>
      <c r="C513" s="807" t="s">
        <v>2034</v>
      </c>
      <c r="M513" s="807" t="s">
        <v>3898</v>
      </c>
      <c r="R513" s="44"/>
    </row>
    <row r="514" spans="1:18" s="807" customFormat="1" ht="11.25">
      <c r="A514" s="44"/>
      <c r="B514" s="44"/>
      <c r="C514" s="807" t="s">
        <v>30</v>
      </c>
      <c r="M514" s="807" t="s">
        <v>3849</v>
      </c>
      <c r="R514" s="44"/>
    </row>
    <row r="515" spans="1:18" s="807" customFormat="1" ht="11.25">
      <c r="A515" s="44"/>
      <c r="B515" s="44"/>
      <c r="M515" s="807" t="s">
        <v>1951</v>
      </c>
      <c r="R515" s="44"/>
    </row>
    <row r="516" spans="1:18" s="807" customFormat="1" ht="11.25">
      <c r="A516" s="44"/>
      <c r="B516" s="44"/>
      <c r="R516" s="44"/>
    </row>
    <row r="517" spans="1:18" s="807" customFormat="1" ht="11.25">
      <c r="A517" s="44"/>
      <c r="B517" s="44"/>
      <c r="R517" s="44"/>
    </row>
    <row r="518" spans="1:18" s="807" customFormat="1" ht="11.25">
      <c r="A518" s="44"/>
      <c r="B518" s="44"/>
      <c r="M518" s="1879" t="s">
        <v>3259</v>
      </c>
      <c r="R518" s="44"/>
    </row>
    <row r="519" spans="1:18" s="807" customFormat="1" ht="11.25">
      <c r="A519" s="44"/>
      <c r="B519" s="44"/>
      <c r="M519" s="807" t="s">
        <v>3335</v>
      </c>
      <c r="R519" s="44"/>
    </row>
    <row r="520" spans="1:18" s="807" customFormat="1" ht="11.25">
      <c r="A520" s="44"/>
      <c r="B520" s="44"/>
      <c r="M520" s="807" t="s">
        <v>3330</v>
      </c>
      <c r="R520" s="44"/>
    </row>
    <row r="521" spans="1:18" s="807" customFormat="1" ht="11.25">
      <c r="A521" s="44"/>
      <c r="B521" s="44"/>
      <c r="M521" s="807" t="s">
        <v>3252</v>
      </c>
      <c r="R521" s="44"/>
    </row>
    <row r="522" spans="1:18" s="807" customFormat="1" ht="11.25">
      <c r="A522" s="44"/>
      <c r="B522" s="44"/>
      <c r="M522" s="807" t="s">
        <v>3326</v>
      </c>
      <c r="R522" s="44"/>
    </row>
    <row r="523" spans="1:18" s="807" customFormat="1" ht="11.25">
      <c r="A523" s="44"/>
      <c r="B523" s="44"/>
      <c r="D523" s="1879" t="s">
        <v>1887</v>
      </c>
      <c r="M523" s="807" t="s">
        <v>3253</v>
      </c>
      <c r="R523" s="44"/>
    </row>
    <row r="524" spans="1:18" s="807" customFormat="1">
      <c r="A524" s="44"/>
      <c r="B524" s="44"/>
      <c r="J524" s="357"/>
      <c r="M524" s="807" t="s">
        <v>3327</v>
      </c>
      <c r="R524" s="44"/>
    </row>
    <row r="525" spans="1:18" s="357" customFormat="1">
      <c r="A525" s="115"/>
      <c r="B525" s="115"/>
      <c r="M525" s="807" t="s">
        <v>3254</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3255</v>
      </c>
      <c r="R528" s="115"/>
    </row>
    <row r="529" spans="1:22" s="357" customFormat="1">
      <c r="A529" s="115"/>
      <c r="B529" s="115"/>
      <c r="M529" s="807" t="s">
        <v>3256</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6522</v>
      </c>
      <c r="B2" s="4397"/>
      <c r="C2" s="147"/>
      <c r="D2" s="795">
        <v>2021</v>
      </c>
      <c r="E2" s="144"/>
      <c r="F2" s="4391" t="s">
        <v>2998</v>
      </c>
      <c r="G2" s="4392"/>
      <c r="H2" s="4392"/>
      <c r="I2" s="4392"/>
      <c r="J2" s="4393"/>
      <c r="K2" s="234"/>
      <c r="L2" s="443" t="s">
        <v>3140</v>
      </c>
      <c r="M2" s="234"/>
      <c r="N2" s="4391" t="s">
        <v>2998</v>
      </c>
      <c r="O2" s="4392"/>
      <c r="P2" s="4392"/>
      <c r="Q2" s="4392"/>
      <c r="R2" s="4393"/>
      <c r="S2" s="241"/>
      <c r="T2" s="144"/>
      <c r="U2" s="144"/>
      <c r="V2" s="322"/>
      <c r="W2" s="322"/>
      <c r="X2" s="322"/>
      <c r="AA2" s="68"/>
      <c r="AB2" s="68"/>
    </row>
    <row r="3" spans="1:28" s="145" customFormat="1" ht="11.65" customHeight="1">
      <c r="A3" s="4397"/>
      <c r="B3" s="4397"/>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97"/>
      <c r="B4" s="4397"/>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6523</v>
      </c>
      <c r="B42" s="1801"/>
      <c r="C42" s="1801"/>
    </row>
    <row r="44" spans="1:295" s="28" customFormat="1" ht="12.75" customHeight="1">
      <c r="A44" s="2" t="s">
        <v>689</v>
      </c>
      <c r="B44" s="4" t="s">
        <v>2460</v>
      </c>
      <c r="C44" s="4"/>
      <c r="D44" s="4"/>
      <c r="E44" s="887"/>
      <c r="G44" s="488"/>
      <c r="H44" s="488"/>
      <c r="I44" s="488"/>
      <c r="J44" s="35"/>
      <c r="L44" s="489"/>
      <c r="M44" s="489"/>
      <c r="N44" s="489"/>
      <c r="O44" s="101" t="s">
        <v>1730</v>
      </c>
      <c r="P44" s="4199"/>
      <c r="Q44" s="4200"/>
    </row>
    <row r="45" spans="1:295" s="28" customFormat="1" ht="11.25" customHeight="1">
      <c r="A45" s="4407"/>
      <c r="B45" s="4407"/>
      <c r="C45" s="4407"/>
      <c r="D45" s="4407"/>
      <c r="E45" s="4407"/>
      <c r="F45" s="1245"/>
      <c r="G45" s="4420" t="s">
        <v>2464</v>
      </c>
      <c r="H45" s="4421"/>
      <c r="I45" s="66"/>
      <c r="J45" s="35"/>
      <c r="K45" s="4422" t="s">
        <v>3163</v>
      </c>
      <c r="L45" s="4423"/>
      <c r="M45" s="4423"/>
      <c r="N45" s="4424"/>
    </row>
    <row r="46" spans="1:295" s="28" customFormat="1" ht="11.25" customHeight="1">
      <c r="A46" s="4407"/>
      <c r="B46" s="4407"/>
      <c r="C46" s="4407"/>
      <c r="D46" s="4407"/>
      <c r="E46" s="4407"/>
      <c r="F46" s="1245"/>
      <c r="G46" s="4425" t="s">
        <v>333</v>
      </c>
      <c r="H46" s="4426"/>
      <c r="I46" s="66"/>
      <c r="J46" s="35"/>
      <c r="K46" s="4400" t="s">
        <v>3164</v>
      </c>
      <c r="L46" s="4401"/>
      <c r="M46" s="4401"/>
      <c r="N46" s="4402"/>
      <c r="P46" s="405" t="s">
        <v>2473</v>
      </c>
      <c r="Q46" s="74"/>
    </row>
    <row r="47" spans="1:295" s="28" customFormat="1" ht="4.5" customHeight="1">
      <c r="A47" s="1245"/>
      <c r="B47" s="1245"/>
      <c r="C47" s="1245"/>
      <c r="D47" s="1245"/>
      <c r="E47" s="1245"/>
      <c r="F47" s="1245"/>
      <c r="G47" s="66"/>
      <c r="H47" s="66"/>
      <c r="I47" s="66"/>
      <c r="J47" s="35"/>
      <c r="K47" s="4258"/>
      <c r="L47" s="4258"/>
      <c r="M47" s="4258"/>
      <c r="N47" s="4258"/>
      <c r="P47" s="4405" t="s">
        <v>3934</v>
      </c>
      <c r="Q47" s="4405"/>
    </row>
    <row r="48" spans="1:295" s="62" customFormat="1" ht="10.5" customHeight="1">
      <c r="D48" s="491" t="s">
        <v>2463</v>
      </c>
      <c r="E48" s="28"/>
      <c r="F48" s="492" t="s">
        <v>3066</v>
      </c>
      <c r="G48" s="4395" t="s">
        <v>3891</v>
      </c>
      <c r="H48" s="4395"/>
      <c r="I48" s="4395"/>
      <c r="J48" s="28"/>
      <c r="K48" s="492" t="s">
        <v>3066</v>
      </c>
      <c r="L48" s="4395" t="s">
        <v>3890</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2997</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4" t="s">
        <v>3935</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3">
        <f>'Part III-A-Uses of Funds'!$G$146</f>
        <v>18174082.920000002</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64" t="s">
        <v>3926</v>
      </c>
      <c r="Q54" s="4364"/>
      <c r="R54" s="4394" t="s">
        <v>6298</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2992</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17453468.75</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2244</v>
      </c>
      <c r="E57" s="660">
        <v>1</v>
      </c>
      <c r="F57" s="1243">
        <f>IF('Part V-Revenues &amp; Expenses'!$L$149 =0,"",'Part V-Revenues &amp; Expenses'!$L$149)</f>
        <v>4</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4 units = </v>
      </c>
      <c r="I57" s="1244">
        <f>IF(F57="","",F57*G57)</f>
        <v>804098.39999999991</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3363</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2245</v>
      </c>
      <c r="E58" s="660">
        <v>2</v>
      </c>
      <c r="F58" s="1243">
        <f>IF('Part V-Revenues &amp; Expenses'!$M$149 =0,"",'Part V-Revenues &amp; Expenses'!$M$149)</f>
        <v>4</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4 units = </v>
      </c>
      <c r="I58" s="1244">
        <f>IF(F58="","",F58*G58)</f>
        <v>974528.39999999991</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6"/>
      <c r="Q58" s="4417"/>
      <c r="R58" s="328"/>
      <c r="S58" s="4377" t="s">
        <v>3929</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8" t="s">
        <v>3159</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8</v>
      </c>
      <c r="G61" s="493"/>
      <c r="H61" s="871"/>
      <c r="I61" s="872">
        <f>SUM(I56:I60)</f>
        <v>1778626.7999999998</v>
      </c>
      <c r="J61" s="873"/>
      <c r="K61" s="870">
        <f>SUM(K56:K60)</f>
        <v>0</v>
      </c>
      <c r="L61" s="873"/>
      <c r="M61" s="871"/>
      <c r="N61" s="872">
        <f>SUM(N56:N60)</f>
        <v>0</v>
      </c>
      <c r="O61" s="441"/>
      <c r="P61" s="876" t="s">
        <v>2888</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f>IF('Part V-Revenues &amp; Expenses'!$L$151 =0,"",'Part V-Revenues &amp; Expenses'!$L$151)</f>
        <v>26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26 units = </v>
      </c>
      <c r="I64" s="1244">
        <f>IF(F64="","",F64*G64)</f>
        <v>4873939.1999999993</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8" t="s">
        <v>3160</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f>IF('Part V-Revenues &amp; Expenses'!$M$151 =0,"",'Part V-Revenues &amp; Expenses'!$M$151)</f>
        <v>22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22 units = </v>
      </c>
      <c r="I65" s="1244">
        <f>IF(F65="","",F65*G65)</f>
        <v>5217290.0999999996</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2888</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9" t="s">
        <v>2490</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48</v>
      </c>
      <c r="G68" s="493"/>
      <c r="H68" s="871"/>
      <c r="I68" s="872">
        <f>SUM(I63:I67)</f>
        <v>10091229.299999999</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11869856.099999998</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6" t="s">
        <v>3447</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56</v>
      </c>
      <c r="G77" s="258"/>
      <c r="H77" s="4396">
        <f>I54+I61+I68+I75</f>
        <v>11869856.099999998</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3238</v>
      </c>
      <c r="D78" s="73"/>
      <c r="E78" s="73"/>
      <c r="F78" s="73"/>
      <c r="G78" s="73"/>
      <c r="H78" s="33"/>
      <c r="I78" s="891"/>
      <c r="J78" s="891"/>
      <c r="K78" s="105" t="s">
        <v>1729</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Peaks of Douglas, Douglasville, Douglas County</v>
      </c>
      <c r="B1" s="3324"/>
      <c r="C1" s="3324"/>
      <c r="D1" s="3324"/>
      <c r="E1" s="3324"/>
      <c r="F1" s="3324"/>
      <c r="G1" s="3324"/>
      <c r="H1" s="3324"/>
      <c r="I1" s="3324"/>
      <c r="J1" s="3324"/>
      <c r="K1" s="3324"/>
      <c r="L1" s="3324"/>
      <c r="M1" s="3324"/>
      <c r="N1" s="3324"/>
      <c r="O1" s="3324"/>
      <c r="P1" s="3325"/>
      <c r="Q1" s="4428" t="s">
        <v>6643</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6657</v>
      </c>
      <c r="B3" s="4479"/>
      <c r="C3" s="4479"/>
      <c r="D3" s="4479"/>
      <c r="E3" s="4479"/>
      <c r="F3" s="4479"/>
      <c r="G3" s="4479"/>
      <c r="H3" s="4479"/>
      <c r="I3" s="4479"/>
      <c r="J3" s="4479"/>
      <c r="K3" s="4479"/>
      <c r="L3" s="4479"/>
      <c r="M3" s="670"/>
      <c r="N3" s="54"/>
      <c r="O3" s="63" t="s">
        <v>2049</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2050</v>
      </c>
      <c r="P4" s="149" t="s">
        <v>2050</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3390</v>
      </c>
      <c r="B12" s="1200" t="s">
        <v>3391</v>
      </c>
      <c r="C12" s="936"/>
      <c r="D12" s="936"/>
      <c r="E12" s="236" t="s">
        <v>3398</v>
      </c>
      <c r="F12" s="4571" t="s">
        <v>6494</v>
      </c>
      <c r="G12" s="4571"/>
      <c r="H12" s="4571"/>
      <c r="I12" s="4571"/>
      <c r="J12" s="4571"/>
      <c r="K12" s="4571"/>
      <c r="L12" s="4571"/>
      <c r="M12" s="4571"/>
      <c r="N12" s="4571"/>
      <c r="O12" s="1201" t="s">
        <v>3808</v>
      </c>
      <c r="P12" s="1202">
        <f>SUM(P13:P31)</f>
        <v>0</v>
      </c>
      <c r="Q12" s="4427" t="s">
        <v>6543</v>
      </c>
      <c r="R12" s="4427"/>
      <c r="S12" s="4427"/>
      <c r="T12" s="4427"/>
      <c r="U12" s="4427"/>
      <c r="V12" s="1179"/>
    </row>
    <row r="13" spans="1:25" s="35" customFormat="1" ht="10.5" customHeight="1">
      <c r="A13" s="924" t="s">
        <v>1668</v>
      </c>
      <c r="B13" s="921" t="s">
        <v>3392</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4036</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3337</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3393</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3394</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4037</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4039</v>
      </c>
      <c r="B19" s="751" t="s">
        <v>3260</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4051</v>
      </c>
      <c r="B20" s="751" t="s">
        <v>4040</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6241</v>
      </c>
      <c r="B21" s="931" t="s">
        <v>4041</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6635</v>
      </c>
      <c r="B22" s="751" t="s">
        <v>6547</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6637</v>
      </c>
      <c r="B23" s="751" t="s">
        <v>6636</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3367</v>
      </c>
      <c r="B24" s="1887" t="s">
        <v>6553</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3371</v>
      </c>
      <c r="B25" s="751" t="s">
        <v>3395</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3374</v>
      </c>
      <c r="B26" s="751" t="s">
        <v>3396</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3375</v>
      </c>
      <c r="B27" s="751" t="s">
        <v>3397</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3377</v>
      </c>
      <c r="B28" s="927" t="s">
        <v>6634</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3378</v>
      </c>
      <c r="B29" s="751" t="s">
        <v>6130</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3801</v>
      </c>
      <c r="B30" s="751" t="s">
        <v>6551</v>
      </c>
      <c r="C30" s="866"/>
      <c r="D30" s="925"/>
      <c r="E30" s="1196">
        <f>$O$428</f>
        <v>0</v>
      </c>
      <c r="F30" s="4447">
        <f>$A$430</f>
        <v>0</v>
      </c>
      <c r="G30" s="4448"/>
      <c r="H30" s="4448"/>
      <c r="I30" s="4448"/>
      <c r="J30" s="4448"/>
      <c r="K30" s="4448"/>
      <c r="L30" s="4448"/>
      <c r="M30" s="4448"/>
      <c r="N30" s="4448"/>
      <c r="O30" s="4449"/>
      <c r="P30" s="1209"/>
      <c r="Q30" s="1964"/>
      <c r="R30" s="1628"/>
      <c r="S30" s="1628"/>
      <c r="AA30" s="3590" t="s">
        <v>6561</v>
      </c>
      <c r="AB30" s="3590"/>
      <c r="AC30" s="3590"/>
      <c r="AD30" s="3590"/>
      <c r="AE30" s="3590"/>
      <c r="AF30" s="3590"/>
    </row>
    <row r="31" spans="1:35" s="35" customFormat="1" ht="10.5" customHeight="1">
      <c r="A31" s="926" t="s">
        <v>6554</v>
      </c>
      <c r="B31" s="927" t="s">
        <v>6552</v>
      </c>
      <c r="C31" s="928"/>
      <c r="D31" s="929"/>
      <c r="E31" s="1624">
        <f>$O$434</f>
        <v>0</v>
      </c>
      <c r="F31" s="4462">
        <f>$A$438</f>
        <v>0</v>
      </c>
      <c r="G31" s="4463"/>
      <c r="H31" s="4463"/>
      <c r="I31" s="4463"/>
      <c r="J31" s="4463"/>
      <c r="K31" s="4463"/>
      <c r="L31" s="4463"/>
      <c r="M31" s="4463"/>
      <c r="N31" s="4463"/>
      <c r="O31" s="4464"/>
      <c r="P31" s="1210"/>
      <c r="Q31" s="1964"/>
      <c r="R31" s="1628"/>
      <c r="S31" s="1628"/>
      <c r="X31" s="3590" t="s">
        <v>6562</v>
      </c>
      <c r="Y31" s="3590"/>
      <c r="Z31" s="3590"/>
      <c r="AA31" s="3590"/>
      <c r="AB31" s="3590"/>
      <c r="AC31" s="3590"/>
      <c r="AD31" s="3590" t="s">
        <v>6563</v>
      </c>
      <c r="AE31" s="3590"/>
      <c r="AF31" s="3590"/>
      <c r="AG31" s="3590"/>
      <c r="AH31" s="3590"/>
      <c r="AI31" s="3590"/>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514" t="s">
        <v>6123</v>
      </c>
      <c r="H33" s="4514"/>
      <c r="I33" s="4508" t="s">
        <v>6504</v>
      </c>
      <c r="J33" s="4509"/>
      <c r="K33" s="4509"/>
      <c r="L33" s="4510"/>
      <c r="M33" s="4575" t="s">
        <v>6136</v>
      </c>
      <c r="N33" s="4575"/>
      <c r="O33" s="4575"/>
      <c r="P33" s="4575"/>
      <c r="Q33" s="436"/>
      <c r="R33" s="436"/>
      <c r="S33" s="83" t="s">
        <v>6135</v>
      </c>
      <c r="T33" s="436"/>
      <c r="U33" s="436"/>
      <c r="V33" s="436"/>
      <c r="X33" s="4494" t="s">
        <v>6123</v>
      </c>
      <c r="Y33" s="4496"/>
      <c r="Z33" s="4494" t="s">
        <v>6504</v>
      </c>
      <c r="AA33" s="4495"/>
      <c r="AB33" s="4495"/>
      <c r="AC33" s="4496"/>
      <c r="AD33" s="4503" t="s">
        <v>6123</v>
      </c>
      <c r="AE33" s="4504"/>
      <c r="AF33" s="4505" t="s">
        <v>6504</v>
      </c>
      <c r="AG33" s="4503"/>
      <c r="AH33" s="4503"/>
      <c r="AI33" s="4504"/>
    </row>
    <row r="34" spans="1:46" s="115" customFormat="1" ht="11.25" customHeight="1">
      <c r="A34" s="44"/>
      <c r="B34" s="29"/>
      <c r="C34" s="44"/>
      <c r="D34" s="44"/>
      <c r="E34" s="44"/>
      <c r="F34" s="44"/>
      <c r="G34" s="1723">
        <v>0.09</v>
      </c>
      <c r="H34" s="1723">
        <v>0.04</v>
      </c>
      <c r="I34" s="1723">
        <v>0.04</v>
      </c>
      <c r="J34" s="1723" t="s">
        <v>6544</v>
      </c>
      <c r="K34" s="1723" t="s">
        <v>6545</v>
      </c>
      <c r="L34" s="1723" t="s">
        <v>6546</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3392</v>
      </c>
      <c r="C38" s="1730"/>
      <c r="D38" s="1731"/>
      <c r="E38" s="1731"/>
      <c r="F38" s="1731"/>
      <c r="G38" s="1732">
        <v>20</v>
      </c>
      <c r="H38" s="1733">
        <v>12</v>
      </c>
      <c r="I38" s="1732"/>
      <c r="J38" s="1821"/>
      <c r="K38" s="1821"/>
      <c r="L38" s="1733"/>
      <c r="Q38" s="142"/>
      <c r="R38" s="658" t="s">
        <v>1668</v>
      </c>
      <c r="S38" s="1729" t="s">
        <v>3392</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3337</v>
      </c>
      <c r="C40" s="1730"/>
      <c r="D40" s="1731"/>
      <c r="E40" s="1731"/>
      <c r="F40" s="1731"/>
      <c r="G40" s="1732">
        <v>3</v>
      </c>
      <c r="H40" s="1733">
        <v>2</v>
      </c>
      <c r="I40" s="1732"/>
      <c r="J40" s="1821"/>
      <c r="K40" s="1821"/>
      <c r="L40" s="1733"/>
      <c r="M40" s="4576" t="s">
        <v>6560</v>
      </c>
      <c r="N40" s="4577"/>
      <c r="O40" s="4577"/>
      <c r="P40" s="4577"/>
      <c r="Q40" s="142"/>
      <c r="R40" s="658" t="s">
        <v>720</v>
      </c>
      <c r="S40" s="1729" t="s">
        <v>3337</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3393</v>
      </c>
      <c r="C41" s="1730"/>
      <c r="D41" s="1731"/>
      <c r="E41" s="1731"/>
      <c r="F41" s="1731"/>
      <c r="G41" s="1732">
        <v>7</v>
      </c>
      <c r="H41" s="1733">
        <v>5</v>
      </c>
      <c r="I41" s="1732"/>
      <c r="J41" s="1821"/>
      <c r="K41" s="1821"/>
      <c r="L41" s="1733"/>
      <c r="M41" s="4576"/>
      <c r="N41" s="4577"/>
      <c r="O41" s="4577"/>
      <c r="P41" s="4577"/>
      <c r="Q41" s="142"/>
      <c r="R41" s="658" t="s">
        <v>280</v>
      </c>
      <c r="S41" s="1729" t="s">
        <v>3393</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3394</v>
      </c>
      <c r="C42" s="1730"/>
      <c r="D42" s="1731"/>
      <c r="E42" s="1731"/>
      <c r="F42" s="1731"/>
      <c r="G42" s="1732">
        <v>3</v>
      </c>
      <c r="H42" s="1733"/>
      <c r="I42" s="1732"/>
      <c r="J42" s="1821"/>
      <c r="K42" s="1821"/>
      <c r="L42" s="1733"/>
      <c r="M42" s="147" t="s">
        <v>6555</v>
      </c>
      <c r="N42" s="147"/>
      <c r="O42" s="147"/>
      <c r="P42" s="1232"/>
      <c r="Q42" s="142"/>
      <c r="R42" s="658" t="s">
        <v>401</v>
      </c>
      <c r="S42" s="1729" t="s">
        <v>3394</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3305</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3260</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3260</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3368</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3368</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2079</v>
      </c>
      <c r="B48" s="1729" t="s">
        <v>3802</v>
      </c>
      <c r="C48" s="1730"/>
      <c r="D48" s="1731"/>
      <c r="E48" s="1731"/>
      <c r="F48" s="1731"/>
      <c r="G48" s="1732">
        <v>4</v>
      </c>
      <c r="H48" s="1733">
        <v>4</v>
      </c>
      <c r="I48" s="1732">
        <v>4</v>
      </c>
      <c r="J48" s="1821">
        <v>4</v>
      </c>
      <c r="K48" s="1821">
        <v>4</v>
      </c>
      <c r="L48" s="1733">
        <v>4</v>
      </c>
      <c r="M48" s="1851" t="s">
        <v>2443</v>
      </c>
      <c r="N48" s="1852"/>
      <c r="O48" s="1853"/>
      <c r="P48" s="1232"/>
      <c r="R48" s="658" t="s">
        <v>2079</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3246</v>
      </c>
    </row>
    <row r="49" spans="1:46" s="115" customFormat="1" ht="10.5" customHeight="1">
      <c r="A49" s="658" t="s">
        <v>3368</v>
      </c>
      <c r="B49" s="1729" t="s">
        <v>6547</v>
      </c>
      <c r="C49" s="1730"/>
      <c r="D49" s="1731"/>
      <c r="E49" s="1731"/>
      <c r="F49" s="1731"/>
      <c r="G49" s="1732">
        <v>2</v>
      </c>
      <c r="H49" s="1733">
        <v>2</v>
      </c>
      <c r="I49" s="1732">
        <v>2</v>
      </c>
      <c r="J49" s="1821">
        <v>2</v>
      </c>
      <c r="K49" s="1821">
        <v>2</v>
      </c>
      <c r="L49" s="1733">
        <v>2</v>
      </c>
      <c r="M49" s="1854" t="s">
        <v>6558</v>
      </c>
      <c r="N49" s="1855"/>
      <c r="O49" s="1856"/>
      <c r="P49" s="818"/>
      <c r="R49" s="658" t="s">
        <v>3368</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6698</v>
      </c>
      <c r="AR49" s="223"/>
      <c r="AS49" s="72"/>
      <c r="AT49" s="1912">
        <f>'Part V-Revenues &amp; Expenses'!P115+'Part V-Revenues &amp; Expenses'!P122+'Part V-Revenues &amp; Expenses'!P123</f>
        <v>56</v>
      </c>
    </row>
    <row r="50" spans="1:46" s="115" customFormat="1" ht="10.5" customHeight="1">
      <c r="A50" s="658" t="s">
        <v>3369</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3369</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6689</v>
      </c>
      <c r="AR50" s="1542"/>
      <c r="AS50" s="1542"/>
      <c r="AT50" s="1913">
        <f>'Part V-Revenues &amp; Expenses'!P118+'Part V-Revenues &amp; Expenses'!P121-'Part V-Revenues &amp; Expenses'!$P$122-'Part V-Revenues &amp; Expenses'!$P$123</f>
        <v>0</v>
      </c>
    </row>
    <row r="51" spans="1:46" s="115" customFormat="1" ht="10.5" customHeight="1">
      <c r="A51" s="658" t="s">
        <v>3367</v>
      </c>
      <c r="B51" s="1729" t="s">
        <v>6553</v>
      </c>
      <c r="C51" s="1730"/>
      <c r="D51" s="1731"/>
      <c r="E51" s="1731"/>
      <c r="F51" s="1731"/>
      <c r="G51" s="1732">
        <v>2</v>
      </c>
      <c r="H51" s="1733"/>
      <c r="I51" s="1732"/>
      <c r="J51" s="1821">
        <v>2</v>
      </c>
      <c r="K51" s="1821">
        <v>2</v>
      </c>
      <c r="L51" s="1733">
        <v>2</v>
      </c>
      <c r="Q51" s="142"/>
      <c r="R51" s="658" t="s">
        <v>3367</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3370</v>
      </c>
      <c r="B52" s="1729" t="s">
        <v>6128</v>
      </c>
      <c r="C52" s="1730"/>
      <c r="D52" s="1731"/>
      <c r="E52" s="1731"/>
      <c r="F52" s="1731"/>
      <c r="G52" s="1732">
        <v>2</v>
      </c>
      <c r="H52" s="1733"/>
      <c r="I52" s="1732"/>
      <c r="J52" s="1821">
        <v>2</v>
      </c>
      <c r="K52" s="1821">
        <v>2</v>
      </c>
      <c r="L52" s="1733">
        <v>2</v>
      </c>
      <c r="M52" s="4710" t="s">
        <v>6735</v>
      </c>
      <c r="N52" s="4711"/>
      <c r="O52" s="4711"/>
      <c r="P52" s="4711"/>
      <c r="Q52" s="392"/>
      <c r="R52" s="658" t="s">
        <v>3370</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3371</v>
      </c>
      <c r="B53" s="1729" t="s">
        <v>3395</v>
      </c>
      <c r="C53" s="1730"/>
      <c r="D53" s="1731"/>
      <c r="E53" s="1731"/>
      <c r="F53" s="1731"/>
      <c r="G53" s="1732">
        <v>2</v>
      </c>
      <c r="H53" s="1733"/>
      <c r="I53" s="1732"/>
      <c r="J53" s="1821">
        <v>2</v>
      </c>
      <c r="K53" s="1821">
        <v>2</v>
      </c>
      <c r="L53" s="1733">
        <v>2</v>
      </c>
      <c r="M53" s="4710"/>
      <c r="N53" s="4711"/>
      <c r="O53" s="4711"/>
      <c r="P53" s="4711"/>
      <c r="R53" s="658" t="s">
        <v>3371</v>
      </c>
      <c r="S53" s="1729" t="s">
        <v>3395</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3374</v>
      </c>
      <c r="B54" s="1729" t="s">
        <v>3396</v>
      </c>
      <c r="C54" s="1730"/>
      <c r="D54" s="1731"/>
      <c r="E54" s="1731"/>
      <c r="F54" s="1731"/>
      <c r="G54" s="1732">
        <v>4</v>
      </c>
      <c r="H54" s="1733">
        <v>2</v>
      </c>
      <c r="I54" s="1732">
        <v>2</v>
      </c>
      <c r="J54" s="1821">
        <v>4</v>
      </c>
      <c r="K54" s="1821">
        <v>4</v>
      </c>
      <c r="L54" s="1733">
        <v>4</v>
      </c>
      <c r="M54" s="4712"/>
      <c r="N54" s="4713"/>
      <c r="O54" s="4713"/>
      <c r="P54" s="4713"/>
      <c r="R54" s="658" t="s">
        <v>3374</v>
      </c>
      <c r="S54" s="1729" t="s">
        <v>3396</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3375</v>
      </c>
      <c r="B55" s="1729" t="s">
        <v>3397</v>
      </c>
      <c r="C55" s="1730"/>
      <c r="D55" s="1731"/>
      <c r="E55" s="1731"/>
      <c r="F55" s="1731"/>
      <c r="G55" s="1732">
        <v>2</v>
      </c>
      <c r="H55" s="1733"/>
      <c r="I55" s="1732"/>
      <c r="J55" s="1821"/>
      <c r="K55" s="1821"/>
      <c r="L55" s="1733"/>
      <c r="M55" s="4578" t="s">
        <v>6710</v>
      </c>
      <c r="N55" s="4579"/>
      <c r="O55" s="4579"/>
      <c r="P55" s="4580"/>
      <c r="R55" s="658" t="s">
        <v>3375</v>
      </c>
      <c r="S55" s="1729" t="s">
        <v>3397</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3376</v>
      </c>
      <c r="B56" s="1729" t="s">
        <v>6129</v>
      </c>
      <c r="C56" s="1730"/>
      <c r="D56" s="1731"/>
      <c r="E56" s="1731"/>
      <c r="F56" s="1731"/>
      <c r="G56" s="1732">
        <v>10</v>
      </c>
      <c r="H56" s="1733">
        <v>10</v>
      </c>
      <c r="I56" s="1732">
        <v>10</v>
      </c>
      <c r="J56" s="1821">
        <v>10</v>
      </c>
      <c r="K56" s="1821">
        <v>10</v>
      </c>
      <c r="L56" s="1733">
        <v>10</v>
      </c>
      <c r="M56" s="4581"/>
      <c r="N56" s="4582"/>
      <c r="O56" s="4582"/>
      <c r="P56" s="4583"/>
      <c r="R56" s="658" t="s">
        <v>3376</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3377</v>
      </c>
      <c r="B57" s="1729" t="s">
        <v>6549</v>
      </c>
      <c r="C57" s="1730"/>
      <c r="D57" s="1731"/>
      <c r="E57" s="1731"/>
      <c r="F57" s="1731"/>
      <c r="G57" s="1732">
        <v>3</v>
      </c>
      <c r="H57" s="1733">
        <v>3</v>
      </c>
      <c r="I57" s="1732">
        <v>3</v>
      </c>
      <c r="J57" s="1821">
        <v>3</v>
      </c>
      <c r="K57" s="1821">
        <v>3</v>
      </c>
      <c r="L57" s="1733">
        <v>3</v>
      </c>
      <c r="R57" s="658" t="s">
        <v>3377</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3378</v>
      </c>
      <c r="B58" s="1729" t="s">
        <v>6130</v>
      </c>
      <c r="C58" s="1730"/>
      <c r="D58" s="1731"/>
      <c r="E58" s="1731"/>
      <c r="F58" s="1731"/>
      <c r="G58" s="1732"/>
      <c r="H58" s="1733"/>
      <c r="I58" s="1732">
        <v>6</v>
      </c>
      <c r="J58" s="1821">
        <v>6</v>
      </c>
      <c r="K58" s="1821">
        <v>6</v>
      </c>
      <c r="L58" s="1733">
        <v>6</v>
      </c>
      <c r="M58" s="4576" t="s">
        <v>6138</v>
      </c>
      <c r="N58" s="4577"/>
      <c r="O58" s="4577"/>
      <c r="P58" s="4577"/>
      <c r="Q58" s="142"/>
      <c r="R58" s="658" t="s">
        <v>3378</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3379</v>
      </c>
      <c r="B59" s="1729" t="s">
        <v>6550</v>
      </c>
      <c r="C59" s="1730"/>
      <c r="D59" s="1731"/>
      <c r="E59" s="1731"/>
      <c r="F59" s="1731"/>
      <c r="G59" s="1732"/>
      <c r="H59" s="1733"/>
      <c r="I59" s="1732">
        <v>6</v>
      </c>
      <c r="J59" s="1821">
        <v>6</v>
      </c>
      <c r="K59" s="1821">
        <v>6</v>
      </c>
      <c r="L59" s="1733">
        <v>6</v>
      </c>
      <c r="M59" s="4708"/>
      <c r="N59" s="4709"/>
      <c r="O59" s="4709"/>
      <c r="P59" s="4709"/>
      <c r="Q59" s="142"/>
      <c r="R59" s="658" t="s">
        <v>3379</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439" t="s">
        <v>6711</v>
      </c>
      <c r="N60" s="4440"/>
      <c r="O60" s="4440"/>
      <c r="P60" s="4441"/>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442"/>
      <c r="N61" s="4443"/>
      <c r="O61" s="4443"/>
      <c r="P61" s="4444"/>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3803</v>
      </c>
      <c r="D66" s="41"/>
      <c r="E66" s="41"/>
      <c r="F66" s="891"/>
      <c r="N66" s="48" t="s">
        <v>1840</v>
      </c>
      <c r="P66" s="1609">
        <f>SUM(P67:P69)</f>
        <v>0</v>
      </c>
      <c r="Q66" s="29" t="s">
        <v>6240</v>
      </c>
    </row>
    <row r="67" spans="1:20" s="36" customFormat="1" ht="12.75" customHeight="1">
      <c r="A67" s="107"/>
      <c r="B67" s="1610" t="s">
        <v>1843</v>
      </c>
      <c r="C67" s="81" t="s">
        <v>3806</v>
      </c>
      <c r="D67" s="41"/>
      <c r="E67" s="41"/>
      <c r="F67" s="891"/>
      <c r="H67" s="147" t="s">
        <v>3173</v>
      </c>
      <c r="J67" s="42"/>
      <c r="N67" s="317" t="s">
        <v>1843</v>
      </c>
      <c r="P67" s="902">
        <f>F75</f>
        <v>0</v>
      </c>
    </row>
    <row r="68" spans="1:20" s="36" customFormat="1" ht="12.75" customHeight="1">
      <c r="A68" s="107"/>
      <c r="B68" s="1610" t="s">
        <v>1845</v>
      </c>
      <c r="C68" s="81" t="s">
        <v>6239</v>
      </c>
      <c r="D68" s="41"/>
      <c r="E68" s="41"/>
      <c r="F68" s="891"/>
      <c r="H68" s="147" t="s">
        <v>3804</v>
      </c>
      <c r="J68" s="42"/>
      <c r="N68" s="317" t="s">
        <v>1845</v>
      </c>
      <c r="P68" s="1177">
        <f>J75</f>
        <v>0</v>
      </c>
    </row>
    <row r="69" spans="1:20" s="36" customFormat="1" ht="12.75" customHeight="1">
      <c r="A69" s="107"/>
      <c r="B69" s="1610" t="s">
        <v>2331</v>
      </c>
      <c r="C69" s="81" t="s">
        <v>3805</v>
      </c>
      <c r="D69" s="41"/>
      <c r="E69" s="41"/>
      <c r="F69" s="891"/>
      <c r="H69" s="147" t="s">
        <v>3809</v>
      </c>
      <c r="J69" s="42"/>
      <c r="N69" s="317" t="s">
        <v>2331</v>
      </c>
      <c r="P69" s="1178"/>
    </row>
    <row r="70" spans="1:20" s="36" customFormat="1" ht="12.75" customHeight="1">
      <c r="C70" s="4491" t="s">
        <v>3893</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05" t="s">
        <v>6071</v>
      </c>
      <c r="B74" s="4405"/>
      <c r="C74" s="4405"/>
      <c r="D74" s="4405"/>
      <c r="E74" s="4405"/>
      <c r="F74" s="1176" t="s">
        <v>3389</v>
      </c>
      <c r="G74" s="4563" t="s">
        <v>6073</v>
      </c>
      <c r="H74" s="4563"/>
      <c r="I74" s="4563"/>
      <c r="J74" s="1176" t="s">
        <v>3389</v>
      </c>
      <c r="K74" s="4567" t="s">
        <v>6072</v>
      </c>
      <c r="L74" s="4567"/>
      <c r="M74" s="4567"/>
      <c r="N74" s="4567"/>
      <c r="O74" s="4561" t="s">
        <v>3389</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2575</v>
      </c>
      <c r="K78" s="4484">
        <v>3</v>
      </c>
      <c r="L78" s="4485"/>
      <c r="M78" s="4485"/>
      <c r="N78" s="4485"/>
      <c r="O78" s="4671" t="s">
        <v>2575</v>
      </c>
      <c r="P78" s="4672"/>
      <c r="Q78" s="4714" t="s">
        <v>3807</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2575</v>
      </c>
      <c r="P79" s="4672"/>
      <c r="Q79" s="4714"/>
      <c r="R79" s="4715"/>
      <c r="S79" s="1179"/>
      <c r="T79" s="1179"/>
    </row>
    <row r="80" spans="1:20" s="35" customFormat="1" ht="24.75" customHeight="1">
      <c r="A80" s="4450">
        <v>5</v>
      </c>
      <c r="B80" s="4451"/>
      <c r="C80" s="4451"/>
      <c r="D80" s="4451"/>
      <c r="E80" s="4452"/>
      <c r="F80" s="680"/>
      <c r="G80" s="4450">
        <v>5</v>
      </c>
      <c r="H80" s="4451"/>
      <c r="I80" s="4452"/>
      <c r="J80" s="934" t="s">
        <v>3143</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3144</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3145</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3146</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3924</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1840</v>
      </c>
      <c r="B91" s="153" t="s">
        <v>6139</v>
      </c>
      <c r="E91" s="32"/>
      <c r="G91" s="67"/>
      <c r="H91" s="44" t="s">
        <v>6644</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5" t="s">
        <v>3810</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1840</v>
      </c>
      <c r="O93" s="692">
        <f>IF(AND(OR($J$89="9%",$J$89="4%"),$L$89="New Supply"),MIN($M93,O94+O95),0)</f>
        <v>0</v>
      </c>
      <c r="P93" s="692">
        <f>IF(NOT($J$89="9%"),0,MIN($M93, P94+P95))</f>
        <v>0</v>
      </c>
    </row>
    <row r="94" spans="1:19" s="70" customFormat="1" ht="13.5" customHeight="1">
      <c r="A94" s="107"/>
      <c r="B94" s="1193" t="s">
        <v>1843</v>
      </c>
      <c r="C94" s="1183" t="s">
        <v>3811</v>
      </c>
      <c r="D94" s="29"/>
      <c r="H94" s="29" t="s">
        <v>3812</v>
      </c>
      <c r="I94" s="1182"/>
      <c r="J94" s="1239">
        <f>'Part V-Revenues &amp; Expenses'!$B$50</f>
        <v>57.678571428571431</v>
      </c>
      <c r="L94" s="4654" t="str">
        <f>IF(AND(O94&gt;0,O95&gt;0), "CHOOSE EITHER A OR B, NOT BOTH!", "")</f>
        <v/>
      </c>
      <c r="M94" s="458">
        <v>2</v>
      </c>
      <c r="N94" s="150" t="s">
        <v>1843</v>
      </c>
      <c r="O94" s="406"/>
      <c r="P94" s="414"/>
      <c r="Q94" s="1212" t="str">
        <f>IF(OR($O94=$M94,$O94=0,$O94=""),"","*CHECK!*")</f>
        <v/>
      </c>
      <c r="R94" s="795" t="s">
        <v>4057</v>
      </c>
    </row>
    <row r="95" spans="1:19" s="70" customFormat="1" ht="13.5" customHeight="1">
      <c r="A95" s="396" t="s">
        <v>2983</v>
      </c>
      <c r="B95" s="1193" t="s">
        <v>1845</v>
      </c>
      <c r="C95" s="1183" t="s">
        <v>3813</v>
      </c>
      <c r="D95" s="29"/>
      <c r="I95" s="1182"/>
      <c r="K95" s="29"/>
      <c r="L95" s="4654"/>
      <c r="M95" s="458">
        <v>2</v>
      </c>
      <c r="N95" s="150" t="s">
        <v>1845</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3174</v>
      </c>
      <c r="E97" s="79"/>
      <c r="H97" s="4455" t="s">
        <v>3814</v>
      </c>
      <c r="I97" s="4456"/>
      <c r="J97" s="1186" t="s">
        <v>3815</v>
      </c>
      <c r="M97" s="686">
        <v>3</v>
      </c>
      <c r="N97" s="128" t="s">
        <v>1842</v>
      </c>
      <c r="O97" s="692">
        <f>IF(AND(O98="Yes", O99="Yes"),$M$97,0)</f>
        <v>0</v>
      </c>
      <c r="P97" s="692">
        <f>IF(AND(P98="Yes", P99="Yes"),$M$97,0)</f>
        <v>0</v>
      </c>
    </row>
    <row r="98" spans="1:18" s="36" customFormat="1" ht="13.5" customHeight="1">
      <c r="A98" s="346"/>
      <c r="B98" s="1193" t="s">
        <v>1843</v>
      </c>
      <c r="C98" s="1184">
        <v>0.3</v>
      </c>
      <c r="D98" s="751" t="s">
        <v>3175</v>
      </c>
      <c r="E98" s="79"/>
      <c r="F98" s="370"/>
      <c r="H98" s="940"/>
      <c r="I98" s="941"/>
      <c r="J98" s="1185">
        <f>'Part V-Revenues &amp; Expenses'!$P$65</f>
        <v>56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3323</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3366</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3251</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3284</v>
      </c>
      <c r="D105" s="26"/>
      <c r="N105" s="48"/>
      <c r="O105" s="718"/>
      <c r="P105" s="1764"/>
    </row>
    <row r="106" spans="1:18" s="70" customFormat="1" ht="12.75" customHeight="1">
      <c r="A106" s="107" t="s">
        <v>1840</v>
      </c>
      <c r="B106" s="141" t="s">
        <v>1736</v>
      </c>
      <c r="C106" s="4"/>
      <c r="D106" s="4"/>
      <c r="F106" s="243"/>
      <c r="H106" s="658" t="s">
        <v>2467</v>
      </c>
      <c r="I106" s="4475" t="s">
        <v>4042</v>
      </c>
      <c r="J106" s="4476"/>
      <c r="K106" s="4476"/>
      <c r="L106" s="4477"/>
      <c r="M106" s="458">
        <v>20</v>
      </c>
      <c r="N106" s="150" t="s">
        <v>1840</v>
      </c>
      <c r="O106" s="1765"/>
      <c r="P106" s="1766"/>
      <c r="Q106" s="1212"/>
      <c r="R106" s="795" t="s">
        <v>4057</v>
      </c>
    </row>
    <row r="107" spans="1:18" s="70" customFormat="1" ht="12.75" customHeight="1">
      <c r="A107" s="107" t="s">
        <v>1842</v>
      </c>
      <c r="B107" s="141" t="s">
        <v>3278</v>
      </c>
      <c r="D107" s="880"/>
      <c r="F107" s="1238"/>
      <c r="H107" s="658" t="s">
        <v>3336</v>
      </c>
      <c r="I107" s="4478"/>
      <c r="J107" s="4479"/>
      <c r="K107" s="4479"/>
      <c r="L107" s="4480"/>
      <c r="M107" s="891" t="s">
        <v>1164</v>
      </c>
      <c r="N107" s="48" t="s">
        <v>1842</v>
      </c>
      <c r="O107" s="1767"/>
      <c r="P107" s="1768"/>
      <c r="R107" s="795" t="s">
        <v>4057</v>
      </c>
    </row>
    <row r="108" spans="1:18" s="36" customFormat="1" ht="12.75" customHeight="1" thickBot="1">
      <c r="A108" s="35"/>
      <c r="B108" s="937" t="s">
        <v>3239</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2413</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3324</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1843</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3325</v>
      </c>
      <c r="D123" s="34"/>
      <c r="F123" s="4537" t="s">
        <v>3214</v>
      </c>
      <c r="G123" s="4537"/>
      <c r="H123" s="4537"/>
      <c r="I123" s="4537"/>
      <c r="J123" s="4537" t="s">
        <v>3215</v>
      </c>
      <c r="K123" s="4537"/>
      <c r="L123" s="4537"/>
      <c r="M123" s="4537"/>
      <c r="N123" s="48"/>
      <c r="O123" s="4538" t="s">
        <v>3883</v>
      </c>
      <c r="P123" s="4539"/>
      <c r="Q123" s="86"/>
      <c r="R123" s="879"/>
      <c r="S123" s="879"/>
      <c r="T123" s="879"/>
      <c r="U123" s="879"/>
    </row>
    <row r="124" spans="1:21" s="36" customFormat="1" ht="12" customHeight="1">
      <c r="B124" s="1839"/>
      <c r="C124" s="1182" t="s">
        <v>6569</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6145</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6678</v>
      </c>
      <c r="B126" s="4668"/>
      <c r="C126" s="1182" t="s">
        <v>6568</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3364</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6701</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3236</v>
      </c>
      <c r="D131" s="34"/>
      <c r="F131" s="937" t="s">
        <v>6682</v>
      </c>
      <c r="M131" s="119">
        <v>6</v>
      </c>
      <c r="N131" s="317" t="s">
        <v>1840</v>
      </c>
      <c r="O131" s="1615">
        <f>IF(OR($J$113="Atlanta Metro",$J$113="Other Metro"),MIN($M131,O133+O134),0)</f>
        <v>0</v>
      </c>
      <c r="P131" s="1615">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1843</v>
      </c>
      <c r="C133" s="4536" t="s">
        <v>6676</v>
      </c>
      <c r="D133" s="4536"/>
      <c r="E133" s="4536"/>
      <c r="F133" s="4536"/>
      <c r="G133" s="4536"/>
      <c r="H133" s="4536"/>
      <c r="I133" s="4536"/>
      <c r="J133" s="4536"/>
      <c r="K133" s="4536"/>
      <c r="L133" s="4536"/>
      <c r="M133" s="1848">
        <v>6</v>
      </c>
      <c r="N133" s="374" t="s">
        <v>1843</v>
      </c>
      <c r="O133" s="1910"/>
      <c r="P133" s="1911"/>
      <c r="Q133" s="1212"/>
      <c r="R133" s="795" t="s">
        <v>4057</v>
      </c>
    </row>
    <row r="134" spans="1:21" s="332" customFormat="1" ht="12" customHeight="1">
      <c r="A134" s="456" t="s">
        <v>1275</v>
      </c>
      <c r="B134" s="350" t="s">
        <v>1845</v>
      </c>
      <c r="C134" s="3575" t="s">
        <v>6677</v>
      </c>
      <c r="D134" s="3575"/>
      <c r="E134" s="3575"/>
      <c r="F134" s="3575"/>
      <c r="G134" s="866"/>
      <c r="J134" s="4540" t="s">
        <v>6673</v>
      </c>
      <c r="K134" s="4541"/>
      <c r="L134" s="4542"/>
      <c r="M134" s="458">
        <v>5</v>
      </c>
      <c r="N134" s="348" t="s">
        <v>1845</v>
      </c>
      <c r="O134" s="1923"/>
      <c r="P134" s="1924"/>
      <c r="Q134" s="1810" t="s">
        <v>6669</v>
      </c>
      <c r="R134" s="1176" t="s">
        <v>6262</v>
      </c>
      <c r="S134" s="1176" t="s">
        <v>6143</v>
      </c>
    </row>
    <row r="135" spans="1:21" s="332" customFormat="1" ht="12" customHeight="1">
      <c r="B135" s="350"/>
      <c r="C135" s="3575"/>
      <c r="D135" s="3575"/>
      <c r="E135" s="3575"/>
      <c r="F135" s="3575"/>
      <c r="G135" s="866"/>
      <c r="H135" s="3368" t="s">
        <v>6671</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5"/>
      <c r="D136" s="3575"/>
      <c r="E136" s="3575"/>
      <c r="F136" s="3575"/>
      <c r="G136" s="866"/>
      <c r="H136" s="1769"/>
      <c r="I136" s="1904"/>
      <c r="J136" s="4543"/>
      <c r="K136" s="4544"/>
      <c r="L136" s="4545"/>
      <c r="Q136" s="798"/>
      <c r="R136" s="1549">
        <v>0.5</v>
      </c>
      <c r="S136" s="1549">
        <v>4.5</v>
      </c>
    </row>
    <row r="137" spans="1:21" s="332" customFormat="1" ht="12" customHeight="1">
      <c r="B137" s="350"/>
      <c r="C137" s="3575"/>
      <c r="D137" s="3575"/>
      <c r="E137" s="3575"/>
      <c r="F137" s="3575"/>
      <c r="G137" s="866"/>
      <c r="J137" s="4543"/>
      <c r="K137" s="4544"/>
      <c r="L137" s="4545"/>
      <c r="M137" s="70"/>
      <c r="N137" s="70"/>
      <c r="O137" s="70"/>
      <c r="P137" s="70"/>
      <c r="Q137" s="397"/>
      <c r="R137" s="1550">
        <v>1</v>
      </c>
      <c r="S137" s="1550">
        <v>4</v>
      </c>
    </row>
    <row r="138" spans="1:21" s="332" customFormat="1" ht="12" customHeight="1">
      <c r="A138" s="112" t="s">
        <v>1842</v>
      </c>
      <c r="B138" s="897" t="s">
        <v>3237</v>
      </c>
      <c r="C138" s="503"/>
      <c r="D138" s="503"/>
      <c r="F138" s="1902" t="s">
        <v>6668</v>
      </c>
      <c r="J138" s="4465" t="s">
        <v>3234</v>
      </c>
      <c r="K138" s="4466"/>
      <c r="L138" s="1837" t="s">
        <v>3235</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6670</v>
      </c>
      <c r="R138" s="1905">
        <v>0.25</v>
      </c>
      <c r="S138" s="1905">
        <v>3</v>
      </c>
    </row>
    <row r="139" spans="1:21" s="36" customFormat="1" ht="12" customHeight="1">
      <c r="A139" s="120"/>
      <c r="B139" s="1632" t="s">
        <v>1843</v>
      </c>
      <c r="C139" s="3575" t="s">
        <v>6683</v>
      </c>
      <c r="D139" s="3575"/>
      <c r="E139" s="3575"/>
      <c r="F139" s="3575"/>
      <c r="G139" s="866"/>
      <c r="H139" s="3368" t="s">
        <v>6672</v>
      </c>
      <c r="I139" s="3368"/>
      <c r="J139" s="4467" t="s">
        <v>6688</v>
      </c>
      <c r="K139" s="4468"/>
      <c r="L139" s="4469"/>
      <c r="M139" s="458">
        <v>3</v>
      </c>
      <c r="N139" s="348" t="s">
        <v>1843</v>
      </c>
      <c r="O139" s="4703"/>
      <c r="P139" s="4706"/>
      <c r="Q139" s="798" t="str">
        <f>IF(OR($O141=$M141,$O141=0,$O141=""),"","*CHECK!*")</f>
        <v/>
      </c>
      <c r="R139" s="1549">
        <v>0.5</v>
      </c>
      <c r="S139" s="1549">
        <v>2</v>
      </c>
      <c r="U139" s="332"/>
    </row>
    <row r="140" spans="1:21" s="36" customFormat="1" ht="12" customHeight="1">
      <c r="A140" s="120"/>
      <c r="B140" s="891"/>
      <c r="C140" s="3575"/>
      <c r="D140" s="3575"/>
      <c r="E140" s="3575"/>
      <c r="F140" s="3575"/>
      <c r="G140" s="70"/>
      <c r="H140" s="1769"/>
      <c r="I140" s="1904"/>
      <c r="J140" s="4690" t="s">
        <v>6564</v>
      </c>
      <c r="K140" s="4691"/>
      <c r="L140" s="4692"/>
      <c r="M140" s="70"/>
      <c r="O140" s="4704"/>
      <c r="P140" s="4707"/>
      <c r="Q140" s="86"/>
      <c r="R140" s="1550">
        <v>1</v>
      </c>
      <c r="S140" s="1550">
        <v>1</v>
      </c>
      <c r="U140" s="332"/>
    </row>
    <row r="141" spans="1:21" s="36" customFormat="1" ht="11.25" customHeight="1">
      <c r="A141" s="456" t="s">
        <v>1275</v>
      </c>
      <c r="B141" s="1632" t="s">
        <v>1845</v>
      </c>
      <c r="C141" s="3575" t="s">
        <v>6675</v>
      </c>
      <c r="D141" s="3575"/>
      <c r="E141" s="3575"/>
      <c r="F141" s="3575"/>
      <c r="G141" s="3575"/>
      <c r="H141" s="3575"/>
      <c r="I141" s="1903"/>
      <c r="J141" s="4693"/>
      <c r="K141" s="4694"/>
      <c r="L141" s="4695"/>
      <c r="M141" s="458">
        <v>1</v>
      </c>
      <c r="N141" s="348" t="s">
        <v>1845</v>
      </c>
      <c r="O141" s="4490"/>
      <c r="P141" s="4667"/>
      <c r="U141" s="332"/>
    </row>
    <row r="142" spans="1:21" s="36" customFormat="1" ht="11.25" customHeight="1">
      <c r="B142" s="1906"/>
      <c r="C142" s="3575"/>
      <c r="D142" s="3575"/>
      <c r="E142" s="3575"/>
      <c r="F142" s="3575"/>
      <c r="G142" s="3575"/>
      <c r="H142" s="3575"/>
      <c r="I142" s="1903"/>
      <c r="J142" s="4696"/>
      <c r="K142" s="4697"/>
      <c r="L142" s="4698"/>
      <c r="O142" s="4490"/>
      <c r="P142" s="4667"/>
      <c r="T142" s="332"/>
      <c r="U142" s="332"/>
    </row>
    <row r="143" spans="1:21" s="332" customFormat="1" ht="12" customHeight="1">
      <c r="A143" s="1631" t="s">
        <v>1275</v>
      </c>
      <c r="B143" s="1632" t="s">
        <v>2331</v>
      </c>
      <c r="C143" s="3575" t="s">
        <v>6674</v>
      </c>
      <c r="D143" s="3575"/>
      <c r="E143" s="3575"/>
      <c r="F143" s="3575"/>
      <c r="G143" s="3575"/>
      <c r="H143" s="3575"/>
      <c r="I143" s="4702"/>
      <c r="J143" s="4690" t="s">
        <v>6565</v>
      </c>
      <c r="K143" s="4691"/>
      <c r="L143" s="4692"/>
      <c r="M143" s="1848">
        <v>2</v>
      </c>
      <c r="N143" s="374" t="s">
        <v>2331</v>
      </c>
      <c r="O143" s="4665"/>
      <c r="P143" s="4486"/>
      <c r="Q143" s="798"/>
      <c r="R143" s="795"/>
    </row>
    <row r="144" spans="1:21" s="36" customFormat="1" ht="36.75" customHeight="1">
      <c r="C144" s="3575"/>
      <c r="D144" s="3575"/>
      <c r="E144" s="3575"/>
      <c r="F144" s="3575"/>
      <c r="G144" s="3575"/>
      <c r="H144" s="3575"/>
      <c r="I144" s="4702"/>
      <c r="J144" s="4699"/>
      <c r="K144" s="4700"/>
      <c r="L144" s="4701"/>
      <c r="O144" s="4666"/>
      <c r="P144" s="4487"/>
    </row>
    <row r="145" spans="1:19" s="36" customFormat="1" ht="12.6" customHeight="1">
      <c r="A145" s="29" t="s">
        <v>3365</v>
      </c>
      <c r="B145" s="141"/>
      <c r="E145" s="34"/>
      <c r="K145" s="41"/>
      <c r="M145" s="53"/>
      <c r="N145" s="53"/>
      <c r="O145" s="53"/>
      <c r="P145" s="53"/>
      <c r="Q145" s="307"/>
      <c r="R145" s="307"/>
    </row>
    <row r="146" spans="1:19" s="36" customFormat="1" ht="11.25" customHeight="1" thickBot="1">
      <c r="A146" s="35"/>
      <c r="B146" s="937" t="s">
        <v>3239</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6719</v>
      </c>
      <c r="F153" s="1542"/>
      <c r="G153" s="1542"/>
      <c r="H153" s="1542"/>
      <c r="I153" s="1652"/>
      <c r="J153" s="1653"/>
      <c r="K153" s="1654"/>
      <c r="M153" s="36"/>
      <c r="N153"/>
      <c r="O153"/>
      <c r="P153" s="1963"/>
    </row>
    <row r="154" spans="1:19" ht="11.25" customHeight="1">
      <c r="C154" s="1542" t="s">
        <v>6718</v>
      </c>
      <c r="F154" s="1542"/>
      <c r="G154" s="1542"/>
      <c r="H154" s="1542"/>
      <c r="I154" s="1652"/>
      <c r="J154" s="4687" t="s">
        <v>6889</v>
      </c>
      <c r="K154" s="4688"/>
      <c r="L154" s="4688"/>
      <c r="M154" s="4689"/>
      <c r="N154"/>
      <c r="O154"/>
      <c r="P154"/>
    </row>
    <row r="155" spans="1:19" ht="12.75" customHeight="1">
      <c r="B155" s="430"/>
      <c r="C155" s="430"/>
      <c r="D155" s="430"/>
      <c r="F155" s="4201" t="s">
        <v>6626</v>
      </c>
      <c r="G155" s="4201"/>
      <c r="H155" s="4201" t="s">
        <v>6268</v>
      </c>
      <c r="I155" s="4201"/>
      <c r="J155" s="4675" t="s">
        <v>6627</v>
      </c>
      <c r="K155" s="4676"/>
      <c r="L155" s="4678" t="s">
        <v>6888</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6628</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3239</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3338</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1840</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1843</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2239</v>
      </c>
      <c r="C173" s="4193" t="s">
        <v>6679</v>
      </c>
      <c r="D173" s="4193"/>
      <c r="E173" s="4193"/>
      <c r="F173" s="4193"/>
      <c r="G173" s="4193"/>
      <c r="H173" s="4193"/>
      <c r="I173" s="4193"/>
      <c r="J173" s="4193"/>
      <c r="K173" s="4193"/>
      <c r="L173" s="128"/>
      <c r="M173" s="4659" t="s">
        <v>6089</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2239</v>
      </c>
      <c r="M174" s="4651" t="s">
        <v>3285</v>
      </c>
      <c r="N174" s="4652"/>
      <c r="O174" s="4652"/>
      <c r="P174" s="4653"/>
      <c r="S174" s="1628"/>
      <c r="T174" s="1628"/>
      <c r="U174" s="1628"/>
    </row>
    <row r="175" spans="1:26" s="26" customFormat="1" ht="12.75" customHeight="1">
      <c r="B175" s="49" t="s">
        <v>2240</v>
      </c>
      <c r="C175" s="29" t="s">
        <v>3955</v>
      </c>
      <c r="D175" s="29"/>
      <c r="E175" s="29"/>
      <c r="F175" s="29"/>
      <c r="G175" s="29"/>
      <c r="H175" s="29"/>
      <c r="L175" s="49" t="s">
        <v>2240</v>
      </c>
      <c r="M175" s="4467" t="s">
        <v>3285</v>
      </c>
      <c r="N175" s="4468"/>
      <c r="O175" s="4468"/>
      <c r="P175" s="4469"/>
      <c r="S175" s="1628"/>
      <c r="T175" s="1628"/>
      <c r="U175" s="1628"/>
      <c r="V175" s="72"/>
      <c r="W175" s="72"/>
      <c r="X175" s="72"/>
      <c r="Y175" s="72"/>
      <c r="Z175" s="72"/>
    </row>
    <row r="176" spans="1:26" s="26" customFormat="1" ht="12.75" customHeight="1">
      <c r="B176" s="49" t="s">
        <v>2241</v>
      </c>
      <c r="C176" s="29" t="s">
        <v>6173</v>
      </c>
      <c r="D176" s="29"/>
      <c r="E176" s="29"/>
      <c r="F176" s="29"/>
      <c r="G176" s="29"/>
      <c r="H176" s="29"/>
      <c r="L176" s="49" t="s">
        <v>2241</v>
      </c>
      <c r="M176" s="4467" t="s">
        <v>3285</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2242</v>
      </c>
      <c r="C177" s="29" t="s">
        <v>6174</v>
      </c>
      <c r="D177" s="29"/>
      <c r="E177" s="29"/>
      <c r="F177" s="29"/>
      <c r="G177" s="29"/>
      <c r="L177" s="49" t="s">
        <v>2242</v>
      </c>
      <c r="M177" s="4606" t="s">
        <v>3285</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1845</v>
      </c>
      <c r="C179" s="89" t="s">
        <v>6250</v>
      </c>
      <c r="D179" s="108"/>
      <c r="E179" s="108"/>
      <c r="F179" s="108"/>
      <c r="G179" s="108"/>
      <c r="H179" s="108"/>
      <c r="I179" s="108"/>
      <c r="K179" s="935"/>
      <c r="L179" s="935"/>
      <c r="R179" s="1628"/>
      <c r="S179" s="1628"/>
      <c r="T179" s="1628"/>
      <c r="U179" s="1628"/>
    </row>
    <row r="180" spans="1:26">
      <c r="A180" s="396"/>
      <c r="B180" s="128" t="s">
        <v>2239</v>
      </c>
      <c r="C180" s="4193" t="s">
        <v>6177</v>
      </c>
      <c r="D180" s="4193"/>
      <c r="E180" s="4193"/>
      <c r="F180" s="4193"/>
      <c r="G180" s="4193"/>
      <c r="H180" s="4193"/>
      <c r="I180" s="4193"/>
      <c r="J180" s="4193"/>
      <c r="K180" s="4193"/>
      <c r="L180" s="4193"/>
      <c r="M180" s="1848">
        <v>1</v>
      </c>
      <c r="N180" s="128" t="s">
        <v>4075</v>
      </c>
      <c r="O180" s="1636"/>
      <c r="P180" s="1640"/>
      <c r="Q180" s="1212" t="str">
        <f>IF(OR($O180=$M180,$O180=0,$O180=""),"","*CHECK!*")</f>
        <v/>
      </c>
      <c r="R180" s="795" t="s">
        <v>4057</v>
      </c>
    </row>
    <row r="181" spans="1:26" ht="36.75" customHeight="1">
      <c r="A181" s="396"/>
      <c r="B181" s="117" t="s">
        <v>2240</v>
      </c>
      <c r="C181" s="4193" t="s">
        <v>6178</v>
      </c>
      <c r="D181" s="4193"/>
      <c r="E181" s="4193"/>
      <c r="F181" s="4193"/>
      <c r="G181" s="4193"/>
      <c r="H181" s="4193"/>
      <c r="I181" s="4193"/>
      <c r="J181" s="4193"/>
      <c r="K181" s="4193"/>
      <c r="L181" s="4193"/>
      <c r="M181" s="1848">
        <v>1</v>
      </c>
      <c r="N181" s="128" t="s">
        <v>6259</v>
      </c>
      <c r="O181" s="1657"/>
      <c r="P181" s="1658"/>
      <c r="Q181" s="1212" t="str">
        <f>IF(OR($O181=$M181,$O181=0,$O181=""),"","*CHECK!*")</f>
        <v/>
      </c>
      <c r="R181" s="795" t="s">
        <v>4057</v>
      </c>
    </row>
    <row r="182" spans="1:26" ht="12" customHeight="1">
      <c r="A182" s="396"/>
      <c r="B182" s="1607" t="s">
        <v>2241</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3820</v>
      </c>
      <c r="D184" s="26"/>
      <c r="F184" s="1189"/>
      <c r="K184" s="915"/>
      <c r="L184" s="307" t="str">
        <f>IF(OR($O184=$M184,$O184=0,$O184=1,$O184=""),"","* * Check Score! * *")</f>
        <v/>
      </c>
      <c r="M184" s="458">
        <v>2</v>
      </c>
      <c r="N184" s="48" t="s">
        <v>1842</v>
      </c>
      <c r="O184" s="459"/>
      <c r="P184" s="664"/>
      <c r="Q184" s="798" t="str">
        <f>IF(OR($O184=$M184,$O184=0,$O184=""),"","*CHECK!*")</f>
        <v/>
      </c>
      <c r="R184" s="795" t="s">
        <v>4057</v>
      </c>
    </row>
    <row r="185" spans="1:26" s="70" customFormat="1" ht="10.5" customHeight="1" thickBot="1">
      <c r="A185" s="35"/>
      <c r="B185" s="937" t="s">
        <v>3239</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3339</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3672</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1843</v>
      </c>
      <c r="C194" s="4193" t="s">
        <v>6206</v>
      </c>
      <c r="D194" s="4193"/>
      <c r="E194" s="4193"/>
      <c r="F194" s="4193"/>
      <c r="G194" s="4193"/>
      <c r="H194" s="4193"/>
      <c r="I194" s="4193"/>
      <c r="J194" s="4193"/>
      <c r="K194" s="4193"/>
      <c r="L194" s="4193"/>
      <c r="M194" s="884" t="s">
        <v>698</v>
      </c>
      <c r="N194" s="317" t="s">
        <v>1843</v>
      </c>
      <c r="O194" s="894"/>
      <c r="P194" s="893"/>
      <c r="Q194" s="947"/>
      <c r="V194" s="1599"/>
      <c r="W194" s="1599"/>
    </row>
    <row r="195" spans="1:24" s="26" customFormat="1" ht="12.75" customHeight="1">
      <c r="A195" s="396"/>
      <c r="B195" s="350" t="s">
        <v>1845</v>
      </c>
      <c r="C195" s="33" t="s">
        <v>6207</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193" t="s">
        <v>6210</v>
      </c>
      <c r="D196" s="4193"/>
      <c r="E196" s="4193"/>
      <c r="F196" s="4193"/>
      <c r="G196" s="4193"/>
      <c r="H196" s="4193"/>
      <c r="I196" s="4193"/>
      <c r="J196" s="4193"/>
      <c r="K196" s="4193"/>
      <c r="L196" s="4193"/>
      <c r="M196" s="457"/>
      <c r="N196" s="317" t="s">
        <v>2331</v>
      </c>
      <c r="O196" s="896"/>
      <c r="P196" s="895"/>
      <c r="Q196" s="800"/>
      <c r="V196" s="942"/>
      <c r="W196" s="942"/>
    </row>
    <row r="197" spans="1:24" ht="11.65" customHeight="1">
      <c r="A197" s="107" t="s">
        <v>1961</v>
      </c>
      <c r="B197" s="141" t="s">
        <v>6208</v>
      </c>
      <c r="D197" s="26"/>
      <c r="G197" s="370"/>
      <c r="N197"/>
      <c r="O197" s="31"/>
      <c r="P197" s="31"/>
      <c r="Q197" s="241"/>
    </row>
    <row r="198" spans="1:24" s="1323" customFormat="1" ht="23.25" customHeight="1">
      <c r="B198" s="350" t="s">
        <v>1843</v>
      </c>
      <c r="C198" s="4193" t="s">
        <v>6211</v>
      </c>
      <c r="D198" s="4193"/>
      <c r="E198" s="4193"/>
      <c r="F198" s="4193"/>
      <c r="G198" s="4193"/>
      <c r="H198" s="4193"/>
      <c r="I198" s="4193"/>
      <c r="J198" s="4193"/>
      <c r="K198" s="4193"/>
      <c r="L198" s="4193"/>
      <c r="M198" s="884" t="s">
        <v>1961</v>
      </c>
      <c r="N198" s="317" t="s">
        <v>1843</v>
      </c>
      <c r="O198" s="894"/>
      <c r="P198" s="893"/>
      <c r="Q198" s="947"/>
      <c r="V198" s="1599"/>
      <c r="W198" s="1599"/>
    </row>
    <row r="199" spans="1:24" s="26" customFormat="1" ht="23.25" customHeight="1">
      <c r="A199" s="396"/>
      <c r="B199" s="350" t="s">
        <v>1845</v>
      </c>
      <c r="C199" s="4193" t="s">
        <v>6252</v>
      </c>
      <c r="D199" s="4193"/>
      <c r="E199" s="4193"/>
      <c r="F199" s="4193"/>
      <c r="G199" s="4193"/>
      <c r="H199" s="4193"/>
      <c r="I199" s="4193"/>
      <c r="J199" s="4193"/>
      <c r="K199" s="4193"/>
      <c r="L199" s="4193"/>
      <c r="M199" s="103"/>
      <c r="N199" s="317" t="s">
        <v>1845</v>
      </c>
      <c r="O199" s="896"/>
      <c r="P199" s="895"/>
      <c r="Q199" s="800"/>
      <c r="V199" s="942"/>
      <c r="W199" s="942"/>
    </row>
    <row r="200" spans="1:24" s="36" customFormat="1" ht="12" customHeight="1" thickBot="1">
      <c r="A200" s="35"/>
      <c r="B200" s="937" t="s">
        <v>3239</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1840</v>
      </c>
      <c r="B207" s="141" t="s">
        <v>3821</v>
      </c>
      <c r="D207" s="38"/>
      <c r="E207" s="38"/>
      <c r="K207" s="1321"/>
      <c r="M207" s="458">
        <v>5</v>
      </c>
      <c r="N207" s="48" t="s">
        <v>1840</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630" t="s">
        <v>3203</v>
      </c>
      <c r="K208" s="4631"/>
      <c r="L208" s="4632"/>
      <c r="M208" s="4633"/>
      <c r="N208" s="53"/>
      <c r="R208" s="86"/>
      <c r="S208" s="70"/>
    </row>
    <row r="209" spans="1:27" ht="12.75" customHeight="1">
      <c r="C209" s="685" t="s">
        <v>6254</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1842</v>
      </c>
      <c r="B211" s="1193" t="s">
        <v>6212</v>
      </c>
      <c r="C211" s="29"/>
      <c r="K211" s="48"/>
      <c r="L211" s="48"/>
      <c r="M211" s="458">
        <v>5</v>
      </c>
      <c r="N211" s="48" t="s">
        <v>1842</v>
      </c>
      <c r="O211" s="459"/>
      <c r="P211" s="664"/>
      <c r="Q211" s="1212" t="str">
        <f>IF(O211&lt;=M211,"","*CHECK!*")</f>
        <v/>
      </c>
      <c r="R211" s="795" t="s">
        <v>4057</v>
      </c>
      <c r="S211" s="1630"/>
      <c r="T211" s="1630"/>
      <c r="U211" s="1630"/>
    </row>
    <row r="212" spans="1:27">
      <c r="C212" s="1638" t="s">
        <v>6218</v>
      </c>
      <c r="E212" s="4435" t="s">
        <v>6217</v>
      </c>
      <c r="F212" s="4435"/>
      <c r="G212" s="4435"/>
      <c r="H212" s="4435"/>
      <c r="I212" s="1203" t="s">
        <v>6244</v>
      </c>
      <c r="J212" s="4435" t="s">
        <v>6217</v>
      </c>
      <c r="K212" s="4435"/>
      <c r="L212" s="4435"/>
      <c r="M212" s="4435"/>
      <c r="N212"/>
      <c r="O212"/>
      <c r="P212"/>
    </row>
    <row r="213" spans="1:27" ht="13.5" customHeight="1">
      <c r="B213" s="400"/>
      <c r="C213" s="29" t="s">
        <v>6215</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6216</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6213</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6214</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3239</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3151</v>
      </c>
      <c r="H226" s="1191">
        <f>IF('Part V-Revenues &amp; Expenses'!$P$67=0,0,'Part V-Revenues &amp; Expenses'!$P$64/'Part V-Revenues &amp; Expenses'!$P$67)</f>
        <v>0</v>
      </c>
      <c r="J226" s="370" t="s">
        <v>3958</v>
      </c>
      <c r="K226" s="4595" t="str">
        <f>'Part V-Revenues &amp; Expenses'!$O$53</f>
        <v>40% of Units at 60% of AMI</v>
      </c>
      <c r="L226" s="4596"/>
      <c r="M226" s="31"/>
      <c r="N226" s="119"/>
      <c r="O226" s="24"/>
      <c r="P226" s="3"/>
    </row>
    <row r="227" spans="1:24" ht="12" customHeight="1">
      <c r="A227" s="686" t="s">
        <v>1840</v>
      </c>
      <c r="B227" s="67" t="s">
        <v>3956</v>
      </c>
      <c r="C227" s="44"/>
      <c r="E227" s="236" t="s">
        <v>3957</v>
      </c>
      <c r="M227" s="458">
        <v>1</v>
      </c>
      <c r="N227" s="48" t="s">
        <v>1840</v>
      </c>
      <c r="O227" s="1324"/>
      <c r="P227" s="1325"/>
      <c r="Q227" s="798" t="str">
        <f>IF(OR($O227=$M227,$O227=0,$O227=""),"","*CHECK!*")</f>
        <v/>
      </c>
      <c r="R227" s="795" t="s">
        <v>4057</v>
      </c>
    </row>
    <row r="228" spans="1:24" ht="12" customHeight="1">
      <c r="A228" s="686" t="s">
        <v>1842</v>
      </c>
      <c r="B228" s="67" t="s">
        <v>3811</v>
      </c>
      <c r="C228" s="44"/>
      <c r="E228" s="236" t="s">
        <v>4038</v>
      </c>
      <c r="M228" s="882">
        <v>1</v>
      </c>
      <c r="N228" s="48" t="s">
        <v>1842</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1840</v>
      </c>
      <c r="B235" s="885" t="s">
        <v>3261</v>
      </c>
      <c r="D235" s="372"/>
      <c r="E235" s="372"/>
      <c r="F235" s="372"/>
      <c r="G235" s="372"/>
      <c r="H235" s="372"/>
      <c r="L235" s="372"/>
      <c r="M235" s="4589" t="str">
        <f>IF(AND(O235="Yes",O236="Yes"),"Only one category can be selected!","")</f>
        <v/>
      </c>
      <c r="N235" s="48" t="s">
        <v>1840</v>
      </c>
      <c r="O235" s="175"/>
      <c r="P235" s="419"/>
      <c r="Q235" s="808"/>
      <c r="R235" s="1630"/>
      <c r="S235" s="1630"/>
      <c r="T235" s="1630"/>
      <c r="U235" s="1630"/>
      <c r="V235" s="1630"/>
    </row>
    <row r="236" spans="1:24" ht="11.25" customHeight="1">
      <c r="A236" s="686" t="s">
        <v>1842</v>
      </c>
      <c r="B236" s="885" t="s">
        <v>3262</v>
      </c>
      <c r="D236" s="372"/>
      <c r="L236" s="372"/>
      <c r="M236" s="4589"/>
      <c r="N236" s="48" t="s">
        <v>1842</v>
      </c>
      <c r="O236" s="176"/>
      <c r="P236" s="421"/>
      <c r="Q236" s="808"/>
      <c r="R236" s="1630"/>
      <c r="S236" s="1630"/>
      <c r="T236" s="1630"/>
      <c r="U236" s="1630"/>
      <c r="V236" s="1630"/>
    </row>
    <row r="237" spans="1:24" s="36" customFormat="1" ht="10.5" customHeight="1" thickBot="1">
      <c r="A237" s="35"/>
      <c r="B237" s="937" t="s">
        <v>3239</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1.2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1843</v>
      </c>
      <c r="C244" s="29" t="s">
        <v>6256</v>
      </c>
      <c r="E244" s="33" t="s">
        <v>3308</v>
      </c>
      <c r="G244" s="1643"/>
      <c r="H244" s="48" t="s">
        <v>574</v>
      </c>
      <c r="I244" s="4460"/>
      <c r="J244" s="4460"/>
      <c r="L244" s="1662" t="s">
        <v>6258</v>
      </c>
      <c r="M244" s="4461"/>
      <c r="N244" s="4461"/>
    </row>
    <row r="245" spans="1:27" s="32" customFormat="1" ht="11.25" customHeight="1">
      <c r="A245" s="306"/>
      <c r="B245" s="350" t="s">
        <v>1845</v>
      </c>
      <c r="C245" s="29" t="s">
        <v>6257</v>
      </c>
      <c r="E245" s="33" t="s">
        <v>3308</v>
      </c>
      <c r="G245" s="1644"/>
      <c r="H245" s="48" t="s">
        <v>574</v>
      </c>
      <c r="I245" s="4590"/>
      <c r="J245" s="4590"/>
      <c r="L245" s="1662" t="s">
        <v>6258</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3239</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1840</v>
      </c>
      <c r="B253" s="141" t="s">
        <v>6263</v>
      </c>
      <c r="M253" s="458">
        <v>5</v>
      </c>
      <c r="N253" s="48" t="s">
        <v>1840</v>
      </c>
      <c r="O253" s="1646"/>
      <c r="P253" s="901"/>
      <c r="Q253" s="798" t="str">
        <f>IF(OR($O253=$M253,$O253=$M253-1,$O253=0,$O253=""),"","*CHECK!*")</f>
        <v/>
      </c>
      <c r="R253" s="795" t="s">
        <v>4057</v>
      </c>
      <c r="S253" s="1645"/>
      <c r="T253" s="1645"/>
      <c r="U253" s="1645"/>
      <c r="V253" s="1645"/>
    </row>
    <row r="254" spans="1:27" s="26" customFormat="1" ht="11.25" customHeight="1">
      <c r="A254" s="107" t="s">
        <v>1842</v>
      </c>
      <c r="B254" s="141" t="s">
        <v>6265</v>
      </c>
      <c r="M254" s="458">
        <v>3</v>
      </c>
      <c r="N254" s="48" t="s">
        <v>1842</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3239</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6611</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6612</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6613</v>
      </c>
      <c r="D265" s="46"/>
      <c r="E265" s="46"/>
      <c r="F265" s="37"/>
      <c r="G265"/>
      <c r="K265" s="48"/>
      <c r="M265" s="458">
        <v>1</v>
      </c>
      <c r="N265" s="150" t="s">
        <v>2331</v>
      </c>
      <c r="O265" s="176"/>
      <c r="P265" s="421"/>
      <c r="R265" s="236"/>
      <c r="T265" s="845"/>
      <c r="U265" s="845"/>
    </row>
    <row r="266" spans="1:21" s="36" customFormat="1" ht="11.25" customHeight="1">
      <c r="A266" s="107" t="s">
        <v>1842</v>
      </c>
      <c r="B266" s="141" t="s">
        <v>3951</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215" t="s">
        <v>6614</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6615</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6229</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1840</v>
      </c>
      <c r="B276" s="885" t="s">
        <v>6572</v>
      </c>
      <c r="D276" s="372"/>
      <c r="E276" s="372"/>
      <c r="F276" s="372"/>
      <c r="G276" s="372"/>
      <c r="H276" s="372"/>
      <c r="L276" s="372"/>
      <c r="M276" s="882">
        <v>1</v>
      </c>
      <c r="N276" s="48" t="s">
        <v>1840</v>
      </c>
      <c r="O276" s="175"/>
      <c r="P276" s="419"/>
      <c r="Q276" s="808">
        <f>IF(L276="Yes",1,0)</f>
        <v>0</v>
      </c>
      <c r="R276" s="1630"/>
      <c r="S276" s="1630"/>
      <c r="T276" s="1630"/>
      <c r="U276" s="1630"/>
      <c r="V276" s="1630"/>
    </row>
    <row r="277" spans="1:24" ht="11.25" customHeight="1">
      <c r="A277" s="686" t="s">
        <v>1842</v>
      </c>
      <c r="B277" s="885" t="s">
        <v>6573</v>
      </c>
      <c r="D277" s="372"/>
      <c r="L277" s="372"/>
      <c r="M277" s="882">
        <v>2</v>
      </c>
      <c r="N277" s="48" t="s">
        <v>1842</v>
      </c>
      <c r="O277" s="176"/>
      <c r="P277" s="421"/>
      <c r="Q277" s="808">
        <f>IF(L277="Yes",1,0)</f>
        <v>0</v>
      </c>
      <c r="R277" s="1630"/>
      <c r="S277" s="1630"/>
      <c r="T277" s="1630"/>
      <c r="U277" s="1630"/>
      <c r="V277" s="1630"/>
    </row>
    <row r="278" spans="1:24" ht="11.25" customHeight="1">
      <c r="B278" s="241" t="s">
        <v>6681</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3239</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6576</v>
      </c>
      <c r="D285" s="38"/>
      <c r="E285" s="38"/>
      <c r="G285" s="1625"/>
      <c r="H285" s="147"/>
      <c r="I285" s="147" t="s">
        <v>6700</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6694</v>
      </c>
      <c r="D286" s="38"/>
      <c r="E286" s="38"/>
      <c r="G286" s="147"/>
      <c r="J286" s="1316"/>
      <c r="M286" s="456"/>
      <c r="Q286" s="86"/>
      <c r="R286" s="1630"/>
      <c r="S286" s="1630"/>
      <c r="T286" s="1630"/>
      <c r="U286" s="1630"/>
      <c r="V286" s="1630"/>
      <c r="W286" s="36"/>
      <c r="X286" s="36"/>
    </row>
    <row r="287" spans="1:24" s="70" customFormat="1" ht="11.25" customHeight="1">
      <c r="A287" s="120"/>
      <c r="C287" s="29" t="s">
        <v>6691</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6690</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6692</v>
      </c>
      <c r="G289" s="147"/>
      <c r="I289" s="4645" t="s">
        <v>6693</v>
      </c>
      <c r="J289" s="4646"/>
      <c r="K289" s="4647"/>
      <c r="L289" s="4648"/>
      <c r="M289" s="456"/>
      <c r="O289" s="4649" t="s">
        <v>3148</v>
      </c>
      <c r="P289" s="4649" t="s">
        <v>3149</v>
      </c>
      <c r="Q289" s="86"/>
      <c r="R289" s="1630"/>
      <c r="S289" s="1630"/>
      <c r="T289" s="1630"/>
      <c r="U289" s="1630"/>
      <c r="V289" s="1630"/>
      <c r="W289" s="36"/>
      <c r="X289" s="36"/>
    </row>
    <row r="290" spans="1:24" s="36" customFormat="1" ht="11.25" customHeight="1">
      <c r="A290" s="120"/>
      <c r="B290" s="29" t="s">
        <v>6580</v>
      </c>
      <c r="D290" s="34"/>
      <c r="H290" s="141"/>
      <c r="M290" s="119"/>
      <c r="N290" s="48"/>
      <c r="O290" s="4650"/>
      <c r="P290" s="4650"/>
      <c r="Q290" s="86"/>
      <c r="R290" s="879"/>
      <c r="S290" s="879"/>
      <c r="T290" s="879"/>
      <c r="U290" s="879"/>
    </row>
    <row r="291" spans="1:24" s="36" customFormat="1" ht="11.25" customHeight="1">
      <c r="A291" s="1918"/>
      <c r="B291" s="128" t="s">
        <v>2239</v>
      </c>
      <c r="C291" s="29" t="s">
        <v>6579</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6699</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6581</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6577</v>
      </c>
      <c r="D295" s="372"/>
      <c r="E295" s="372"/>
      <c r="G295" s="372" t="s">
        <v>6585</v>
      </c>
      <c r="H295" s="372"/>
      <c r="L295" s="372"/>
      <c r="M295" s="882">
        <v>2</v>
      </c>
      <c r="N295" s="48" t="s">
        <v>1840</v>
      </c>
      <c r="O295" s="899"/>
      <c r="P295" s="883"/>
      <c r="Q295" s="1841" t="str">
        <f>IF(OR(O295=0,O295="",O295=$M295),"","Check!")</f>
        <v/>
      </c>
      <c r="R295" s="867" t="s">
        <v>2458</v>
      </c>
      <c r="S295" s="1630"/>
      <c r="T295" s="1630"/>
      <c r="U295" s="1630"/>
      <c r="V295" s="1630"/>
    </row>
    <row r="296" spans="1:24" s="332" customFormat="1" ht="21.75" customHeight="1">
      <c r="A296" s="1608"/>
      <c r="B296" s="350" t="s">
        <v>1843</v>
      </c>
      <c r="C296" s="4193" t="s">
        <v>6586</v>
      </c>
      <c r="D296" s="4193"/>
      <c r="E296" s="4193"/>
      <c r="F296" s="4193"/>
      <c r="G296" s="4193"/>
      <c r="H296" s="4193"/>
      <c r="I296" s="4193"/>
      <c r="J296" s="4193"/>
      <c r="K296" s="4193"/>
      <c r="L296" s="4193"/>
      <c r="M296" s="4193"/>
      <c r="N296" s="150" t="s">
        <v>1843</v>
      </c>
      <c r="O296" s="1287"/>
      <c r="P296" s="1288"/>
      <c r="Q296" s="331"/>
      <c r="R296" s="1840"/>
      <c r="S296" s="1840"/>
      <c r="T296" s="1840"/>
      <c r="U296" s="1840"/>
    </row>
    <row r="297" spans="1:24" s="332" customFormat="1" ht="21.75" customHeight="1" thickBot="1">
      <c r="A297" s="1608"/>
      <c r="B297" s="350" t="s">
        <v>1845</v>
      </c>
      <c r="C297" s="4193" t="s">
        <v>6587</v>
      </c>
      <c r="D297" s="4193"/>
      <c r="E297" s="4193"/>
      <c r="F297" s="4193"/>
      <c r="G297" s="4193"/>
      <c r="H297" s="4193"/>
      <c r="I297" s="4193"/>
      <c r="J297" s="4193"/>
      <c r="K297" s="4193"/>
      <c r="L297" s="4193"/>
      <c r="M297" s="4193"/>
      <c r="N297" s="150" t="s">
        <v>1845</v>
      </c>
      <c r="O297" s="896"/>
      <c r="P297" s="895"/>
      <c r="Q297" s="331"/>
      <c r="R297" s="1840"/>
      <c r="S297" s="1840"/>
      <c r="T297" s="1840"/>
      <c r="U297" s="1840"/>
    </row>
    <row r="298" spans="1:24" ht="11.25" customHeight="1" thickBot="1">
      <c r="A298" s="686" t="s">
        <v>1842</v>
      </c>
      <c r="B298" s="885" t="s">
        <v>6578</v>
      </c>
      <c r="D298" s="372"/>
      <c r="G298" s="44" t="s">
        <v>6588</v>
      </c>
      <c r="L298" s="372"/>
      <c r="M298" s="882">
        <v>2</v>
      </c>
      <c r="N298" s="48" t="s">
        <v>1842</v>
      </c>
      <c r="O298" s="899"/>
      <c r="P298" s="883"/>
      <c r="Q298" s="1841" t="str">
        <f>IF(OR(O298=0,O298="",O298=$M298),"","Check!")</f>
        <v/>
      </c>
      <c r="R298" s="867" t="s">
        <v>2458</v>
      </c>
      <c r="S298" s="1630"/>
      <c r="T298" s="1630"/>
      <c r="U298" s="1630"/>
      <c r="V298" s="1630"/>
    </row>
    <row r="299" spans="1:24" s="332" customFormat="1" ht="10.5" customHeight="1">
      <c r="A299" s="1608"/>
      <c r="B299" s="350" t="s">
        <v>1843</v>
      </c>
      <c r="C299" s="4193" t="s">
        <v>6589</v>
      </c>
      <c r="D299" s="4193"/>
      <c r="E299" s="4193"/>
      <c r="F299" s="4193"/>
      <c r="G299" s="4193"/>
      <c r="H299" s="4193"/>
      <c r="I299" s="4193"/>
      <c r="J299" s="4193"/>
      <c r="K299" s="4193"/>
      <c r="L299" s="4193"/>
      <c r="M299" s="4193"/>
      <c r="N299" s="150" t="s">
        <v>1843</v>
      </c>
      <c r="O299" s="1287"/>
      <c r="P299" s="1288"/>
      <c r="Q299" s="331"/>
      <c r="R299" s="1840"/>
      <c r="S299" s="1840"/>
      <c r="T299" s="1840"/>
      <c r="U299" s="1840"/>
    </row>
    <row r="300" spans="1:24" s="332" customFormat="1" ht="10.5" customHeight="1">
      <c r="A300" s="1608"/>
      <c r="B300" s="350" t="s">
        <v>1845</v>
      </c>
      <c r="C300" s="4193" t="s">
        <v>6590</v>
      </c>
      <c r="D300" s="4193"/>
      <c r="E300" s="4193"/>
      <c r="F300" s="4193"/>
      <c r="G300" s="4193"/>
      <c r="H300" s="4193"/>
      <c r="I300" s="4193"/>
      <c r="J300" s="4193"/>
      <c r="K300" s="4193"/>
      <c r="L300" s="4193"/>
      <c r="M300" s="4193"/>
      <c r="N300" s="150" t="s">
        <v>1845</v>
      </c>
      <c r="O300" s="896"/>
      <c r="P300" s="895"/>
      <c r="Q300" s="331"/>
      <c r="R300" s="1840"/>
      <c r="S300" s="1840"/>
      <c r="T300" s="1840"/>
      <c r="U300" s="1840"/>
    </row>
    <row r="301" spans="1:24" s="332" customFormat="1" ht="10.5" customHeight="1">
      <c r="A301" s="1608"/>
      <c r="B301" s="350" t="s">
        <v>2331</v>
      </c>
      <c r="C301" s="685" t="s">
        <v>6695</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6591</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6592</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3" t="s">
        <v>6593</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3239</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1840</v>
      </c>
      <c r="B311" s="885" t="s">
        <v>6583</v>
      </c>
      <c r="D311" s="372"/>
      <c r="E311" s="372" t="s">
        <v>6594</v>
      </c>
      <c r="F311" s="372"/>
      <c r="G311" s="372"/>
      <c r="H311" s="372"/>
      <c r="I311" s="4457"/>
      <c r="J311" s="4458"/>
      <c r="K311" s="4458"/>
      <c r="L311" s="4459"/>
      <c r="M311" s="882">
        <v>2</v>
      </c>
      <c r="N311" s="48" t="s">
        <v>1840</v>
      </c>
      <c r="O311" s="1324"/>
      <c r="P311" s="1325"/>
      <c r="Q311" s="1841" t="str">
        <f>IF(OR(O311=0,O311="",O311=$M311),"","Check!")</f>
        <v/>
      </c>
      <c r="R311" s="867" t="s">
        <v>2458</v>
      </c>
      <c r="S311" s="1630"/>
      <c r="T311" s="1630"/>
      <c r="U311" s="1630"/>
      <c r="V311" s="1630"/>
    </row>
    <row r="312" spans="1:22" ht="11.25" customHeight="1">
      <c r="A312" s="686" t="s">
        <v>1842</v>
      </c>
      <c r="B312" s="885" t="s">
        <v>6584</v>
      </c>
      <c r="D312" s="372"/>
      <c r="L312" s="372"/>
      <c r="M312" s="882">
        <v>2</v>
      </c>
      <c r="N312" s="48" t="s">
        <v>1842</v>
      </c>
      <c r="O312" s="407"/>
      <c r="P312" s="415"/>
      <c r="Q312" s="1841" t="str">
        <f>IF(OR(O312=0,O312="",O312=$M312),"","Check!")</f>
        <v/>
      </c>
      <c r="R312" s="867" t="s">
        <v>2458</v>
      </c>
      <c r="S312" s="1630"/>
      <c r="T312" s="1630"/>
      <c r="U312" s="1630"/>
      <c r="V312" s="1630"/>
    </row>
    <row r="313" spans="1:22" s="36" customFormat="1" ht="10.5" customHeight="1" thickBot="1">
      <c r="A313" s="35"/>
      <c r="B313" s="937" t="s">
        <v>3239</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3370</v>
      </c>
      <c r="B318" s="83" t="s">
        <v>3341</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3342</v>
      </c>
      <c r="C320" s="67"/>
      <c r="D320" s="44"/>
      <c r="E320" s="29"/>
      <c r="G320" s="1446"/>
      <c r="I320" s="33" t="s">
        <v>4076</v>
      </c>
      <c r="K320" s="1605">
        <f>'Part VIII Scoring Criteria OLD'!P42</f>
        <v>0</v>
      </c>
      <c r="M320" s="458">
        <v>2</v>
      </c>
      <c r="N320" s="48" t="s">
        <v>1840</v>
      </c>
      <c r="P320" s="416"/>
      <c r="Q320" s="86"/>
      <c r="R320" s="867" t="s">
        <v>2458</v>
      </c>
    </row>
    <row r="321" spans="1:19" s="70" customFormat="1" ht="10.5" customHeight="1">
      <c r="A321" s="686"/>
      <c r="B321" s="306" t="s">
        <v>1843</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1845</v>
      </c>
      <c r="C323" s="29" t="s">
        <v>3347</v>
      </c>
      <c r="D323" s="26"/>
      <c r="N323" s="348" t="s">
        <v>1845</v>
      </c>
      <c r="O323" s="299"/>
      <c r="P323" s="420"/>
      <c r="R323" s="307"/>
    </row>
    <row r="324" spans="1:19" s="70" customFormat="1" ht="10.5" customHeight="1">
      <c r="A324" s="686"/>
      <c r="B324" s="306" t="s">
        <v>2331</v>
      </c>
      <c r="C324" s="29" t="s">
        <v>3841</v>
      </c>
      <c r="D324" s="26"/>
      <c r="N324" s="348" t="s">
        <v>2331</v>
      </c>
      <c r="O324" s="299"/>
      <c r="P324" s="420"/>
      <c r="R324" s="307"/>
    </row>
    <row r="325" spans="1:19" s="70" customFormat="1" ht="10.5" customHeight="1">
      <c r="A325" s="935"/>
      <c r="B325" s="306" t="s">
        <v>1150</v>
      </c>
      <c r="C325" s="29" t="s">
        <v>3348</v>
      </c>
      <c r="D325" s="26"/>
      <c r="N325" s="348" t="s">
        <v>1150</v>
      </c>
      <c r="O325" s="176"/>
      <c r="P325" s="420"/>
      <c r="R325" s="307"/>
    </row>
    <row r="326" spans="1:19" s="36" customFormat="1" ht="12" customHeight="1">
      <c r="A326" s="686" t="s">
        <v>1842</v>
      </c>
      <c r="B326" s="141" t="s">
        <v>3343</v>
      </c>
      <c r="C326" s="67"/>
      <c r="D326" s="44"/>
      <c r="E326" s="29"/>
      <c r="G326" s="1446"/>
      <c r="I326" s="380"/>
      <c r="L326" s="920"/>
      <c r="M326" s="458">
        <v>2</v>
      </c>
      <c r="N326" s="48" t="s">
        <v>1842</v>
      </c>
      <c r="P326" s="416"/>
      <c r="Q326" s="86"/>
      <c r="R326" s="867" t="s">
        <v>2458</v>
      </c>
    </row>
    <row r="327" spans="1:19" s="70" customFormat="1" ht="10.5" customHeight="1">
      <c r="A327" s="121"/>
      <c r="B327" s="306" t="s">
        <v>1843</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1845</v>
      </c>
      <c r="C329" s="29" t="s">
        <v>3359</v>
      </c>
      <c r="D329" s="26"/>
      <c r="N329" s="348" t="s">
        <v>1845</v>
      </c>
      <c r="O329" s="299"/>
      <c r="P329" s="420"/>
      <c r="R329" s="307"/>
    </row>
    <row r="330" spans="1:19" s="70" customFormat="1" ht="10.5" customHeight="1">
      <c r="B330" s="306" t="s">
        <v>2331</v>
      </c>
      <c r="C330" s="29" t="s">
        <v>3348</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3371</v>
      </c>
      <c r="B334" s="83" t="s">
        <v>1555</v>
      </c>
      <c r="D334" s="67"/>
      <c r="E334" s="67"/>
      <c r="G334" s="29"/>
      <c r="M334" s="119">
        <v>2</v>
      </c>
      <c r="N334" s="321"/>
      <c r="O334" s="899"/>
      <c r="P334" s="883"/>
      <c r="Q334" s="86" t="s">
        <v>416</v>
      </c>
      <c r="R334" s="1647" t="s">
        <v>4057</v>
      </c>
      <c r="S334" s="1647"/>
    </row>
    <row r="335" spans="1:19" s="36" customFormat="1" ht="11.25" customHeight="1">
      <c r="A335" s="107"/>
      <c r="B335" s="89" t="s">
        <v>3152</v>
      </c>
      <c r="D335" s="67"/>
      <c r="E335" s="67"/>
      <c r="G335" s="29"/>
      <c r="I335" s="3549" t="s">
        <v>6058</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3239</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3374</v>
      </c>
      <c r="B342" s="83" t="s">
        <v>3345</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8" t="str">
        <f>IF(OR(O344="No",O344="",O345="No",O345="",O346="No",O346="",O347="No",O347=""),"Unmet criterion results in no points!","")</f>
        <v>Unmet criterion results in no points!</v>
      </c>
      <c r="M344" s="4588"/>
      <c r="N344" s="49" t="s">
        <v>2239</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2240</v>
      </c>
      <c r="C345" s="29" t="s">
        <v>3273</v>
      </c>
      <c r="L345" s="4588"/>
      <c r="M345" s="4588"/>
      <c r="N345" s="49" t="s">
        <v>2240</v>
      </c>
      <c r="O345" s="299"/>
      <c r="P345" s="420"/>
      <c r="R345" s="4584"/>
      <c r="S345" s="4584"/>
    </row>
    <row r="346" spans="1:20" s="79" customFormat="1" ht="12.75" customHeight="1">
      <c r="B346" s="49" t="s">
        <v>2241</v>
      </c>
      <c r="C346" s="29" t="s">
        <v>3272</v>
      </c>
      <c r="L346" s="4588"/>
      <c r="M346" s="4588"/>
      <c r="N346" s="49" t="s">
        <v>2241</v>
      </c>
      <c r="O346" s="299"/>
      <c r="P346" s="420"/>
      <c r="R346" s="4584"/>
      <c r="S346" s="4584"/>
    </row>
    <row r="347" spans="1:20" s="79" customFormat="1" ht="33.75" customHeight="1">
      <c r="B347" s="117" t="s">
        <v>2242</v>
      </c>
      <c r="C347" s="4193" t="s">
        <v>6595</v>
      </c>
      <c r="D347" s="4193"/>
      <c r="E347" s="4193"/>
      <c r="F347" s="4193"/>
      <c r="G347" s="4193"/>
      <c r="H347" s="4193"/>
      <c r="I347" s="4193"/>
      <c r="J347" s="4193"/>
      <c r="K347" s="4193"/>
      <c r="L347" s="4193"/>
      <c r="M347" s="4193"/>
      <c r="N347" s="117" t="s">
        <v>2242</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1840</v>
      </c>
      <c r="B349" s="141" t="s">
        <v>3346</v>
      </c>
      <c r="L349" s="307" t="str">
        <f>IF(O349&lt;=M349,"","* * Check Score! * *")</f>
        <v/>
      </c>
      <c r="M349" s="458">
        <v>3</v>
      </c>
      <c r="N349" s="48" t="s">
        <v>1840</v>
      </c>
      <c r="O349" s="1626"/>
      <c r="P349" s="1627"/>
      <c r="Q349" s="798" t="str">
        <f>IF(O349&lt;=M349,"","*CHECK!*")</f>
        <v/>
      </c>
      <c r="R349" s="393" t="s">
        <v>4057</v>
      </c>
      <c r="S349" s="393"/>
      <c r="T349" s="1426"/>
    </row>
    <row r="350" spans="1:20" ht="12.75" customHeight="1">
      <c r="A350" s="806"/>
      <c r="B350" s="685" t="s">
        <v>6713</v>
      </c>
      <c r="C350" s="108"/>
      <c r="D350" s="108"/>
      <c r="E350" s="108"/>
      <c r="F350" s="108"/>
      <c r="G350" s="108"/>
      <c r="H350" s="108"/>
      <c r="I350" s="108"/>
      <c r="N350"/>
      <c r="O350" s="1400"/>
      <c r="P350" s="1399"/>
      <c r="R350" s="393"/>
      <c r="S350" s="393"/>
      <c r="T350" s="1426"/>
    </row>
    <row r="351" spans="1:20" ht="12.75" customHeight="1">
      <c r="A351" s="806"/>
      <c r="B351" s="1939" t="s">
        <v>6712</v>
      </c>
      <c r="C351" s="108"/>
      <c r="D351" s="108"/>
      <c r="E351" s="108"/>
      <c r="F351" s="108"/>
      <c r="G351" s="108"/>
      <c r="H351" s="108"/>
      <c r="I351" s="108"/>
      <c r="J351" s="4533" t="s">
        <v>1847</v>
      </c>
      <c r="K351" s="4533"/>
      <c r="M351" s="4533" t="s">
        <v>1847</v>
      </c>
      <c r="N351" s="4533"/>
      <c r="O351" s="4533"/>
      <c r="P351" s="4533"/>
      <c r="R351" s="1836"/>
      <c r="S351" s="1836"/>
      <c r="T351" s="1426"/>
    </row>
    <row r="352" spans="1:20" s="36" customFormat="1" ht="12.75" customHeight="1">
      <c r="A352" s="151"/>
      <c r="B352" s="150" t="s">
        <v>6597</v>
      </c>
      <c r="C352" s="29" t="s">
        <v>1388</v>
      </c>
      <c r="I352" s="49" t="s">
        <v>2239</v>
      </c>
      <c r="J352" s="4523"/>
      <c r="K352" s="4524"/>
      <c r="L352" s="49" t="s">
        <v>2239</v>
      </c>
      <c r="M352" s="4627"/>
      <c r="N352" s="4628"/>
      <c r="O352" s="4628"/>
      <c r="P352" s="4629"/>
      <c r="R352" s="307"/>
    </row>
    <row r="353" spans="1:18" ht="12.75" customHeight="1">
      <c r="A353" s="152"/>
      <c r="B353" s="117" t="s">
        <v>2240</v>
      </c>
      <c r="C353" s="29" t="s">
        <v>3154</v>
      </c>
      <c r="I353" s="117" t="s">
        <v>2240</v>
      </c>
      <c r="J353" s="4528"/>
      <c r="K353" s="4529"/>
      <c r="L353" s="117" t="s">
        <v>2240</v>
      </c>
      <c r="M353" s="4530"/>
      <c r="N353" s="4531"/>
      <c r="O353" s="4531"/>
      <c r="P353" s="4532"/>
      <c r="R353" s="307"/>
    </row>
    <row r="354" spans="1:18" ht="12.75" customHeight="1">
      <c r="B354" s="49" t="s">
        <v>2241</v>
      </c>
      <c r="C354" s="29" t="s">
        <v>3952</v>
      </c>
      <c r="I354" s="49" t="s">
        <v>2241</v>
      </c>
      <c r="J354" s="4528"/>
      <c r="K354" s="4529"/>
      <c r="L354" s="49" t="s">
        <v>2241</v>
      </c>
      <c r="M354" s="4530"/>
      <c r="N354" s="4531"/>
      <c r="O354" s="4531"/>
      <c r="P354" s="4532"/>
      <c r="R354" s="307"/>
    </row>
    <row r="355" spans="1:18" ht="12.75" customHeight="1">
      <c r="A355" s="152"/>
      <c r="B355" s="49" t="s">
        <v>2242</v>
      </c>
      <c r="C355" s="29" t="s">
        <v>3070</v>
      </c>
      <c r="I355" s="49" t="s">
        <v>2242</v>
      </c>
      <c r="J355" s="4528"/>
      <c r="K355" s="4529"/>
      <c r="L355" s="49" t="s">
        <v>2242</v>
      </c>
      <c r="M355" s="4530"/>
      <c r="N355" s="4531"/>
      <c r="O355" s="4531"/>
      <c r="P355" s="4532"/>
      <c r="R355" s="307"/>
    </row>
    <row r="356" spans="1:18" s="36" customFormat="1" ht="12.75" customHeight="1">
      <c r="A356" s="151"/>
      <c r="B356" s="117" t="s">
        <v>2243</v>
      </c>
      <c r="C356" s="29" t="s">
        <v>2472</v>
      </c>
      <c r="I356" s="117" t="s">
        <v>2243</v>
      </c>
      <c r="J356" s="4528"/>
      <c r="K356" s="4529"/>
      <c r="L356" s="117" t="s">
        <v>2243</v>
      </c>
      <c r="M356" s="4530"/>
      <c r="N356" s="4531"/>
      <c r="O356" s="4531"/>
      <c r="P356" s="4532"/>
      <c r="R356" s="307"/>
    </row>
    <row r="357" spans="1:18" ht="12.75" customHeight="1">
      <c r="B357" s="49" t="s">
        <v>2259</v>
      </c>
      <c r="C357" s="29" t="s">
        <v>1387</v>
      </c>
      <c r="I357" s="49" t="s">
        <v>2259</v>
      </c>
      <c r="J357" s="4528"/>
      <c r="K357" s="4529"/>
      <c r="L357" s="49" t="s">
        <v>2259</v>
      </c>
      <c r="M357" s="4530"/>
      <c r="N357" s="4531"/>
      <c r="O357" s="4531"/>
      <c r="P357" s="4532"/>
      <c r="R357" s="307"/>
    </row>
    <row r="358" spans="1:18" ht="12.75" customHeight="1">
      <c r="B358" s="49" t="s">
        <v>2260</v>
      </c>
      <c r="C358" s="29" t="s">
        <v>6231</v>
      </c>
      <c r="I358" s="49" t="s">
        <v>2260</v>
      </c>
      <c r="J358" s="4528"/>
      <c r="K358" s="4529"/>
      <c r="L358" s="49" t="s">
        <v>2260</v>
      </c>
      <c r="M358" s="1601"/>
      <c r="N358" s="1602"/>
      <c r="O358" s="1602"/>
      <c r="P358" s="1603"/>
      <c r="R358" s="307"/>
    </row>
    <row r="359" spans="1:18" ht="12.75" customHeight="1">
      <c r="A359" s="152"/>
      <c r="B359" s="48" t="s">
        <v>2261</v>
      </c>
      <c r="C359" s="29" t="s">
        <v>3153</v>
      </c>
      <c r="I359" s="48" t="s">
        <v>2261</v>
      </c>
      <c r="J359" s="4528"/>
      <c r="K359" s="4529"/>
      <c r="L359" s="48" t="s">
        <v>2261</v>
      </c>
      <c r="M359" s="4530"/>
      <c r="N359" s="4531"/>
      <c r="O359" s="4531"/>
      <c r="P359" s="4532"/>
      <c r="R359" s="307"/>
    </row>
    <row r="360" spans="1:18" ht="12.75" customHeight="1">
      <c r="B360" s="48" t="s">
        <v>2262</v>
      </c>
      <c r="C360" s="29" t="s">
        <v>6598</v>
      </c>
      <c r="I360" s="48" t="s">
        <v>2262</v>
      </c>
      <c r="J360" s="4528"/>
      <c r="K360" s="4529"/>
      <c r="L360" s="48" t="s">
        <v>2262</v>
      </c>
      <c r="M360" s="4530"/>
      <c r="N360" s="4531"/>
      <c r="O360" s="4531"/>
      <c r="P360" s="4532"/>
      <c r="R360" s="307"/>
    </row>
    <row r="361" spans="1:18" ht="12.75" customHeight="1">
      <c r="B361" s="48" t="s">
        <v>3155</v>
      </c>
      <c r="C361" s="29" t="s">
        <v>3824</v>
      </c>
      <c r="I361" s="48" t="s">
        <v>3155</v>
      </c>
      <c r="J361" s="4528"/>
      <c r="K361" s="4529"/>
      <c r="L361" s="48" t="s">
        <v>3155</v>
      </c>
      <c r="M361" s="4530"/>
      <c r="N361" s="4531"/>
      <c r="O361" s="4531"/>
      <c r="P361" s="4532"/>
      <c r="R361" s="307"/>
    </row>
    <row r="362" spans="1:18" ht="12.75" customHeight="1" thickBot="1">
      <c r="B362" s="48" t="s">
        <v>6232</v>
      </c>
      <c r="C362" s="29" t="s">
        <v>6233</v>
      </c>
      <c r="I362" s="48" t="s">
        <v>6232</v>
      </c>
      <c r="J362" s="4528"/>
      <c r="K362" s="4529"/>
      <c r="L362" s="48" t="s">
        <v>6232</v>
      </c>
      <c r="M362" s="4618"/>
      <c r="N362" s="4619"/>
      <c r="O362" s="4619"/>
      <c r="P362" s="4620"/>
      <c r="R362" s="307"/>
    </row>
    <row r="363" spans="1:18" ht="12.75" customHeight="1" thickBot="1">
      <c r="B363" s="919" t="s">
        <v>6599</v>
      </c>
      <c r="H363" s="89" t="s">
        <v>2412</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1845</v>
      </c>
      <c r="C365" s="400" t="s">
        <v>2411</v>
      </c>
      <c r="D365" s="230"/>
      <c r="E365" s="230"/>
      <c r="F365" s="33" t="s">
        <v>6234</v>
      </c>
      <c r="H365"/>
      <c r="I365"/>
      <c r="J365" s="4637">
        <f>'Part V-Revenues &amp; Expenses'!$P$67</f>
        <v>56</v>
      </c>
      <c r="K365" s="4638"/>
      <c r="L365" s="430"/>
      <c r="M365" s="393"/>
      <c r="N365" s="393"/>
      <c r="O365" s="881"/>
      <c r="P365" s="393"/>
    </row>
    <row r="366" spans="1:18" ht="13.5" customHeight="1">
      <c r="C366" s="230"/>
      <c r="D366" s="230"/>
      <c r="E366" s="230"/>
      <c r="F366" s="349" t="s">
        <v>6235</v>
      </c>
      <c r="J366" s="4635">
        <f>IF(J365=0,0,J363/J365)</f>
        <v>0</v>
      </c>
      <c r="K366" s="4636"/>
      <c r="M366" s="4525">
        <f>IF($J365=0,0,$M363/$J365)</f>
        <v>0</v>
      </c>
      <c r="N366" s="4526"/>
      <c r="O366" s="4526"/>
      <c r="P366" s="4527"/>
    </row>
    <row r="367" spans="1:18" s="36" customFormat="1" ht="12.75" customHeight="1">
      <c r="C367" s="230"/>
      <c r="D367" s="230"/>
      <c r="E367" s="230"/>
      <c r="F367" s="44" t="s">
        <v>6236</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1842</v>
      </c>
      <c r="B369" s="153" t="s">
        <v>3156</v>
      </c>
      <c r="D369" s="32"/>
      <c r="E369" s="29"/>
      <c r="F369" s="119"/>
      <c r="H369" s="29"/>
      <c r="I369" s="119"/>
      <c r="J369" s="33"/>
      <c r="K369" s="33"/>
      <c r="L369" s="307" t="str">
        <f>IF(OR($O369=$M369,$O369=0,$O369=""),"","* * Check Score! * *")</f>
        <v/>
      </c>
      <c r="M369" s="458">
        <v>1</v>
      </c>
      <c r="N369" s="48" t="s">
        <v>1842</v>
      </c>
      <c r="O369" s="899"/>
      <c r="P369" s="883"/>
      <c r="Q369" s="795" t="s">
        <v>4057</v>
      </c>
      <c r="V369" s="845"/>
    </row>
    <row r="370" spans="1:22" s="36" customFormat="1" ht="22.5" customHeight="1">
      <c r="A370" s="107"/>
      <c r="B370" s="350" t="s">
        <v>1843</v>
      </c>
      <c r="C370" s="4193" t="s">
        <v>6600</v>
      </c>
      <c r="D370" s="4193"/>
      <c r="E370" s="4193"/>
      <c r="F370" s="4193"/>
      <c r="G370" s="4193"/>
      <c r="H370" s="4193"/>
      <c r="I370" s="4193"/>
      <c r="J370" s="4193"/>
      <c r="K370" s="4193"/>
      <c r="L370" s="4193"/>
      <c r="M370" s="4193"/>
      <c r="N370" s="374" t="s">
        <v>1843</v>
      </c>
      <c r="O370" s="838"/>
      <c r="P370" s="1590"/>
      <c r="V370" s="845"/>
    </row>
    <row r="371" spans="1:22" s="36" customFormat="1" ht="12.75" customHeight="1">
      <c r="A371" s="107"/>
      <c r="B371" s="306" t="s">
        <v>1845</v>
      </c>
      <c r="C371" s="29" t="s">
        <v>3267</v>
      </c>
      <c r="D371" s="29"/>
      <c r="E371" s="29"/>
      <c r="F371" s="29"/>
      <c r="G371" s="29"/>
      <c r="H371" s="29"/>
      <c r="I371" s="29"/>
      <c r="J371" s="29"/>
      <c r="K371" s="29"/>
      <c r="M371" s="29"/>
      <c r="N371" s="348" t="s">
        <v>1845</v>
      </c>
      <c r="O371" s="299"/>
      <c r="P371" s="420"/>
      <c r="V371" s="845"/>
    </row>
    <row r="372" spans="1:22" ht="12.75" customHeight="1">
      <c r="B372" s="306" t="s">
        <v>2331</v>
      </c>
      <c r="C372" s="44" t="s">
        <v>3825</v>
      </c>
      <c r="N372" s="348" t="s">
        <v>2331</v>
      </c>
      <c r="O372" s="176"/>
      <c r="P372" s="421"/>
    </row>
    <row r="373" spans="1:22" ht="12" customHeight="1" thickBot="1">
      <c r="B373" s="937" t="s">
        <v>3239</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3375</v>
      </c>
      <c r="B378" s="83" t="s">
        <v>2468</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49" t="s">
        <v>3884</v>
      </c>
      <c r="E380" s="3550"/>
      <c r="F380" s="3550"/>
      <c r="G380" s="3550"/>
      <c r="H380" s="3550"/>
      <c r="I380" s="3551"/>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3953</v>
      </c>
      <c r="C382" s="108"/>
      <c r="D382" s="108"/>
      <c r="E382" s="108"/>
      <c r="F382" s="108"/>
      <c r="G382" s="108"/>
      <c r="H382" s="108"/>
      <c r="I382" s="108"/>
      <c r="M382" s="1848">
        <v>2</v>
      </c>
      <c r="N382" s="128" t="s">
        <v>1840</v>
      </c>
      <c r="O382" s="459"/>
      <c r="P382" s="1078"/>
      <c r="Q382" s="798" t="str">
        <f>IF(OR($O382=$M382,$O382=0,$O382=""),"","*CHECK!*")</f>
        <v/>
      </c>
      <c r="R382" s="795" t="s">
        <v>4057</v>
      </c>
    </row>
    <row r="383" spans="1:22" s="332" customFormat="1" ht="12" customHeight="1">
      <c r="A383" s="331"/>
      <c r="B383" s="4215" t="s">
        <v>6601</v>
      </c>
      <c r="C383" s="4215"/>
      <c r="D383" s="4215"/>
      <c r="E383" s="4215"/>
      <c r="F383" s="4215"/>
      <c r="G383" s="4215"/>
      <c r="H383" s="4215"/>
      <c r="I383" s="4215"/>
      <c r="J383" s="4215"/>
      <c r="K383" s="4215"/>
      <c r="L383" s="4215"/>
      <c r="M383" s="4617" t="s">
        <v>3885</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2516</v>
      </c>
      <c r="N385" s="333"/>
      <c r="O385" s="4621">
        <f>'Part V-Revenues &amp; Expenses'!$P$67</f>
        <v>56</v>
      </c>
      <c r="P385" s="4622"/>
      <c r="Q385" s="147"/>
    </row>
    <row r="386" spans="1:19" s="332" customFormat="1" ht="12" customHeight="1">
      <c r="B386" s="4614"/>
      <c r="C386" s="4614"/>
      <c r="D386" s="4614"/>
      <c r="E386" s="4614"/>
      <c r="F386" s="4614"/>
      <c r="G386" s="4614"/>
      <c r="H386" s="4614"/>
      <c r="I386" s="4614"/>
      <c r="J386" s="4614"/>
      <c r="K386" s="4614"/>
      <c r="L386" s="4614"/>
      <c r="M386" s="1194" t="s">
        <v>2517</v>
      </c>
      <c r="N386" s="333"/>
      <c r="O386" s="4615">
        <f>IF(O385=0,0,O384/O385)</f>
        <v>0</v>
      </c>
      <c r="P386" s="4616"/>
      <c r="Q386" s="147"/>
    </row>
    <row r="387" spans="1:19" s="36" customFormat="1" ht="105.75" customHeight="1">
      <c r="A387" s="411"/>
      <c r="B387" s="4244" t="s">
        <v>3413</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3412</v>
      </c>
      <c r="B389" s="100" t="s">
        <v>3954</v>
      </c>
      <c r="C389" s="108"/>
      <c r="H389" s="108"/>
      <c r="M389" s="333">
        <v>2</v>
      </c>
      <c r="N389" s="128" t="s">
        <v>1842</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2516</v>
      </c>
      <c r="J391" s="410">
        <f>'Part V-Revenues &amp; Expenses'!$P$67</f>
        <v>56</v>
      </c>
      <c r="K391" s="1846" t="s">
        <v>2517</v>
      </c>
      <c r="L391" s="1845">
        <f>IF(J391=0,0,H391/J391)</f>
        <v>0</v>
      </c>
      <c r="N391" s="1843"/>
      <c r="Q391" s="147"/>
    </row>
    <row r="392" spans="1:19" s="36" customFormat="1" ht="11.25" customHeight="1" thickBot="1">
      <c r="A392" s="35"/>
      <c r="B392" s="937" t="s">
        <v>3239</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3376</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3377</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6605</v>
      </c>
      <c r="C407" s="26"/>
      <c r="D407" s="70"/>
      <c r="E407" s="66"/>
      <c r="F407" s="29"/>
      <c r="G407" s="29"/>
      <c r="H407" s="29"/>
      <c r="I407" s="70"/>
      <c r="J407" s="70"/>
      <c r="K407" s="31"/>
      <c r="L407" s="1971"/>
      <c r="M407" s="458">
        <v>1</v>
      </c>
      <c r="N407" s="1661" t="s">
        <v>1840</v>
      </c>
      <c r="O407" s="1324"/>
      <c r="P407" s="1325"/>
      <c r="Q407" s="798" t="str">
        <f>IF(OR($O407=$M407,$O407=0,$O407=""),"","*CHECK!*")</f>
        <v/>
      </c>
      <c r="R407" s="795" t="s">
        <v>2458</v>
      </c>
    </row>
    <row r="408" spans="1:21" s="108" customFormat="1" ht="12" customHeight="1">
      <c r="A408" s="686" t="s">
        <v>1842</v>
      </c>
      <c r="B408" s="141" t="s">
        <v>6606</v>
      </c>
      <c r="C408" s="103"/>
      <c r="D408" s="103"/>
      <c r="E408" s="103"/>
      <c r="F408" s="103"/>
      <c r="G408" s="29"/>
      <c r="H408" s="103"/>
      <c r="I408" s="103"/>
      <c r="J408" s="103"/>
      <c r="K408" s="103"/>
      <c r="L408" s="103"/>
      <c r="M408" s="458">
        <v>1</v>
      </c>
      <c r="N408" s="1661" t="s">
        <v>1842</v>
      </c>
      <c r="O408" s="406"/>
      <c r="P408" s="414"/>
      <c r="Q408" s="798" t="str">
        <f>IF(OR($O408=$M408,$O408=0,$O408=""),"","*CHECK!*")</f>
        <v/>
      </c>
      <c r="R408" s="795" t="s">
        <v>2458</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1961</v>
      </c>
      <c r="B410" s="141" t="s">
        <v>6607</v>
      </c>
      <c r="H410" s="29"/>
      <c r="M410" s="458">
        <v>2</v>
      </c>
      <c r="N410" s="1661" t="s">
        <v>1961</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3239</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3378</v>
      </c>
      <c r="B418" s="83" t="s">
        <v>6238</v>
      </c>
      <c r="D418" s="38"/>
      <c r="E418" s="38"/>
      <c r="F418" s="32"/>
      <c r="L418" s="798"/>
      <c r="M418" s="119">
        <v>6</v>
      </c>
      <c r="N418" s="5"/>
      <c r="O418" s="899"/>
      <c r="P418" s="883"/>
      <c r="Q418" s="86" t="s">
        <v>416</v>
      </c>
      <c r="R418" s="795" t="s">
        <v>2458</v>
      </c>
    </row>
    <row r="419" spans="1:18" s="36" customFormat="1" ht="10.5" customHeight="1" thickBot="1">
      <c r="A419" s="35"/>
      <c r="B419" s="937" t="s">
        <v>3239</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3379</v>
      </c>
      <c r="B424" s="83" t="s">
        <v>6608</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2458</v>
      </c>
    </row>
    <row r="429" spans="1:18" s="36" customFormat="1" ht="10.5" customHeight="1" thickBot="1">
      <c r="A429" s="35"/>
      <c r="B429" s="937" t="s">
        <v>3239</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6131</v>
      </c>
      <c r="C435"/>
      <c r="E435" s="67"/>
      <c r="F435" s="29"/>
      <c r="G435" s="29"/>
      <c r="H435" s="29"/>
      <c r="K435" s="31"/>
      <c r="L435" s="45"/>
      <c r="M435" s="458">
        <v>6</v>
      </c>
      <c r="N435" s="1661" t="s">
        <v>1840</v>
      </c>
      <c r="O435" s="1849"/>
      <c r="P435" s="1850"/>
      <c r="Q435" s="798" t="str">
        <f>IF(OR($O435&lt;=$M435,$O435=0,$O435=""),"","*CHECK!*")</f>
        <v/>
      </c>
      <c r="R435" s="795" t="s">
        <v>2458</v>
      </c>
    </row>
    <row r="436" spans="1:27" s="108" customFormat="1" ht="12" customHeight="1">
      <c r="A436" s="1847" t="s">
        <v>1842</v>
      </c>
      <c r="B436" s="897" t="s">
        <v>6132</v>
      </c>
      <c r="C436" s="457"/>
      <c r="D436" s="457"/>
      <c r="E436" s="457"/>
      <c r="F436" s="457"/>
      <c r="H436" s="457"/>
      <c r="I436" s="457"/>
      <c r="J436" s="103"/>
      <c r="K436" s="103"/>
      <c r="L436" s="103"/>
      <c r="M436" s="458">
        <v>4</v>
      </c>
      <c r="N436" s="1661" t="s">
        <v>1842</v>
      </c>
      <c r="O436" s="407"/>
      <c r="P436" s="415"/>
      <c r="Q436" s="798" t="str">
        <f>IF(OR($O436&lt;=$M436,$O436=0,$O436=""),"","*CHECK!*")</f>
        <v/>
      </c>
      <c r="R436" s="795" t="s">
        <v>2458</v>
      </c>
    </row>
    <row r="437" spans="1:27" s="36" customFormat="1" ht="10.5" customHeight="1" thickBot="1">
      <c r="A437" s="35"/>
      <c r="B437" s="937" t="s">
        <v>3239</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6743</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6697</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1938</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1939</v>
      </c>
      <c r="D448" s="68"/>
      <c r="E448" s="68"/>
      <c r="F448" s="68"/>
      <c r="G448" s="68"/>
      <c r="H448" s="68"/>
      <c r="I448" s="68"/>
      <c r="J448" s="380" t="s">
        <v>1538</v>
      </c>
      <c r="K448" s="68"/>
      <c r="L448" s="68"/>
      <c r="M448" s="68"/>
      <c r="N448" s="882"/>
      <c r="O448" s="2407"/>
      <c r="P448" s="2407"/>
      <c r="Q448" s="68"/>
    </row>
    <row r="449" spans="3:17" s="115" customFormat="1">
      <c r="C449" s="68" t="s">
        <v>1940</v>
      </c>
      <c r="D449" s="68"/>
      <c r="E449" s="68"/>
      <c r="F449" s="68"/>
      <c r="G449" s="68"/>
      <c r="H449" s="68"/>
      <c r="I449" s="68"/>
      <c r="J449" s="380" t="s">
        <v>2305</v>
      </c>
      <c r="K449" s="68"/>
      <c r="L449" s="68"/>
      <c r="M449" s="68"/>
      <c r="N449" s="882"/>
      <c r="O449" s="2407"/>
      <c r="P449" s="2407"/>
      <c r="Q449" s="68"/>
    </row>
    <row r="450" spans="3:17" s="115" customFormat="1">
      <c r="C450" s="68" t="s">
        <v>1941</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1979</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1974</v>
      </c>
      <c r="D458" s="68"/>
      <c r="E458" s="68"/>
      <c r="F458" s="68"/>
      <c r="G458" s="68"/>
      <c r="H458" s="68"/>
      <c r="I458" s="68"/>
      <c r="J458" s="380" t="s">
        <v>1546</v>
      </c>
      <c r="K458" s="68"/>
      <c r="L458" s="68"/>
      <c r="M458" s="68"/>
      <c r="N458" s="882"/>
      <c r="O458" s="2407"/>
      <c r="P458" s="2407"/>
      <c r="Q458" s="68"/>
    </row>
    <row r="459" spans="3:17" s="115" customFormat="1">
      <c r="C459" s="1406" t="s">
        <v>1975</v>
      </c>
      <c r="D459" s="68"/>
      <c r="E459" s="68"/>
      <c r="F459" s="68"/>
      <c r="G459" s="68"/>
      <c r="H459" s="68"/>
      <c r="I459" s="68"/>
      <c r="J459" s="380" t="s">
        <v>1547</v>
      </c>
      <c r="K459" s="68"/>
      <c r="L459" s="68"/>
      <c r="M459" s="68"/>
      <c r="N459" s="882"/>
      <c r="O459" s="2407"/>
      <c r="P459" s="2407"/>
      <c r="Q459" s="68"/>
    </row>
    <row r="460" spans="3:17" s="115" customFormat="1">
      <c r="C460" s="1406" t="s">
        <v>1976</v>
      </c>
      <c r="D460" s="68"/>
      <c r="E460" s="68"/>
      <c r="F460" s="68"/>
      <c r="G460" s="68"/>
      <c r="H460" s="68"/>
      <c r="I460" s="68"/>
      <c r="J460" s="380" t="s">
        <v>32</v>
      </c>
      <c r="K460" s="68"/>
      <c r="L460" s="68"/>
      <c r="M460" s="68"/>
      <c r="N460" s="882"/>
      <c r="O460" s="2407"/>
      <c r="P460" s="2407"/>
      <c r="Q460" s="68"/>
    </row>
    <row r="461" spans="3:17" s="115" customFormat="1">
      <c r="C461" s="1406" t="s">
        <v>1977</v>
      </c>
      <c r="D461" s="68"/>
      <c r="E461" s="68"/>
      <c r="F461" s="68"/>
      <c r="G461" s="68"/>
      <c r="H461" s="68"/>
      <c r="I461" s="68"/>
      <c r="J461" s="68"/>
      <c r="K461" s="68"/>
      <c r="L461" s="68"/>
      <c r="M461" s="68"/>
      <c r="N461" s="882"/>
      <c r="O461" s="2407"/>
      <c r="P461" s="2407"/>
      <c r="Q461" s="68"/>
    </row>
    <row r="462" spans="3:17" s="115" customFormat="1">
      <c r="C462" s="1406" t="s">
        <v>1978</v>
      </c>
      <c r="D462" s="68"/>
      <c r="E462" s="68"/>
      <c r="F462" s="68"/>
      <c r="G462" s="68"/>
      <c r="H462" s="68"/>
      <c r="I462" s="68"/>
      <c r="J462" s="2408" t="s">
        <v>3036</v>
      </c>
      <c r="K462" s="68"/>
      <c r="L462" s="68"/>
      <c r="M462" s="68"/>
      <c r="N462" s="882"/>
      <c r="O462" s="2408" t="s">
        <v>3250</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2107</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518" t="s">
        <v>1407</v>
      </c>
      <c r="H466" s="4518"/>
      <c r="I466" s="4518"/>
      <c r="J466" s="68" t="s">
        <v>3023</v>
      </c>
      <c r="K466" s="68"/>
      <c r="L466" s="68"/>
      <c r="M466" s="68"/>
      <c r="N466" s="882"/>
      <c r="O466" s="2407">
        <v>2</v>
      </c>
      <c r="P466" s="2407"/>
      <c r="Q466" s="68"/>
    </row>
    <row r="467" spans="1:17" s="115" customFormat="1">
      <c r="C467" s="68"/>
      <c r="D467" s="68"/>
      <c r="E467" s="68"/>
      <c r="F467" s="68"/>
      <c r="G467" s="1848" t="s">
        <v>4062</v>
      </c>
      <c r="H467" s="68" t="s">
        <v>4063</v>
      </c>
      <c r="I467" s="1848" t="s">
        <v>4061</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3248</v>
      </c>
      <c r="K468" s="68"/>
      <c r="L468" s="1508"/>
      <c r="M468" s="68"/>
      <c r="N468" s="882"/>
      <c r="O468" s="2407">
        <v>2</v>
      </c>
      <c r="P468" s="2407"/>
      <c r="Q468" s="68"/>
    </row>
    <row r="469" spans="1:17" s="115" customFormat="1">
      <c r="C469" s="503"/>
      <c r="D469" s="68"/>
      <c r="E469" s="68"/>
      <c r="F469" s="68"/>
      <c r="G469" s="1508" t="s">
        <v>436</v>
      </c>
      <c r="H469" s="882" t="s">
        <v>4065</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4064</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4064</v>
      </c>
      <c r="J472" s="68" t="s">
        <v>3249</v>
      </c>
      <c r="K472" s="68"/>
      <c r="L472" s="503"/>
      <c r="M472" s="68"/>
      <c r="N472" s="882"/>
      <c r="O472" s="2407">
        <v>1</v>
      </c>
      <c r="P472" s="2407"/>
      <c r="Q472" s="68"/>
    </row>
    <row r="473" spans="1:17" s="115" customFormat="1">
      <c r="C473" s="503"/>
      <c r="D473" s="68"/>
      <c r="E473" s="68"/>
      <c r="F473" s="68"/>
      <c r="G473" s="1508" t="s">
        <v>3271</v>
      </c>
      <c r="H473" s="882">
        <v>2019</v>
      </c>
      <c r="I473" s="882" t="s">
        <v>4064</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4064</v>
      </c>
      <c r="J475" s="68" t="s">
        <v>3029</v>
      </c>
      <c r="K475" s="68"/>
      <c r="L475" s="503"/>
      <c r="M475" s="68"/>
      <c r="N475" s="882"/>
      <c r="O475" s="2407">
        <v>1</v>
      </c>
      <c r="P475" s="2407"/>
      <c r="Q475" s="68"/>
    </row>
    <row r="476" spans="1:17" s="115" customFormat="1">
      <c r="C476" s="503"/>
      <c r="D476" s="68"/>
      <c r="E476" s="68"/>
      <c r="F476" s="68"/>
      <c r="G476" s="1508" t="s">
        <v>1908</v>
      </c>
      <c r="H476" s="882" t="s">
        <v>4065</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4065</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4064</v>
      </c>
      <c r="J478" s="68" t="s">
        <v>3034</v>
      </c>
      <c r="K478" s="68"/>
      <c r="L478" s="503"/>
      <c r="M478" s="68"/>
      <c r="N478" s="882"/>
      <c r="O478" s="2407">
        <v>1</v>
      </c>
      <c r="P478" s="2407"/>
      <c r="Q478" s="68"/>
    </row>
    <row r="479" spans="1:17" s="115" customFormat="1">
      <c r="A479" s="44" t="s">
        <v>2497</v>
      </c>
      <c r="C479" s="68"/>
      <c r="D479" s="68"/>
      <c r="E479" s="68"/>
      <c r="F479" s="68"/>
      <c r="G479" s="1508" t="s">
        <v>1985</v>
      </c>
      <c r="H479" s="882" t="s">
        <v>4065</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1906</v>
      </c>
      <c r="H480" s="882">
        <v>2019</v>
      </c>
      <c r="I480" s="882" t="s">
        <v>4064</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4064</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4064</v>
      </c>
      <c r="J482" s="68"/>
      <c r="K482" s="68"/>
      <c r="L482" s="503"/>
      <c r="M482" s="68"/>
      <c r="N482" s="882"/>
      <c r="O482" s="2407"/>
      <c r="P482" s="2407"/>
      <c r="Q482" s="68"/>
    </row>
    <row r="483" spans="1:17" s="115" customFormat="1">
      <c r="A483" s="108" t="s">
        <v>3006</v>
      </c>
      <c r="C483" s="68"/>
      <c r="D483" s="503"/>
      <c r="E483" s="503">
        <v>10</v>
      </c>
      <c r="F483" s="68"/>
      <c r="G483" s="1508" t="s">
        <v>1788</v>
      </c>
      <c r="H483" s="882">
        <v>2019</v>
      </c>
      <c r="I483" s="882" t="s">
        <v>4064</v>
      </c>
      <c r="J483" s="400" t="s">
        <v>3259</v>
      </c>
      <c r="K483" s="68"/>
      <c r="L483" s="503"/>
      <c r="M483" s="68"/>
      <c r="N483" s="882"/>
      <c r="O483" s="2407"/>
      <c r="P483" s="2407"/>
      <c r="Q483" s="68"/>
    </row>
    <row r="484" spans="1:17" s="115" customFormat="1">
      <c r="A484" s="108" t="s">
        <v>2513</v>
      </c>
      <c r="C484" s="68"/>
      <c r="D484" s="503"/>
      <c r="E484" s="503"/>
      <c r="F484" s="68"/>
      <c r="G484" s="1508" t="s">
        <v>395</v>
      </c>
      <c r="H484" s="882">
        <v>2019</v>
      </c>
      <c r="I484" s="882" t="s">
        <v>4064</v>
      </c>
      <c r="J484" s="68" t="s">
        <v>3335</v>
      </c>
      <c r="K484" s="68"/>
      <c r="L484" s="503"/>
      <c r="M484" s="68"/>
      <c r="N484" s="882"/>
      <c r="O484" s="2407"/>
      <c r="P484" s="2407"/>
      <c r="Q484" s="68"/>
    </row>
    <row r="485" spans="1:17" s="115" customFormat="1">
      <c r="C485" s="503"/>
      <c r="D485" s="68"/>
      <c r="E485" s="68"/>
      <c r="F485" s="68"/>
      <c r="G485" s="1508" t="s">
        <v>921</v>
      </c>
      <c r="H485" s="882">
        <v>2020</v>
      </c>
      <c r="I485" s="882" t="s">
        <v>4064</v>
      </c>
      <c r="J485" s="68" t="s">
        <v>3330</v>
      </c>
      <c r="K485" s="68"/>
      <c r="L485" s="503"/>
      <c r="M485" s="68"/>
      <c r="N485" s="882"/>
      <c r="O485" s="2407"/>
      <c r="P485" s="2407"/>
      <c r="Q485" s="68"/>
    </row>
    <row r="486" spans="1:17" s="115" customFormat="1">
      <c r="C486" s="503"/>
      <c r="D486" s="68"/>
      <c r="E486" s="68"/>
      <c r="F486" s="68"/>
      <c r="G486" s="1508" t="s">
        <v>532</v>
      </c>
      <c r="H486" s="882">
        <v>2020</v>
      </c>
      <c r="I486" s="882" t="s">
        <v>4064</v>
      </c>
      <c r="J486" s="68" t="s">
        <v>3252</v>
      </c>
      <c r="K486" s="68"/>
      <c r="L486" s="503"/>
      <c r="M486" s="68"/>
      <c r="N486" s="882"/>
      <c r="O486" s="2407"/>
      <c r="P486" s="2407"/>
      <c r="Q486" s="68"/>
    </row>
    <row r="487" spans="1:17" s="115" customFormat="1">
      <c r="C487" s="503"/>
      <c r="D487" s="68"/>
      <c r="E487" s="68"/>
      <c r="F487" s="68"/>
      <c r="G487" s="1508" t="s">
        <v>809</v>
      </c>
      <c r="H487" s="882" t="s">
        <v>4065</v>
      </c>
      <c r="I487" s="1848" t="s">
        <v>2452</v>
      </c>
      <c r="J487" s="68" t="s">
        <v>3326</v>
      </c>
      <c r="K487" s="68"/>
      <c r="L487" s="503"/>
      <c r="M487" s="68"/>
      <c r="N487" s="882"/>
      <c r="O487" s="2407"/>
      <c r="P487" s="2407"/>
      <c r="Q487" s="68"/>
    </row>
    <row r="488" spans="1:17" s="115" customFormat="1">
      <c r="C488" s="503"/>
      <c r="D488" s="68"/>
      <c r="E488" s="68"/>
      <c r="F488" s="68"/>
      <c r="G488" s="1508" t="s">
        <v>3018</v>
      </c>
      <c r="H488" s="882">
        <v>2019</v>
      </c>
      <c r="I488" s="882" t="s">
        <v>4064</v>
      </c>
      <c r="J488" s="68" t="s">
        <v>3253</v>
      </c>
      <c r="K488" s="68"/>
      <c r="L488" s="503"/>
      <c r="M488" s="68"/>
      <c r="N488" s="882"/>
      <c r="O488" s="2407"/>
      <c r="P488" s="2407"/>
      <c r="Q488" s="68"/>
    </row>
    <row r="489" spans="1:17" s="115" customFormat="1">
      <c r="C489" s="68"/>
      <c r="D489" s="68"/>
      <c r="E489" s="68"/>
      <c r="F489" s="68"/>
      <c r="G489" s="1508" t="s">
        <v>764</v>
      </c>
      <c r="H489" s="882">
        <v>2019</v>
      </c>
      <c r="I489" s="882" t="s">
        <v>4064</v>
      </c>
      <c r="J489" s="68" t="s">
        <v>3327</v>
      </c>
      <c r="K489" s="68"/>
      <c r="L489" s="503"/>
      <c r="M489" s="68"/>
      <c r="N489" s="882"/>
      <c r="O489" s="2407"/>
      <c r="P489" s="2407"/>
      <c r="Q489" s="68"/>
    </row>
    <row r="490" spans="1:17" s="115" customFormat="1">
      <c r="C490" s="68"/>
      <c r="D490" s="68"/>
      <c r="E490" s="68"/>
      <c r="F490" s="68"/>
      <c r="G490" s="1508" t="s">
        <v>172</v>
      </c>
      <c r="H490" s="882">
        <v>2019</v>
      </c>
      <c r="I490" s="882" t="s">
        <v>4064</v>
      </c>
      <c r="J490" s="68" t="s">
        <v>3254</v>
      </c>
      <c r="K490" s="68"/>
      <c r="L490" s="68"/>
      <c r="M490" s="68"/>
      <c r="N490" s="882"/>
      <c r="O490" s="2407"/>
      <c r="P490" s="2407"/>
      <c r="Q490" s="68"/>
    </row>
    <row r="491" spans="1:17" s="115" customFormat="1">
      <c r="C491" s="68"/>
      <c r="D491" s="68"/>
      <c r="E491" s="68"/>
      <c r="F491" s="68"/>
      <c r="G491" s="1508" t="s">
        <v>3344</v>
      </c>
      <c r="H491" s="882" t="s">
        <v>4065</v>
      </c>
      <c r="I491" s="1848" t="s">
        <v>2452</v>
      </c>
      <c r="J491" s="68" t="s">
        <v>3328</v>
      </c>
      <c r="K491" s="68"/>
      <c r="L491" s="503"/>
      <c r="M491" s="68"/>
      <c r="N491" s="882"/>
      <c r="O491" s="2407"/>
      <c r="P491" s="2407"/>
      <c r="Q491" s="68"/>
    </row>
    <row r="492" spans="1:17" s="115" customFormat="1">
      <c r="C492" s="68"/>
      <c r="D492" s="68"/>
      <c r="E492" s="68"/>
      <c r="F492" s="68"/>
      <c r="G492" s="1508" t="s">
        <v>507</v>
      </c>
      <c r="H492" s="882">
        <v>2020</v>
      </c>
      <c r="I492" s="882" t="s">
        <v>4064</v>
      </c>
      <c r="J492" s="68" t="s">
        <v>3331</v>
      </c>
      <c r="K492" s="68"/>
      <c r="L492" s="503"/>
      <c r="M492" s="68"/>
      <c r="N492" s="882"/>
      <c r="O492" s="2407"/>
      <c r="P492" s="2407"/>
      <c r="Q492" s="68"/>
    </row>
    <row r="493" spans="1:17" s="115" customFormat="1">
      <c r="C493" s="68"/>
      <c r="D493" s="68"/>
      <c r="E493" s="68"/>
      <c r="F493" s="68"/>
      <c r="G493" s="1508" t="s">
        <v>376</v>
      </c>
      <c r="H493" s="882">
        <v>2020</v>
      </c>
      <c r="I493" s="882" t="s">
        <v>4064</v>
      </c>
      <c r="J493" s="68" t="s">
        <v>3334</v>
      </c>
      <c r="K493" s="68"/>
      <c r="L493" s="68"/>
      <c r="M493" s="68"/>
      <c r="N493" s="882"/>
      <c r="O493" s="2407"/>
      <c r="P493" s="2407"/>
      <c r="Q493" s="68"/>
    </row>
    <row r="494" spans="1:17" s="115" customFormat="1">
      <c r="C494" s="68"/>
      <c r="D494" s="697"/>
      <c r="E494" s="68"/>
      <c r="F494" s="68"/>
      <c r="G494" s="1508" t="s">
        <v>1349</v>
      </c>
      <c r="H494" s="882" t="s">
        <v>4065</v>
      </c>
      <c r="I494" s="1848" t="s">
        <v>2452</v>
      </c>
      <c r="J494" s="68" t="s">
        <v>3255</v>
      </c>
      <c r="K494" s="68"/>
      <c r="L494" s="503"/>
      <c r="M494" s="68"/>
      <c r="N494" s="882"/>
      <c r="O494" s="2407"/>
      <c r="P494" s="2407"/>
      <c r="Q494" s="68"/>
    </row>
    <row r="495" spans="1:17" s="115" customFormat="1">
      <c r="C495" s="68"/>
      <c r="D495" s="697"/>
      <c r="E495" s="68"/>
      <c r="F495" s="68"/>
      <c r="G495" s="1508" t="s">
        <v>1706</v>
      </c>
      <c r="H495" s="882" t="s">
        <v>4065</v>
      </c>
      <c r="I495" s="1848" t="s">
        <v>2452</v>
      </c>
      <c r="J495" s="68" t="s">
        <v>3256</v>
      </c>
      <c r="K495" s="68"/>
      <c r="L495" s="503"/>
      <c r="M495" s="68"/>
      <c r="N495" s="882"/>
      <c r="O495" s="2407"/>
      <c r="P495" s="2407"/>
      <c r="Q495" s="68"/>
    </row>
    <row r="496" spans="1:17" s="115" customFormat="1">
      <c r="C496" s="68"/>
      <c r="D496" s="68"/>
      <c r="E496" s="68"/>
      <c r="F496" s="68"/>
      <c r="G496" s="1508" t="s">
        <v>1968</v>
      </c>
      <c r="H496" s="882">
        <v>2020</v>
      </c>
      <c r="I496" s="882" t="s">
        <v>4064</v>
      </c>
      <c r="J496" s="68" t="s">
        <v>3329</v>
      </c>
      <c r="K496" s="68"/>
      <c r="L496" s="503"/>
      <c r="M496" s="68"/>
      <c r="N496" s="882"/>
      <c r="O496" s="2407"/>
      <c r="P496" s="2407"/>
      <c r="Q496" s="68"/>
    </row>
    <row r="497" spans="3:17" s="115" customFormat="1">
      <c r="C497" s="68"/>
      <c r="D497" s="68"/>
      <c r="E497" s="68"/>
      <c r="F497" s="68"/>
      <c r="G497" s="1508" t="s">
        <v>1352</v>
      </c>
      <c r="H497" s="882">
        <v>2019</v>
      </c>
      <c r="I497" s="882" t="s">
        <v>4064</v>
      </c>
      <c r="J497" s="68" t="s">
        <v>3332</v>
      </c>
      <c r="K497" s="68"/>
      <c r="L497" s="68"/>
      <c r="M497" s="68"/>
      <c r="N497" s="882"/>
      <c r="O497" s="2407"/>
      <c r="P497" s="2407"/>
      <c r="Q497" s="68"/>
    </row>
    <row r="498" spans="3:17" s="115" customFormat="1">
      <c r="C498" s="68"/>
      <c r="D498" s="68"/>
      <c r="E498" s="68"/>
      <c r="F498" s="68"/>
      <c r="G498" s="1508" t="s">
        <v>235</v>
      </c>
      <c r="H498" s="882">
        <v>2019</v>
      </c>
      <c r="I498" s="882" t="s">
        <v>4064</v>
      </c>
      <c r="J498" s="68" t="s">
        <v>3333</v>
      </c>
      <c r="K498" s="68"/>
      <c r="L498" s="503"/>
      <c r="M498" s="68"/>
      <c r="N498" s="882"/>
      <c r="O498" s="2407"/>
      <c r="P498" s="2407"/>
      <c r="Q498" s="68"/>
    </row>
    <row r="499" spans="3:17" s="115" customFormat="1">
      <c r="C499" s="68"/>
      <c r="D499" s="68"/>
      <c r="E499" s="68"/>
      <c r="F499" s="68"/>
      <c r="G499" s="1508" t="s">
        <v>978</v>
      </c>
      <c r="H499" s="882">
        <v>2020</v>
      </c>
      <c r="I499" s="882" t="s">
        <v>4064</v>
      </c>
      <c r="J499" s="68" t="s">
        <v>3257</v>
      </c>
      <c r="K499" s="68"/>
      <c r="L499" s="503"/>
      <c r="M499" s="68"/>
      <c r="N499" s="882"/>
      <c r="O499" s="2407"/>
      <c r="P499" s="2407"/>
      <c r="Q499" s="68"/>
    </row>
    <row r="500" spans="3:17" s="115" customFormat="1">
      <c r="C500" s="697"/>
      <c r="D500" s="68"/>
      <c r="E500" s="68"/>
      <c r="F500" s="68"/>
      <c r="G500" s="1508" t="s">
        <v>2095</v>
      </c>
      <c r="H500" s="882">
        <v>2020</v>
      </c>
      <c r="I500" s="882" t="s">
        <v>4064</v>
      </c>
      <c r="J500" s="68" t="s">
        <v>3258</v>
      </c>
      <c r="K500" s="68"/>
      <c r="L500" s="503"/>
      <c r="M500" s="68"/>
      <c r="N500" s="882"/>
      <c r="O500" s="2407"/>
      <c r="P500" s="2407"/>
      <c r="Q500" s="68"/>
    </row>
    <row r="501" spans="3:17" s="115" customFormat="1">
      <c r="C501" s="697"/>
      <c r="D501" s="68"/>
      <c r="E501" s="68"/>
      <c r="F501" s="68"/>
      <c r="G501" s="1508" t="s">
        <v>4059</v>
      </c>
      <c r="H501" s="882" t="s">
        <v>4065</v>
      </c>
      <c r="I501" s="1848" t="s">
        <v>2452</v>
      </c>
      <c r="J501" s="68"/>
      <c r="K501" s="68"/>
      <c r="L501" s="503"/>
      <c r="M501" s="68"/>
      <c r="N501" s="882"/>
      <c r="O501" s="2407"/>
      <c r="P501" s="2407"/>
      <c r="Q501" s="68"/>
    </row>
    <row r="502" spans="3:17" s="115" customFormat="1">
      <c r="C502" s="697"/>
      <c r="D502" s="68"/>
      <c r="E502" s="68"/>
      <c r="F502" s="68"/>
      <c r="G502" s="1508" t="s">
        <v>1748</v>
      </c>
      <c r="H502" s="882" t="s">
        <v>4065</v>
      </c>
      <c r="I502" s="1848" t="s">
        <v>2452</v>
      </c>
      <c r="J502" s="68"/>
      <c r="K502" s="68"/>
      <c r="L502" s="503"/>
      <c r="M502" s="68"/>
      <c r="N502" s="882"/>
      <c r="O502" s="2407"/>
      <c r="P502" s="2407"/>
      <c r="Q502" s="68"/>
    </row>
    <row r="503" spans="3:17" s="115" customFormat="1">
      <c r="C503" s="697"/>
      <c r="D503" s="68"/>
      <c r="E503" s="68"/>
      <c r="F503" s="68"/>
      <c r="G503" s="1508" t="s">
        <v>472</v>
      </c>
      <c r="H503" s="882" t="s">
        <v>4065</v>
      </c>
      <c r="I503" s="1848" t="s">
        <v>2452</v>
      </c>
      <c r="J503" s="68"/>
      <c r="K503" s="68"/>
      <c r="L503" s="503"/>
      <c r="M503" s="68"/>
      <c r="N503" s="882"/>
      <c r="O503" s="2407"/>
      <c r="P503" s="2407"/>
      <c r="Q503" s="68"/>
    </row>
    <row r="504" spans="3:17" s="115" customFormat="1">
      <c r="C504" s="697"/>
      <c r="D504" s="68"/>
      <c r="E504" s="68"/>
      <c r="F504" s="68"/>
      <c r="G504" s="1508" t="s">
        <v>1950</v>
      </c>
      <c r="H504" s="882" t="s">
        <v>4065</v>
      </c>
      <c r="I504" s="1848" t="s">
        <v>2452</v>
      </c>
      <c r="J504" s="68"/>
      <c r="K504" s="68"/>
      <c r="L504" s="503"/>
      <c r="M504" s="68"/>
      <c r="N504" s="882"/>
      <c r="O504" s="2407"/>
      <c r="P504" s="2407"/>
      <c r="Q504" s="68"/>
    </row>
    <row r="505" spans="3:17" s="115" customFormat="1">
      <c r="C505" s="697"/>
      <c r="D505" s="68"/>
      <c r="E505" s="68"/>
      <c r="F505" s="68"/>
      <c r="G505" s="1508" t="s">
        <v>2087</v>
      </c>
      <c r="H505" s="882">
        <v>2020</v>
      </c>
      <c r="I505" s="882" t="s">
        <v>4064</v>
      </c>
      <c r="J505" s="68"/>
      <c r="K505" s="68"/>
      <c r="L505" s="503"/>
      <c r="M505" s="68"/>
      <c r="N505" s="882"/>
      <c r="O505" s="2407"/>
      <c r="P505" s="2407"/>
      <c r="Q505" s="68"/>
    </row>
    <row r="506" spans="3:17" s="115" customFormat="1">
      <c r="C506" s="697"/>
      <c r="D506" s="68"/>
      <c r="E506" s="68"/>
      <c r="F506" s="68"/>
      <c r="G506" s="1508" t="s">
        <v>1973</v>
      </c>
      <c r="H506" s="882">
        <v>2020</v>
      </c>
      <c r="I506" s="882" t="s">
        <v>4064</v>
      </c>
      <c r="J506" s="68"/>
      <c r="K506" s="68"/>
      <c r="L506" s="68"/>
      <c r="M506" s="68"/>
      <c r="N506" s="882"/>
      <c r="O506" s="2407"/>
      <c r="P506" s="2407"/>
      <c r="Q506" s="68"/>
    </row>
    <row r="507" spans="3:17" s="115" customFormat="1">
      <c r="C507" s="68"/>
      <c r="D507" s="68"/>
      <c r="E507" s="68"/>
      <c r="F507" s="68"/>
      <c r="G507" s="1508" t="s">
        <v>2153</v>
      </c>
      <c r="H507" s="882">
        <v>2019</v>
      </c>
      <c r="I507" s="882" t="s">
        <v>4064</v>
      </c>
      <c r="J507" s="68"/>
      <c r="K507" s="68"/>
      <c r="L507" s="68"/>
      <c r="M507" s="68"/>
      <c r="N507" s="882"/>
      <c r="O507" s="2407"/>
      <c r="P507" s="2407"/>
      <c r="Q507" s="68"/>
    </row>
    <row r="508" spans="3:17" s="115" customFormat="1">
      <c r="C508" s="68"/>
      <c r="D508" s="68"/>
      <c r="E508" s="68"/>
      <c r="F508" s="68"/>
      <c r="G508" s="1508" t="s">
        <v>4060</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4064</v>
      </c>
      <c r="J509" s="68"/>
      <c r="K509" s="68"/>
      <c r="L509" s="68"/>
      <c r="M509" s="68"/>
      <c r="N509" s="882"/>
      <c r="O509" s="2407"/>
      <c r="P509" s="2407"/>
      <c r="Q509" s="68"/>
    </row>
    <row r="510" spans="3:17" s="115" customFormat="1">
      <c r="C510" s="68"/>
      <c r="D510" s="68"/>
      <c r="E510" s="68"/>
      <c r="F510" s="68"/>
      <c r="G510" s="1508" t="s">
        <v>1577</v>
      </c>
      <c r="H510" s="882">
        <v>2020</v>
      </c>
      <c r="I510" s="882" t="s">
        <v>4064</v>
      </c>
      <c r="J510" s="68"/>
      <c r="K510" s="68"/>
      <c r="L510" s="68"/>
      <c r="M510" s="68"/>
      <c r="N510" s="882"/>
      <c r="O510" s="2407"/>
      <c r="P510" s="2407"/>
      <c r="Q510" s="68"/>
    </row>
    <row r="511" spans="3:17" s="115" customFormat="1">
      <c r="C511" s="68"/>
      <c r="D511" s="68"/>
      <c r="E511" s="68"/>
      <c r="F511" s="68"/>
      <c r="G511" s="1508" t="s">
        <v>1582</v>
      </c>
      <c r="H511" s="882">
        <v>2020</v>
      </c>
      <c r="I511" s="882" t="s">
        <v>4064</v>
      </c>
      <c r="J511" s="68"/>
      <c r="K511" s="68"/>
      <c r="L511" s="68"/>
      <c r="M511" s="68"/>
      <c r="N511" s="882"/>
      <c r="O511" s="2407"/>
      <c r="P511" s="2407"/>
      <c r="Q511" s="68"/>
    </row>
    <row r="512" spans="3:17" s="115" customFormat="1">
      <c r="C512" s="68"/>
      <c r="D512" s="68"/>
      <c r="E512" s="68"/>
      <c r="F512" s="68"/>
      <c r="G512" s="1508" t="s">
        <v>1590</v>
      </c>
      <c r="H512" s="882">
        <v>2020</v>
      </c>
      <c r="I512" s="882" t="s">
        <v>4064</v>
      </c>
      <c r="J512" s="68"/>
      <c r="K512" s="68"/>
      <c r="L512" s="68"/>
      <c r="M512" s="68"/>
      <c r="N512" s="882"/>
      <c r="O512" s="2407"/>
      <c r="P512" s="2407"/>
      <c r="Q512" s="68"/>
    </row>
    <row r="513" spans="3:17" s="115" customFormat="1">
      <c r="C513" s="68"/>
      <c r="D513" s="68"/>
      <c r="E513" s="68"/>
      <c r="F513" s="68"/>
      <c r="G513" s="1508" t="s">
        <v>1591</v>
      </c>
      <c r="H513" s="882">
        <v>2019</v>
      </c>
      <c r="I513" s="882" t="s">
        <v>4064</v>
      </c>
      <c r="J513" s="68"/>
      <c r="K513" s="68"/>
      <c r="L513" s="68"/>
      <c r="M513" s="68"/>
      <c r="N513" s="882"/>
      <c r="O513" s="2407"/>
      <c r="P513" s="2407"/>
      <c r="Q513" s="68"/>
    </row>
    <row r="514" spans="3:17" s="115" customFormat="1">
      <c r="C514" s="68"/>
      <c r="D514" s="68"/>
      <c r="E514" s="68"/>
      <c r="F514" s="68"/>
      <c r="G514" s="1508" t="s">
        <v>100</v>
      </c>
      <c r="H514" s="882">
        <v>2020</v>
      </c>
      <c r="I514" s="882" t="s">
        <v>4064</v>
      </c>
      <c r="J514" s="68"/>
      <c r="K514" s="68"/>
      <c r="L514" s="68"/>
      <c r="M514" s="68"/>
      <c r="N514" s="882"/>
      <c r="O514" s="2407"/>
      <c r="P514" s="2407"/>
      <c r="Q514" s="68"/>
    </row>
    <row r="515" spans="3:17" s="115" customFormat="1">
      <c r="C515" s="68"/>
      <c r="D515" s="68"/>
      <c r="E515" s="68"/>
      <c r="F515" s="68"/>
      <c r="G515" s="1508" t="s">
        <v>285</v>
      </c>
      <c r="H515" s="882">
        <v>2020</v>
      </c>
      <c r="I515" s="882" t="s">
        <v>4064</v>
      </c>
      <c r="J515" s="68"/>
      <c r="K515" s="68"/>
      <c r="L515" s="68"/>
      <c r="M515" s="68"/>
      <c r="N515" s="882"/>
      <c r="O515" s="2407"/>
      <c r="P515" s="2407"/>
      <c r="Q515" s="68"/>
    </row>
    <row r="516" spans="3:17" s="115" customFormat="1">
      <c r="C516" s="68"/>
      <c r="D516" s="68"/>
      <c r="E516" s="68"/>
      <c r="F516" s="68"/>
      <c r="G516" s="1508" t="s">
        <v>1442</v>
      </c>
      <c r="H516" s="882" t="s">
        <v>4065</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2580</v>
      </c>
      <c r="B1" s="4726"/>
      <c r="C1" s="4726"/>
      <c r="D1" s="4726"/>
      <c r="E1" s="4726"/>
      <c r="F1" s="4726"/>
      <c r="G1" s="4726"/>
      <c r="H1" s="4726"/>
      <c r="I1" s="4726"/>
      <c r="J1" s="4726"/>
    </row>
    <row r="2" spans="1:16" ht="15.75">
      <c r="A2" s="4726" t="str">
        <f>'Sensitivity Analysis'!C8</f>
        <v>Peaks of Douglas</v>
      </c>
      <c r="B2" s="4726"/>
      <c r="C2" s="4726"/>
      <c r="D2" s="4726"/>
      <c r="E2" s="4726"/>
      <c r="F2" s="4726"/>
      <c r="G2" s="4726"/>
      <c r="H2" s="4726"/>
      <c r="I2" s="4726"/>
      <c r="J2" s="4726"/>
    </row>
    <row r="3" spans="1:16" ht="15.75">
      <c r="A3" s="4726" t="str">
        <f>'Subsidy Layering Memo'!F14</f>
        <v>Douglasville, Douglas</v>
      </c>
      <c r="B3" s="4726"/>
      <c r="C3" s="4726"/>
      <c r="D3" s="4726"/>
      <c r="E3" s="4726"/>
      <c r="F3" s="4726"/>
      <c r="G3" s="4726"/>
      <c r="H3" s="4726"/>
      <c r="I3" s="4726"/>
      <c r="J3" s="4726"/>
    </row>
    <row r="4" spans="1:16" ht="15.75">
      <c r="A4" s="4727" t="s">
        <v>2581</v>
      </c>
      <c r="B4" s="4726"/>
      <c r="C4" s="4726"/>
      <c r="D4" s="4726"/>
      <c r="E4" s="4726"/>
      <c r="F4" s="4726"/>
      <c r="G4" s="4726"/>
      <c r="H4" s="4726"/>
      <c r="I4" s="4726"/>
      <c r="J4" s="4726"/>
    </row>
    <row r="5" spans="1:16" ht="5.25" customHeight="1"/>
    <row r="6" spans="1:16" ht="5.25" customHeight="1"/>
    <row r="7" spans="1:16" ht="15.75">
      <c r="A7" s="4728" t="s">
        <v>2582</v>
      </c>
      <c r="B7" s="4728"/>
      <c r="C7" s="4729"/>
      <c r="M7" s="4730"/>
      <c r="N7" s="4730"/>
      <c r="O7" s="4730"/>
      <c r="P7" s="4730"/>
    </row>
    <row r="8" spans="1:16" ht="57" customHeight="1">
      <c r="A8" s="4731" t="s">
        <v>6150</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56 units set aside for &lt;&lt; Select PROPOSED Tenancy &gt;&gt;.</v>
      </c>
      <c r="B9" s="4731"/>
      <c r="C9" s="4731"/>
      <c r="D9" s="4731"/>
      <c r="E9" s="4731"/>
      <c r="F9" s="4731"/>
      <c r="G9" s="4731"/>
      <c r="H9" s="4731"/>
      <c r="I9" s="4731"/>
      <c r="J9" s="4731"/>
      <c r="K9" s="508"/>
    </row>
    <row r="10" spans="1:16" ht="15.75">
      <c r="A10" s="509" t="s">
        <v>2583</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2584</v>
      </c>
      <c r="B14" s="510"/>
    </row>
    <row r="15" spans="1:16">
      <c r="A15" s="507" t="s">
        <v>2585</v>
      </c>
      <c r="D15" s="1020" t="s">
        <v>2586</v>
      </c>
    </row>
    <row r="16" spans="1:16">
      <c r="A16" s="507" t="s">
        <v>2587</v>
      </c>
      <c r="D16" s="1254">
        <f>'Sensitivity Analysis'!C25</f>
        <v>2600000</v>
      </c>
    </row>
    <row r="17" spans="1:11">
      <c r="A17" s="511" t="s">
        <v>2588</v>
      </c>
      <c r="D17" s="1255">
        <f>'Sensitivity Analysis'!C13</f>
        <v>56</v>
      </c>
    </row>
    <row r="18" spans="1:11" ht="14.25" customHeight="1"/>
    <row r="19" spans="1:11" ht="15.75">
      <c r="A19" s="509" t="s">
        <v>2589</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9987001 via the syndication of the 2021 Federal LIHTC allocation of 1135000 per annum. will make a capital contribution totaling 5107500 via the syndication of the 2021 State LIHTC allocation of 1135000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1.33 (0.88 Federal tax credit and 0.45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6151</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Peaks of Douglas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2646</v>
      </c>
      <c r="B8" s="576"/>
      <c r="C8" s="4737" t="str">
        <f>'Part I-Project Identification'!$F$25</f>
        <v>Peaks of Douglas</v>
      </c>
      <c r="D8" s="4737"/>
      <c r="E8" s="1978" t="str">
        <f>'Part I-Project Identification'!$O$7</f>
        <v>2023-0</v>
      </c>
      <c r="F8" s="576" t="s">
        <v>2647</v>
      </c>
      <c r="G8" s="567"/>
      <c r="H8" s="4737" t="str">
        <f>CONCATENATE('Part I-Project Identification'!$F$26,", ",'Part I-Project Identification'!$J$26)</f>
        <v>Douglasville, Douglas</v>
      </c>
      <c r="I8" s="4737"/>
      <c r="J8" s="4737"/>
      <c r="K8" s="4737"/>
      <c r="L8" s="567"/>
      <c r="M8" s="545"/>
    </row>
    <row r="9" spans="1:14" ht="15.75">
      <c r="A9" s="576" t="s">
        <v>2649</v>
      </c>
      <c r="B9" s="576"/>
      <c r="C9" s="4737" t="s">
        <v>1646</v>
      </c>
      <c r="D9" s="4737"/>
      <c r="E9" s="567"/>
      <c r="F9" s="576" t="s">
        <v>2650</v>
      </c>
      <c r="G9" s="567"/>
      <c r="H9" s="4738"/>
      <c r="I9" s="4738"/>
      <c r="J9" s="4738"/>
      <c r="K9" s="4738"/>
      <c r="L9" s="4738"/>
      <c r="M9" s="545"/>
    </row>
    <row r="10" spans="1:14" ht="15.75">
      <c r="A10" s="576" t="s">
        <v>2652</v>
      </c>
      <c r="B10" s="567"/>
      <c r="C10" s="4739"/>
      <c r="D10" s="4739"/>
      <c r="E10" s="567"/>
      <c r="F10" s="576" t="s">
        <v>3130</v>
      </c>
      <c r="G10" s="567"/>
      <c r="H10" s="4736"/>
      <c r="I10" s="4736"/>
      <c r="J10" s="4736"/>
      <c r="K10" s="4736"/>
      <c r="L10" s="4736"/>
    </row>
    <row r="11" spans="1:14" ht="15.75">
      <c r="A11" s="576" t="s">
        <v>2653</v>
      </c>
      <c r="B11" s="567"/>
      <c r="C11" s="4740"/>
      <c r="D11" s="4740"/>
      <c r="E11" s="1992"/>
      <c r="F11" s="576" t="s">
        <v>606</v>
      </c>
      <c r="G11" s="567"/>
      <c r="H11" s="4736"/>
      <c r="I11" s="4736"/>
      <c r="J11" s="4736"/>
      <c r="K11" s="4736"/>
      <c r="L11" s="4736"/>
      <c r="M11" s="4741"/>
      <c r="N11" s="4742"/>
    </row>
    <row r="12" spans="1:14" ht="15.75">
      <c r="A12" s="576" t="s">
        <v>2654</v>
      </c>
      <c r="B12" s="567"/>
      <c r="C12" s="4740"/>
      <c r="D12" s="4740"/>
      <c r="E12" s="567"/>
      <c r="F12" s="576" t="s">
        <v>2655</v>
      </c>
      <c r="G12" s="567"/>
      <c r="H12" s="4740"/>
      <c r="I12" s="4740"/>
      <c r="J12" s="4740"/>
      <c r="K12" s="4740"/>
      <c r="L12" s="4740"/>
      <c r="M12" s="507"/>
    </row>
    <row r="13" spans="1:14" ht="15.75">
      <c r="A13" s="576" t="s">
        <v>2656</v>
      </c>
      <c r="B13" s="576"/>
      <c r="C13" s="1979">
        <f>'Part V-Revenues &amp; Expenses'!$P$67</f>
        <v>56</v>
      </c>
      <c r="D13" s="26"/>
      <c r="E13" s="1980">
        <f>'Part V-Revenues &amp; Expenses'!$P$63</f>
        <v>56</v>
      </c>
      <c r="F13" s="576" t="s">
        <v>3450</v>
      </c>
      <c r="G13" s="567"/>
      <c r="H13" s="1990"/>
      <c r="I13" s="1982"/>
      <c r="J13" s="1982"/>
      <c r="K13" s="1981">
        <f>'Part V-Revenues &amp; Expenses'!$K$175</f>
        <v>55574</v>
      </c>
      <c r="L13" s="567"/>
      <c r="M13" s="507"/>
    </row>
    <row r="14" spans="1:14" ht="15.75">
      <c r="A14" s="576" t="s">
        <v>2948</v>
      </c>
      <c r="B14" s="567"/>
      <c r="C14" s="1981" t="str">
        <f>'Part VII-Threshold Criteria OLD'!J35</f>
        <v>&lt;&lt; Select PROPOSED Tenancy &gt;&gt;</v>
      </c>
      <c r="D14" s="4737" t="str">
        <f>IF('Part VII-Threshold Criteria OLD'!$N$35=0,"",'Part VII-Threshold Criteria OLD'!$N$35)</f>
        <v/>
      </c>
      <c r="E14" s="4737"/>
      <c r="F14" s="576" t="s">
        <v>2657</v>
      </c>
      <c r="G14" s="567"/>
      <c r="H14" s="4743" t="s">
        <v>3098</v>
      </c>
      <c r="I14" s="4743"/>
      <c r="J14" s="4743"/>
      <c r="K14" s="4743" t="s">
        <v>3098</v>
      </c>
      <c r="L14" s="4743"/>
      <c r="M14" s="507"/>
    </row>
    <row r="15" spans="1:14" ht="15.75">
      <c r="A15" s="576" t="s">
        <v>2658</v>
      </c>
      <c r="B15" s="567"/>
      <c r="C15" s="1983" t="s">
        <v>1646</v>
      </c>
      <c r="D15" s="567"/>
      <c r="E15" s="567"/>
      <c r="F15" s="576" t="s">
        <v>2949</v>
      </c>
      <c r="G15" s="567"/>
      <c r="H15" s="1978" t="str">
        <f>'Part I-Project Identification'!K28</f>
        <v>Urban</v>
      </c>
      <c r="I15" s="567"/>
      <c r="J15" s="567"/>
      <c r="K15" s="567"/>
      <c r="L15" s="567"/>
      <c r="M15" s="507"/>
    </row>
    <row r="16" spans="1:14" ht="15.75">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18174082.920000002</v>
      </c>
      <c r="D18" s="1986">
        <f>IF(C18=0,"",$C$29/C18)</f>
        <v>0.14306086372802793</v>
      </c>
      <c r="E18" s="567" t="s">
        <v>2952</v>
      </c>
      <c r="F18" s="576" t="s">
        <v>6748</v>
      </c>
      <c r="G18" s="567"/>
      <c r="H18" s="4744">
        <f>'Part III-A-Uses of Funds'!$C$49</f>
        <v>11430695</v>
      </c>
      <c r="I18" s="4744"/>
      <c r="J18" s="1987">
        <f>IF(H18=0,"",$C$29/H18)</f>
        <v>0.22745773550952064</v>
      </c>
      <c r="K18" s="4737" t="s">
        <v>2954</v>
      </c>
      <c r="L18" s="4737"/>
      <c r="M18" s="507"/>
    </row>
    <row r="19" spans="1:13" ht="15.75">
      <c r="A19" s="576" t="s">
        <v>2659</v>
      </c>
      <c r="B19" s="567"/>
      <c r="C19" s="1988">
        <f>C18/C13</f>
        <v>324537.19500000001</v>
      </c>
      <c r="D19" s="567"/>
      <c r="E19" s="567"/>
      <c r="F19" s="576" t="s">
        <v>2659</v>
      </c>
      <c r="G19" s="567"/>
      <c r="H19" s="4745">
        <f>H18/C13</f>
        <v>204119.55357142858</v>
      </c>
      <c r="I19" s="4745"/>
      <c r="J19" s="567"/>
      <c r="K19" s="567"/>
      <c r="L19" s="567"/>
      <c r="M19" s="507"/>
    </row>
    <row r="20" spans="1:13" ht="15.75">
      <c r="A20" s="576" t="s">
        <v>2660</v>
      </c>
      <c r="B20" s="567"/>
      <c r="C20" s="1978">
        <f>C18/K13</f>
        <v>327.02492028646492</v>
      </c>
      <c r="D20" s="1989"/>
      <c r="E20" s="1989"/>
      <c r="F20" s="576" t="s">
        <v>2660</v>
      </c>
      <c r="G20" s="567"/>
      <c r="H20" s="4737">
        <f>H18/K13</f>
        <v>205.68422283801777</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BWE Freddie Mac 9% Forward</v>
      </c>
      <c r="C25" s="553">
        <f>'Part II-Sources of Funds'!I40</f>
        <v>2600000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2600000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15094501</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2600000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0.14306086372802793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0.22745773550952064</v>
      </c>
      <c r="D40" s="507"/>
      <c r="E40" s="507"/>
      <c r="F40" s="510"/>
      <c r="G40" s="510" t="s">
        <v>2680</v>
      </c>
      <c r="H40" s="507"/>
      <c r="I40" s="507"/>
      <c r="K40" s="555">
        <f>C30/C18</f>
        <v>0.83055090407830046</v>
      </c>
      <c r="L40" s="507"/>
      <c r="M40" s="507"/>
    </row>
    <row r="46" spans="1:13" ht="15.75">
      <c r="A46" s="550" t="s">
        <v>2681</v>
      </c>
      <c r="B46" s="540"/>
      <c r="C46" s="540"/>
      <c r="D46" s="540"/>
      <c r="E46" s="540"/>
      <c r="F46" s="540"/>
      <c r="G46" s="540"/>
      <c r="H46" s="540"/>
      <c r="I46" s="540"/>
      <c r="J46" s="540"/>
      <c r="K46" s="540"/>
      <c r="L46" s="540"/>
      <c r="M46" s="507"/>
    </row>
    <row r="47" spans="1:13" ht="15.75">
      <c r="A47" s="550" t="str">
        <f>C8</f>
        <v>Peaks of Douglas</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601980</v>
      </c>
      <c r="D52" s="568"/>
      <c r="E52" s="568">
        <f>$C$52</f>
        <v>601980</v>
      </c>
      <c r="F52" s="568"/>
      <c r="G52" s="568">
        <f>$C$52</f>
        <v>601980</v>
      </c>
      <c r="H52" s="568"/>
      <c r="I52" s="568">
        <f>$C$52</f>
        <v>601980</v>
      </c>
      <c r="J52" s="568"/>
      <c r="K52" s="568">
        <f>$C$52</f>
        <v>601980</v>
      </c>
      <c r="L52" s="569"/>
      <c r="M52"/>
      <c r="N52"/>
    </row>
    <row r="53" spans="1:14" s="507" customFormat="1" ht="18.75" customHeight="1">
      <c r="B53" s="567" t="s">
        <v>2688</v>
      </c>
      <c r="C53" s="568">
        <f>'Part VI-Pro Forma'!B16</f>
        <v>12039.6</v>
      </c>
      <c r="D53" s="568"/>
      <c r="E53" s="568">
        <f>$C$53</f>
        <v>12039.6</v>
      </c>
      <c r="F53" s="568"/>
      <c r="G53" s="568">
        <f>$C$53</f>
        <v>12039.6</v>
      </c>
      <c r="H53" s="568"/>
      <c r="I53" s="568">
        <f>$C$53</f>
        <v>12039.6</v>
      </c>
      <c r="J53" s="568"/>
      <c r="K53" s="568">
        <f>$C$53</f>
        <v>12039.6</v>
      </c>
      <c r="L53" s="569"/>
      <c r="M53"/>
      <c r="N53"/>
    </row>
    <row r="54" spans="1:14" s="507" customFormat="1" ht="18.75" customHeight="1">
      <c r="B54" s="567" t="s">
        <v>2686</v>
      </c>
      <c r="C54" s="568">
        <f>'Part VI-Pro Forma'!B17</f>
        <v>-42981.372000000003</v>
      </c>
      <c r="D54" s="568"/>
      <c r="E54" s="568">
        <f>-($C$52+E53)*F50</f>
        <v>-61401.96</v>
      </c>
      <c r="F54" s="570"/>
      <c r="G54" s="568">
        <f>-($C$52+G53)*0.07</f>
        <v>-42981.372000000003</v>
      </c>
      <c r="H54" s="568"/>
      <c r="I54" s="568">
        <f>-($C$52+I53)*0.07</f>
        <v>-42981.372000000003</v>
      </c>
      <c r="J54" s="568"/>
      <c r="K54" s="568">
        <f>-($C$52+K53)*L54</f>
        <v>-61401.96</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571038.228</v>
      </c>
      <c r="D56" s="568"/>
      <c r="E56" s="574">
        <f>SUM(E52:E55)</f>
        <v>552617.64</v>
      </c>
      <c r="F56" s="568"/>
      <c r="G56" s="574">
        <f>SUM(G52:G55)</f>
        <v>571038.228</v>
      </c>
      <c r="H56" s="568"/>
      <c r="I56" s="574">
        <f>SUM(I52:I55)</f>
        <v>571038.228</v>
      </c>
      <c r="J56" s="568"/>
      <c r="K56" s="574">
        <f>SUM(K52:K55)</f>
        <v>552617.64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16228</v>
      </c>
      <c r="D58" s="568"/>
      <c r="E58" s="568">
        <f>$C$58</f>
        <v>16228</v>
      </c>
      <c r="F58" s="568"/>
      <c r="G58" s="568">
        <f>$C$58</f>
        <v>16228</v>
      </c>
      <c r="H58" s="568"/>
      <c r="I58" s="568">
        <f>$C$58</f>
        <v>16228</v>
      </c>
      <c r="J58" s="568"/>
      <c r="K58" s="568">
        <f>$C$58</f>
        <v>16228</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1200</v>
      </c>
      <c r="D60" s="568"/>
      <c r="E60" s="568">
        <f>$C$60</f>
        <v>1200</v>
      </c>
      <c r="F60" s="568"/>
      <c r="G60" s="568">
        <f>$C$60</f>
        <v>1200</v>
      </c>
      <c r="H60" s="568"/>
      <c r="I60" s="568">
        <f>$C$60*(1+$J$50)</f>
        <v>1236</v>
      </c>
      <c r="J60" s="570"/>
      <c r="K60" s="568">
        <f>$C$60*(1+$J$50)</f>
        <v>1236</v>
      </c>
      <c r="L60" s="571">
        <v>0.03</v>
      </c>
      <c r="M60"/>
      <c r="N60"/>
    </row>
    <row r="61" spans="1:14" s="507" customFormat="1" ht="18.75" customHeight="1">
      <c r="B61" s="567" t="s">
        <v>1298</v>
      </c>
      <c r="C61" s="568">
        <f>+'Part V-Revenues &amp; Expenses'!L244</f>
        <v>44800</v>
      </c>
      <c r="D61" s="568"/>
      <c r="E61" s="568">
        <f>$C$61</f>
        <v>44800</v>
      </c>
      <c r="F61" s="568"/>
      <c r="G61" s="568">
        <f>$C$61*(1+H50)</f>
        <v>47040</v>
      </c>
      <c r="H61" s="570"/>
      <c r="I61" s="568">
        <f>$C$61</f>
        <v>44800</v>
      </c>
      <c r="J61" s="568"/>
      <c r="K61" s="568">
        <f>$C$61*(1+$L$61)</f>
        <v>47040</v>
      </c>
      <c r="L61" s="571">
        <v>0.05</v>
      </c>
      <c r="M61"/>
      <c r="N61"/>
    </row>
    <row r="62" spans="1:14" s="507" customFormat="1" ht="18.75" customHeight="1">
      <c r="B62" s="573" t="s">
        <v>2692</v>
      </c>
      <c r="C62" s="574">
        <f>SUM(C58:C61)</f>
        <v>62228</v>
      </c>
      <c r="D62" s="568"/>
      <c r="E62" s="574">
        <f>SUM(E58:E61)</f>
        <v>62228</v>
      </c>
      <c r="F62" s="568"/>
      <c r="G62" s="574">
        <f>SUM(G58:G61)</f>
        <v>64468</v>
      </c>
      <c r="H62" s="568"/>
      <c r="I62" s="574">
        <f>SUM(I58:I61)</f>
        <v>62264</v>
      </c>
      <c r="J62" s="568"/>
      <c r="K62" s="574">
        <f>SUM(K58:K61)</f>
        <v>64504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508810.228</v>
      </c>
      <c r="D64" s="577"/>
      <c r="E64" s="577">
        <f>E56-E62</f>
        <v>490389.64</v>
      </c>
      <c r="F64" s="577"/>
      <c r="G64" s="577">
        <f>G56-G62</f>
        <v>506570.228</v>
      </c>
      <c r="H64" s="577"/>
      <c r="I64" s="577">
        <f>I56-I62</f>
        <v>508774.228</v>
      </c>
      <c r="J64" s="577"/>
      <c r="K64" s="577">
        <f>K56-K62</f>
        <v>488113.64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508810.228</v>
      </c>
      <c r="D70" s="577"/>
      <c r="E70" s="580">
        <f>E64-E66-E68</f>
        <v>490389.64</v>
      </c>
      <c r="F70" s="577"/>
      <c r="G70" s="580">
        <f>G64-G66-G68</f>
        <v>506570.228</v>
      </c>
      <c r="H70" s="577"/>
      <c r="I70" s="580">
        <f>I64-I66-I68</f>
        <v>508774.228</v>
      </c>
      <c r="J70" s="577"/>
      <c r="K70" s="580">
        <f>K64-K66-K68</f>
        <v>488113.64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2.7618384371885676</v>
      </c>
      <c r="D72" s="581"/>
      <c r="E72" s="1004">
        <f>-E70/E75</f>
        <v>2.66185088746106</v>
      </c>
      <c r="F72" s="581"/>
      <c r="G72" s="1004">
        <f>-G70/G75</f>
        <v>2.7496796444622107</v>
      </c>
      <c r="H72" s="581"/>
      <c r="I72" s="1004">
        <f>-I70/I75</f>
        <v>2.7616430280197513</v>
      </c>
      <c r="J72" s="581"/>
      <c r="K72" s="1004">
        <f>-K70/K75</f>
        <v>2.6494966855658868</v>
      </c>
      <c r="L72" s="4"/>
      <c r="M72" s="10"/>
      <c r="N72" s="10"/>
    </row>
    <row r="73" spans="1:14" s="507" customFormat="1" ht="18.75" customHeight="1">
      <c r="A73"/>
      <c r="B73" s="567" t="s">
        <v>2698</v>
      </c>
      <c r="C73" s="1005">
        <f>C76/C62</f>
        <v>5.2160026195647493</v>
      </c>
      <c r="D73" s="582"/>
      <c r="E73" s="1005">
        <f>E76/E62</f>
        <v>4.9199849426347502</v>
      </c>
      <c r="F73" s="582"/>
      <c r="G73" s="1005">
        <f>G76/G62</f>
        <v>5.0000218869869588</v>
      </c>
      <c r="H73" s="582"/>
      <c r="I73" s="1005">
        <f>I76/I62</f>
        <v>5.2124086311556477</v>
      </c>
      <c r="J73" s="582"/>
      <c r="K73" s="1005">
        <f>K76/K62</f>
        <v>4.7111004435426524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-184228.81698972473</v>
      </c>
      <c r="D75" s="568"/>
      <c r="E75" s="568">
        <f>$C$75</f>
        <v>-184228.81698972473</v>
      </c>
      <c r="F75" s="568"/>
      <c r="G75" s="568">
        <f>$C$75</f>
        <v>-184228.81698972473</v>
      </c>
      <c r="H75" s="568"/>
      <c r="I75" s="568">
        <f>$C$75</f>
        <v>-184228.81698972473</v>
      </c>
      <c r="J75" s="568"/>
      <c r="K75" s="568">
        <f>$C$75</f>
        <v>-184228.81698972473</v>
      </c>
      <c r="L75" s="26"/>
      <c r="M75"/>
      <c r="N75"/>
    </row>
    <row r="76" spans="1:14" s="507" customFormat="1" ht="18.75" customHeight="1">
      <c r="A76"/>
      <c r="B76" s="567" t="s">
        <v>1096</v>
      </c>
      <c r="C76" s="568">
        <f>C70+C75</f>
        <v>324581.41101027525</v>
      </c>
      <c r="D76" s="568"/>
      <c r="E76" s="568">
        <f>E70+E75</f>
        <v>306160.82301027526</v>
      </c>
      <c r="F76" s="568"/>
      <c r="G76" s="568">
        <f>G70+G75</f>
        <v>322341.41101027525</v>
      </c>
      <c r="H76" s="568"/>
      <c r="I76" s="568">
        <f>I70+I75</f>
        <v>324545.41101027525</v>
      </c>
      <c r="J76" s="568"/>
      <c r="K76" s="568">
        <f>K70+K75</f>
        <v>303884.82301027526</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Peaks of Douglas</v>
      </c>
    </row>
    <row r="13" spans="1:10" ht="15">
      <c r="A13" s="517"/>
      <c r="D13" s="516" t="s">
        <v>2603</v>
      </c>
      <c r="F13" s="1024" t="str">
        <f>'Sensitivity Analysis'!E8</f>
        <v>2023-0</v>
      </c>
    </row>
    <row r="14" spans="1:10" ht="15">
      <c r="A14" s="517"/>
      <c r="D14" s="516" t="s">
        <v>2604</v>
      </c>
      <c r="F14" s="1024" t="str">
        <f>'Sensitivity Analysis'!H8</f>
        <v>Douglasville, Douglas</v>
      </c>
    </row>
    <row r="15" spans="1:10" ht="15">
      <c r="A15" s="517"/>
      <c r="D15" s="516" t="s">
        <v>2945</v>
      </c>
      <c r="F15" s="4757">
        <f>'Sensitivity Analysis'!$C$25</f>
        <v>2600000</v>
      </c>
      <c r="G15" s="4757"/>
      <c r="H15" s="4757"/>
    </row>
    <row r="16" spans="1:10" ht="15">
      <c r="A16" s="517"/>
      <c r="D16" s="519" t="s">
        <v>2605</v>
      </c>
      <c r="F16" s="520">
        <f>'Sensitivity Analysis'!C13</f>
        <v>56</v>
      </c>
      <c r="G16" s="521" t="s">
        <v>2946</v>
      </c>
      <c r="H16" s="972">
        <f>'Sensitivity Analysis'!E13</f>
        <v>56</v>
      </c>
    </row>
    <row r="17" spans="1:18" ht="15">
      <c r="A17" s="517"/>
      <c r="D17" s="519" t="s">
        <v>2574</v>
      </c>
      <c r="F17" s="520" t="str">
        <f>'Sensitivity Analysis'!C14</f>
        <v>&lt;&lt; Select PROPOSED Tenancy &gt;&gt;</v>
      </c>
    </row>
    <row r="18" spans="1:18" ht="15">
      <c r="A18" s="517"/>
      <c r="D18" s="519" t="s">
        <v>2950</v>
      </c>
      <c r="F18" s="1024" t="str">
        <f>'Sensitivity Analysis'!H15</f>
        <v>Urban</v>
      </c>
    </row>
    <row r="19" spans="1:18" ht="15">
      <c r="A19" s="517"/>
      <c r="D19" s="519" t="s">
        <v>2947</v>
      </c>
      <c r="F19" s="1024">
        <f>'Sensitivity Analysis'!E16</f>
        <v>0</v>
      </c>
    </row>
    <row r="20" spans="1:18" ht="15">
      <c r="A20" s="517"/>
      <c r="D20" s="519"/>
    </row>
    <row r="21" spans="1:18" ht="15">
      <c r="A21" s="522" t="s">
        <v>6153</v>
      </c>
    </row>
    <row r="22" spans="1:18" ht="111.75" customHeight="1">
      <c r="A22" s="4749" t="s">
        <v>3097</v>
      </c>
      <c r="B22" s="4749"/>
      <c r="C22" s="4749"/>
      <c r="D22" s="4749"/>
      <c r="E22" s="4749"/>
      <c r="F22" s="4749"/>
      <c r="G22" s="4749"/>
      <c r="H22" s="4749"/>
      <c r="I22" s="4749"/>
      <c r="J22" s="4749"/>
      <c r="K22" s="4748" t="s">
        <v>3896</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6152</v>
      </c>
    </row>
    <row r="27" spans="1:18" ht="14.25" customHeight="1">
      <c r="A27" s="4751" t="s">
        <v>6154</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6155</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2181</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2606</v>
      </c>
    </row>
    <row r="47" spans="1:10" ht="135" customHeight="1">
      <c r="A47" s="4735" t="s">
        <v>6156</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2607</v>
      </c>
    </row>
    <row r="50" spans="1:12" ht="33" customHeight="1">
      <c r="A50" s="4731" t="s">
        <v>3451</v>
      </c>
      <c r="B50" s="4733"/>
      <c r="C50" s="4733"/>
      <c r="D50" s="4733"/>
      <c r="E50" s="4733"/>
      <c r="F50" s="4733"/>
      <c r="G50" s="4733"/>
      <c r="H50" s="4733"/>
      <c r="I50" s="4733"/>
      <c r="J50" s="4731"/>
    </row>
    <row r="51" spans="1:12" ht="3" customHeight="1"/>
    <row r="52" spans="1:12" ht="72.75" customHeight="1">
      <c r="A52" s="4731" t="s">
        <v>3452</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3453</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3454</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2955</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3455</v>
      </c>
      <c r="B60" s="4731"/>
      <c r="C60" s="4731"/>
      <c r="D60" s="4731"/>
      <c r="E60" s="4731"/>
      <c r="F60" s="4731"/>
      <c r="G60" s="4731"/>
      <c r="H60" s="4731"/>
      <c r="I60" s="4731"/>
      <c r="J60" s="4731"/>
    </row>
    <row r="61" spans="1:12" ht="3" customHeight="1"/>
    <row r="62" spans="1:12" ht="73.5" customHeight="1">
      <c r="A62" s="4731" t="s">
        <v>3456</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2608</v>
      </c>
      <c r="L64" s="523" t="s">
        <v>3089</v>
      </c>
    </row>
    <row r="65" spans="1:17" ht="46.5" customHeight="1">
      <c r="A65" s="4749" t="s">
        <v>2609</v>
      </c>
      <c r="B65" s="4749"/>
      <c r="C65" s="4749"/>
      <c r="D65" s="4749"/>
      <c r="E65" s="4749"/>
      <c r="F65" s="4749"/>
      <c r="G65" s="4749"/>
      <c r="H65" s="4749"/>
      <c r="I65" s="4749"/>
      <c r="J65" s="4749"/>
      <c r="L65" s="524">
        <f>'Closing term sheet'!C135</f>
        <v>513764</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9987001 via the syndication of the 2021 Federal LIHTC allocation of 1135000 per annum. will make a capital contribution totaling 5107500 via the syndication of the 2021 State LIHTC allocation of 1135000 per annum.</v>
      </c>
      <c r="B67" s="4731"/>
      <c r="C67" s="4731"/>
      <c r="D67" s="4731"/>
      <c r="E67" s="4731"/>
      <c r="F67" s="4731"/>
      <c r="G67" s="4731"/>
      <c r="H67" s="4731"/>
      <c r="I67" s="4731"/>
      <c r="J67" s="529"/>
      <c r="L67" s="530">
        <f>'Part II-Sources of Funds'!I51</f>
        <v>9987001</v>
      </c>
      <c r="M67" s="531">
        <f>'Part III-A-Uses of Funds'!$J$191</f>
        <v>1135000</v>
      </c>
      <c r="N67" s="532">
        <f>'Part III-A-Uses of Funds'!N182</f>
        <v>0.88</v>
      </c>
      <c r="O67" s="530">
        <f>'Part II-Sources of Funds'!I52</f>
        <v>5107500</v>
      </c>
      <c r="P67" s="531">
        <f>M67</f>
        <v>1135000</v>
      </c>
      <c r="Q67" s="532">
        <f>'Part III-A-Uses of Funds'!Q182</f>
        <v>0.45</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(0.88 Federal tax credit and 0.45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2610</v>
      </c>
    </row>
    <row r="70" spans="1:17" ht="177" customHeight="1">
      <c r="A70" s="4731" t="s">
        <v>6157</v>
      </c>
      <c r="B70" s="4731"/>
      <c r="C70" s="4731"/>
      <c r="D70" s="4731"/>
      <c r="E70" s="4731"/>
      <c r="F70" s="4731"/>
      <c r="G70" s="4731"/>
      <c r="H70" s="4731"/>
      <c r="I70" s="4731"/>
      <c r="J70" s="4731"/>
      <c r="L70" s="534">
        <f>'Part VI-Pro Forma'!K72</f>
        <v>1784850.9868985536</v>
      </c>
      <c r="M70" s="4756" t="s">
        <v>3096</v>
      </c>
      <c r="N70" s="4748"/>
    </row>
    <row r="71" spans="1:17" ht="6" customHeight="1">
      <c r="A71" s="522"/>
    </row>
    <row r="72" spans="1:17" ht="15">
      <c r="A72" s="522" t="s">
        <v>2611</v>
      </c>
    </row>
    <row r="73" spans="1:17" ht="72.599999999999994" customHeight="1">
      <c r="A73" s="4731" t="s">
        <v>2612</v>
      </c>
      <c r="B73" s="4731"/>
      <c r="C73" s="4731"/>
      <c r="D73" s="4731"/>
      <c r="E73" s="4731"/>
      <c r="F73" s="4731"/>
      <c r="G73" s="4731"/>
      <c r="H73" s="4731"/>
      <c r="I73" s="4731"/>
      <c r="J73" s="4731"/>
    </row>
    <row r="74" spans="1:17" ht="36" customHeight="1">
      <c r="A74" s="4731" t="s">
        <v>2613</v>
      </c>
      <c r="B74" s="4731"/>
      <c r="C74" s="4731"/>
      <c r="D74" s="4731"/>
      <c r="E74" s="4731"/>
      <c r="F74" s="4731"/>
      <c r="G74" s="4731"/>
      <c r="H74" s="4731"/>
      <c r="I74" s="4731"/>
      <c r="J74" s="4731"/>
    </row>
    <row r="75" spans="1:17" ht="6" customHeight="1">
      <c r="A75" s="522"/>
    </row>
    <row r="76" spans="1:17" ht="15">
      <c r="A76" s="522" t="s">
        <v>2614</v>
      </c>
    </row>
    <row r="77" spans="1:17" ht="105.75" customHeight="1">
      <c r="A77" s="4731" t="s">
        <v>2615</v>
      </c>
      <c r="B77" s="4731"/>
      <c r="C77" s="4731"/>
      <c r="D77" s="4731"/>
      <c r="E77" s="4731"/>
      <c r="F77" s="4731"/>
      <c r="G77" s="4731"/>
      <c r="H77" s="4731"/>
      <c r="I77" s="4731"/>
      <c r="J77" s="4731"/>
    </row>
    <row r="78" spans="1:17" ht="6" customHeight="1">
      <c r="A78" s="522"/>
    </row>
    <row r="79" spans="1:17" ht="15">
      <c r="A79" s="522" t="s">
        <v>2616</v>
      </c>
    </row>
    <row r="80" spans="1:17" ht="66" customHeight="1">
      <c r="A80" s="4731" t="s">
        <v>2617</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2618</v>
      </c>
      <c r="B82" s="521"/>
      <c r="C82" s="521"/>
      <c r="D82" s="1024"/>
      <c r="E82" s="521"/>
      <c r="F82" s="521"/>
      <c r="G82" s="521"/>
      <c r="H82" s="521"/>
      <c r="I82" s="521"/>
      <c r="J82" s="535"/>
    </row>
    <row r="83" spans="1:15" s="1251" customFormat="1" ht="63" customHeight="1">
      <c r="A83" s="4731" t="s">
        <v>3658</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2619</v>
      </c>
      <c r="B85" s="4754"/>
      <c r="C85" s="4754"/>
      <c r="D85" s="521"/>
      <c r="E85" s="521"/>
      <c r="F85" s="521"/>
      <c r="G85" s="521"/>
      <c r="H85" s="521"/>
      <c r="I85" s="521"/>
      <c r="J85" s="535"/>
    </row>
    <row r="86" spans="1:15" ht="41.25" customHeight="1">
      <c r="A86" s="4731" t="s">
        <v>6158</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2620</v>
      </c>
    </row>
    <row r="89" spans="1:15" ht="124.15" customHeight="1">
      <c r="A89" s="4731" t="s">
        <v>2621</v>
      </c>
      <c r="B89" s="4731"/>
      <c r="C89" s="4731"/>
      <c r="D89" s="4731"/>
      <c r="E89" s="4731"/>
      <c r="F89" s="4731"/>
      <c r="G89" s="4731"/>
      <c r="H89" s="4731"/>
      <c r="I89" s="4731"/>
      <c r="J89" s="4731"/>
      <c r="L89" s="4748" t="s">
        <v>2622</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31" t="s">
        <v>2624</v>
      </c>
      <c r="B92" s="4731"/>
      <c r="C92" s="4731"/>
      <c r="D92" s="4731"/>
      <c r="E92" s="4731"/>
      <c r="F92" s="4731"/>
      <c r="G92" s="4731"/>
      <c r="H92" s="4731"/>
      <c r="I92" s="4731"/>
      <c r="J92" s="4731"/>
      <c r="L92" s="4748" t="s">
        <v>2625</v>
      </c>
      <c r="M92" s="4748"/>
      <c r="N92" s="537" t="e">
        <f>'After-Tax Analysis'!G66</f>
        <v>#VALUE!</v>
      </c>
      <c r="O92" s="538" t="s">
        <v>2626</v>
      </c>
    </row>
    <row r="93" spans="1:15" ht="6" customHeight="1">
      <c r="A93" s="522"/>
    </row>
    <row r="94" spans="1:15" ht="15">
      <c r="A94" s="522" t="s">
        <v>2627</v>
      </c>
    </row>
    <row r="95" spans="1:15" ht="118.5" customHeight="1">
      <c r="A95" s="4731" t="s">
        <v>2628</v>
      </c>
      <c r="B95" s="4731"/>
      <c r="C95" s="4731"/>
      <c r="D95" s="4731"/>
      <c r="E95" s="4731"/>
      <c r="F95" s="4731"/>
      <c r="G95" s="4731"/>
      <c r="H95" s="4731"/>
      <c r="I95" s="4731"/>
      <c r="J95" s="4731"/>
    </row>
    <row r="96" spans="1:15" ht="20.25" customHeight="1">
      <c r="A96" s="4733" t="s">
        <v>2629</v>
      </c>
      <c r="B96" s="4733"/>
      <c r="C96" s="4733"/>
      <c r="D96" s="4731"/>
      <c r="E96" s="1249"/>
      <c r="F96" s="1249"/>
      <c r="G96" s="1249"/>
      <c r="H96" s="1249"/>
      <c r="I96" s="1249"/>
      <c r="J96" s="1249"/>
    </row>
    <row r="97" spans="1:14" ht="109.5" customHeight="1">
      <c r="A97" s="4760" t="s">
        <v>2630</v>
      </c>
      <c r="B97" s="4761"/>
      <c r="C97" s="4761"/>
      <c r="D97" s="4761"/>
      <c r="E97" s="4761"/>
      <c r="F97" s="4761"/>
      <c r="G97" s="4761"/>
      <c r="H97" s="4761"/>
      <c r="I97" s="4761"/>
      <c r="J97" s="4761"/>
    </row>
    <row r="98" spans="1:14" ht="11.25" customHeight="1">
      <c r="A98" s="522"/>
    </row>
    <row r="99" spans="1:14" ht="15">
      <c r="A99" s="522" t="s">
        <v>2631</v>
      </c>
    </row>
    <row r="100" spans="1:14" ht="110.65" customHeight="1">
      <c r="A100" s="4749" t="s">
        <v>2632</v>
      </c>
      <c r="B100" s="4749"/>
      <c r="C100" s="4749"/>
      <c r="D100" s="4749"/>
      <c r="E100" s="4749"/>
      <c r="F100" s="4749"/>
      <c r="G100" s="4749"/>
      <c r="H100" s="4749"/>
      <c r="I100" s="4749"/>
      <c r="J100" s="4749"/>
      <c r="L100" s="975">
        <f>'Part VI-Pro Forma'!K72</f>
        <v>1784850.9868985536</v>
      </c>
      <c r="M100" s="4752" t="s">
        <v>2633</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2634</v>
      </c>
      <c r="B104" s="4733"/>
      <c r="C104" s="4733"/>
      <c r="D104" s="1249"/>
      <c r="E104" s="1249"/>
      <c r="F104" s="1249"/>
      <c r="G104" s="1249"/>
      <c r="H104" s="1249"/>
      <c r="I104" s="1249"/>
      <c r="J104" s="535"/>
    </row>
    <row r="105" spans="1:14" ht="37.5" customHeight="1">
      <c r="A105" s="4731" t="s">
        <v>2635</v>
      </c>
      <c r="B105" s="4731"/>
      <c r="C105" s="4731"/>
      <c r="D105" s="4731"/>
      <c r="E105" s="4731"/>
      <c r="F105" s="4731"/>
      <c r="G105" s="4731"/>
      <c r="H105" s="4731"/>
      <c r="I105" s="4731"/>
      <c r="J105" s="4731"/>
    </row>
    <row r="106" spans="1:14" ht="6" customHeight="1">
      <c r="A106" s="522"/>
    </row>
    <row r="107" spans="1:14" ht="15">
      <c r="A107" s="522" t="s">
        <v>2636</v>
      </c>
    </row>
    <row r="108" spans="1:14" ht="43.5" customHeight="1">
      <c r="A108" s="4731" t="s">
        <v>2637</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58" t="s">
        <v>6063</v>
      </c>
      <c r="B120" s="4758"/>
      <c r="C120" s="4758"/>
      <c r="D120" s="4758"/>
      <c r="E120" s="4759"/>
      <c r="F120" s="1488" t="s">
        <v>6064</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Peaks of Douglas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2646</v>
      </c>
      <c r="B8" s="510"/>
      <c r="C8" s="4763" t="str">
        <f>'Part I-Project Identification'!F25</f>
        <v>Peaks of Douglas</v>
      </c>
      <c r="D8" s="4763"/>
      <c r="E8" s="1020" t="str">
        <f>'Part I-Project Identification'!O7</f>
        <v>2023-0</v>
      </c>
      <c r="F8" s="510" t="s">
        <v>2647</v>
      </c>
      <c r="G8" s="507"/>
      <c r="H8" s="4763" t="str">
        <f>CONCATENATE('Part I-Project Identification'!F26,", ",'Part I-Project Identification'!J26)</f>
        <v>Douglasville, Douglas</v>
      </c>
      <c r="I8" s="4763"/>
      <c r="J8" s="4763"/>
      <c r="K8" s="4763"/>
      <c r="L8" s="507"/>
      <c r="M8" s="545"/>
    </row>
    <row r="9" spans="1:14" ht="15.75">
      <c r="A9" s="510" t="s">
        <v>2649</v>
      </c>
      <c r="B9" s="510"/>
      <c r="C9" s="4763" t="s">
        <v>1646</v>
      </c>
      <c r="D9" s="4763"/>
      <c r="E9" s="507"/>
      <c r="F9" s="510" t="s">
        <v>2650</v>
      </c>
      <c r="G9" s="507"/>
      <c r="H9" s="4763" t="str">
        <f>'Part II-Development Team'!H6</f>
        <v>(Enter name as it will appear on all legal documents)</v>
      </c>
      <c r="I9" s="4763"/>
      <c r="J9" s="4763"/>
      <c r="K9" s="4763"/>
      <c r="L9" s="4763"/>
      <c r="M9" s="545"/>
    </row>
    <row r="10" spans="1:14" ht="15.75">
      <c r="A10" s="510" t="s">
        <v>2652</v>
      </c>
      <c r="B10" s="507"/>
      <c r="C10" s="1020">
        <f>'Part II-Development Team'!H15</f>
        <v>0</v>
      </c>
      <c r="D10" s="507"/>
      <c r="E10" s="507"/>
      <c r="F10" s="510" t="s">
        <v>3130</v>
      </c>
      <c r="G10" s="507"/>
      <c r="H10" s="4763">
        <f>'Part II-Development Team'!H34</f>
        <v>0</v>
      </c>
      <c r="I10" s="4763"/>
      <c r="J10" s="4763"/>
      <c r="K10" s="4763">
        <f>'Part II-Development Team'!H40</f>
        <v>0</v>
      </c>
      <c r="L10" s="4763"/>
    </row>
    <row r="11" spans="1:14" ht="15.75">
      <c r="A11" s="510" t="s">
        <v>2653</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2654</v>
      </c>
      <c r="B12" s="507"/>
      <c r="C12" s="1020">
        <f>'Part II-Development Team'!H87</f>
        <v>0</v>
      </c>
      <c r="D12" s="507"/>
      <c r="E12" s="507"/>
      <c r="F12" s="510" t="s">
        <v>2655</v>
      </c>
      <c r="G12" s="507"/>
      <c r="H12" s="4763">
        <f>'Part II-Development Team'!H93</f>
        <v>0</v>
      </c>
      <c r="I12" s="4763"/>
      <c r="J12" s="4763"/>
      <c r="K12" s="4763"/>
      <c r="L12" s="507"/>
      <c r="M12" s="507"/>
    </row>
    <row r="13" spans="1:14" ht="15.75">
      <c r="A13" s="510" t="s">
        <v>2656</v>
      </c>
      <c r="B13" s="510"/>
      <c r="C13" s="506">
        <f>'Part V-Revenues &amp; Expenses'!$P$67</f>
        <v>56</v>
      </c>
      <c r="E13" s="970">
        <f>'Part V-Revenues &amp; Expenses'!$P$63</f>
        <v>56</v>
      </c>
      <c r="F13" s="510" t="s">
        <v>3450</v>
      </c>
      <c r="G13" s="507"/>
      <c r="H13" s="1021" t="e">
        <f>'Part I-Project Identification'!#REF!</f>
        <v>#REF!</v>
      </c>
      <c r="I13" s="971"/>
      <c r="J13" s="971"/>
      <c r="K13" s="1021">
        <f>'Part V-Revenues &amp; Expenses'!K175</f>
        <v>55574</v>
      </c>
      <c r="L13" s="507"/>
      <c r="M13" s="507"/>
    </row>
    <row r="14" spans="1:14" ht="15.75">
      <c r="A14" s="510" t="s">
        <v>2948</v>
      </c>
      <c r="B14" s="507"/>
      <c r="C14" s="1021" t="e">
        <f>'Part I-Project Identification'!#REF!</f>
        <v>#REF!</v>
      </c>
      <c r="D14" s="4763" t="e">
        <f>IF('Part V-Revenues &amp; Expenses'!#REF!=0,"",'Part V-Revenues &amp; Expenses'!#REF!)</f>
        <v>#REF!</v>
      </c>
      <c r="E14" s="4763"/>
      <c r="F14" s="510" t="s">
        <v>2657</v>
      </c>
      <c r="G14" s="507"/>
      <c r="H14" s="4743" t="s">
        <v>3098</v>
      </c>
      <c r="I14" s="4743"/>
      <c r="J14" s="4743"/>
      <c r="K14" s="4743" t="s">
        <v>3098</v>
      </c>
      <c r="L14" s="4743"/>
      <c r="M14" s="507"/>
    </row>
    <row r="15" spans="1:14" ht="15.75">
      <c r="A15" s="510" t="s">
        <v>2658</v>
      </c>
      <c r="B15" s="507"/>
      <c r="C15" s="546" t="s">
        <v>1646</v>
      </c>
      <c r="D15" s="507"/>
      <c r="E15" s="507"/>
      <c r="F15" s="510" t="s">
        <v>2949</v>
      </c>
      <c r="G15" s="507"/>
      <c r="H15" s="1020" t="str">
        <f>'Part I-Project Identification'!K28</f>
        <v>Urban</v>
      </c>
      <c r="I15" s="507"/>
      <c r="J15" s="507"/>
      <c r="K15" s="507"/>
      <c r="L15" s="507"/>
      <c r="M15" s="507"/>
    </row>
    <row r="16" spans="1:14" ht="15.75">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18174082.920000002</v>
      </c>
      <c r="D18" s="1003">
        <f>IF(C18=0,"",$C$29/C18)</f>
        <v>0.14306086372802793</v>
      </c>
      <c r="E18" s="507" t="s">
        <v>2952</v>
      </c>
      <c r="F18" s="510" t="s">
        <v>2953</v>
      </c>
      <c r="G18" s="507"/>
      <c r="H18" s="4764">
        <f>'Part III-A-Uses of Funds'!C49</f>
        <v>11430695</v>
      </c>
      <c r="I18" s="4764"/>
      <c r="J18" s="1002">
        <f>IF(H18=0,"",$C$29/H18)</f>
        <v>0.22745773550952064</v>
      </c>
      <c r="K18" s="4763" t="s">
        <v>2954</v>
      </c>
      <c r="L18" s="4763"/>
      <c r="M18" s="507"/>
    </row>
    <row r="19" spans="1:13" ht="15.75">
      <c r="A19" s="510" t="s">
        <v>2659</v>
      </c>
      <c r="B19" s="507"/>
      <c r="C19" s="1022">
        <f>C18/C13</f>
        <v>324537.19500000001</v>
      </c>
      <c r="D19" s="507"/>
      <c r="E19" s="507"/>
      <c r="F19" s="510" t="s">
        <v>2659</v>
      </c>
      <c r="G19" s="507"/>
      <c r="H19" s="4765">
        <f>H18/C13</f>
        <v>204119.55357142858</v>
      </c>
      <c r="I19" s="4765"/>
      <c r="J19" s="507"/>
      <c r="K19" s="507"/>
      <c r="L19" s="507"/>
      <c r="M19" s="507"/>
    </row>
    <row r="20" spans="1:13" ht="15.75">
      <c r="A20" s="510" t="s">
        <v>2660</v>
      </c>
      <c r="B20" s="507"/>
      <c r="C20" s="1020">
        <f>C18/K13</f>
        <v>327.02492028646492</v>
      </c>
      <c r="D20" s="548"/>
      <c r="E20" s="548"/>
      <c r="F20" s="510" t="s">
        <v>2660</v>
      </c>
      <c r="G20" s="507"/>
      <c r="H20" s="4763">
        <f>H18/K13</f>
        <v>205.68422283801777</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BWE Freddie Mac 9% Forward</v>
      </c>
      <c r="C25" s="553">
        <f>'Part II-Sources of Funds'!I40</f>
        <v>2600000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2600000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15094501</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2600000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0.14306086372802793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0.22745773550952064</v>
      </c>
      <c r="D40" s="507"/>
      <c r="E40" s="507"/>
      <c r="F40" s="510"/>
      <c r="G40" s="510" t="s">
        <v>2680</v>
      </c>
      <c r="H40" s="507"/>
      <c r="I40" s="507"/>
      <c r="K40" s="555">
        <f>C30/C18</f>
        <v>0.83055090407830046</v>
      </c>
      <c r="L40" s="507"/>
      <c r="M40" s="507"/>
    </row>
    <row r="46" spans="1:13" ht="15.75">
      <c r="A46" s="550" t="s">
        <v>2681</v>
      </c>
      <c r="B46" s="540"/>
      <c r="C46" s="540"/>
      <c r="D46" s="540"/>
      <c r="E46" s="540"/>
      <c r="F46" s="540"/>
      <c r="G46" s="540"/>
      <c r="H46" s="540"/>
      <c r="I46" s="540"/>
      <c r="J46" s="540"/>
      <c r="K46" s="540"/>
      <c r="L46" s="540"/>
      <c r="M46" s="507"/>
    </row>
    <row r="47" spans="1:13" ht="15.75">
      <c r="A47" s="550" t="str">
        <f>C8</f>
        <v>Peaks of Douglas</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601980</v>
      </c>
      <c r="D52" s="568"/>
      <c r="E52" s="568">
        <f>$C$52</f>
        <v>601980</v>
      </c>
      <c r="F52" s="568"/>
      <c r="G52" s="568">
        <f>$C$52</f>
        <v>601980</v>
      </c>
      <c r="H52" s="568"/>
      <c r="I52" s="568">
        <f>$C$52</f>
        <v>601980</v>
      </c>
      <c r="J52" s="568"/>
      <c r="K52" s="568">
        <f>$C$52</f>
        <v>601980</v>
      </c>
      <c r="L52" s="569"/>
      <c r="M52"/>
      <c r="N52"/>
    </row>
    <row r="53" spans="1:14" s="507" customFormat="1" ht="18.75" customHeight="1">
      <c r="B53" s="567" t="s">
        <v>2688</v>
      </c>
      <c r="C53" s="568">
        <f>'Part VI-Pro Forma'!B16</f>
        <v>12039.6</v>
      </c>
      <c r="D53" s="568"/>
      <c r="E53" s="568">
        <f>$C$53</f>
        <v>12039.6</v>
      </c>
      <c r="F53" s="568"/>
      <c r="G53" s="568">
        <f>$C$53</f>
        <v>12039.6</v>
      </c>
      <c r="H53" s="568"/>
      <c r="I53" s="568">
        <f>$C$53</f>
        <v>12039.6</v>
      </c>
      <c r="J53" s="568"/>
      <c r="K53" s="568">
        <f>$C$53</f>
        <v>12039.6</v>
      </c>
      <c r="L53" s="569"/>
      <c r="M53"/>
      <c r="N53"/>
    </row>
    <row r="54" spans="1:14" s="507" customFormat="1" ht="18.75" customHeight="1">
      <c r="B54" s="567" t="s">
        <v>2686</v>
      </c>
      <c r="C54" s="568">
        <f>'Part VI-Pro Forma'!B17</f>
        <v>-42981.372000000003</v>
      </c>
      <c r="D54" s="568"/>
      <c r="E54" s="568">
        <f>-($C$52+E53)*F50</f>
        <v>-61401.96</v>
      </c>
      <c r="F54" s="570"/>
      <c r="G54" s="568">
        <f>-($C$52+G53)*0.07</f>
        <v>-42981.372000000003</v>
      </c>
      <c r="H54" s="568"/>
      <c r="I54" s="568">
        <f>-($C$52+I53)*0.07</f>
        <v>-42981.372000000003</v>
      </c>
      <c r="J54" s="568"/>
      <c r="K54" s="568">
        <f>-($C$52+K53)*L54</f>
        <v>-61401.96</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571038.228</v>
      </c>
      <c r="D56" s="568"/>
      <c r="E56" s="574">
        <f>SUM(E52:E55)</f>
        <v>552617.64</v>
      </c>
      <c r="F56" s="568"/>
      <c r="G56" s="574">
        <f>SUM(G52:G55)</f>
        <v>571038.228</v>
      </c>
      <c r="H56" s="568"/>
      <c r="I56" s="574">
        <f>SUM(I52:I55)</f>
        <v>571038.228</v>
      </c>
      <c r="J56" s="568"/>
      <c r="K56" s="574">
        <f>SUM(K52:K55)</f>
        <v>552617.64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136261</v>
      </c>
      <c r="D58" s="568"/>
      <c r="E58" s="568">
        <f>$C$58</f>
        <v>136261</v>
      </c>
      <c r="F58" s="568"/>
      <c r="G58" s="568">
        <f>$C$58</f>
        <v>136261</v>
      </c>
      <c r="H58" s="568"/>
      <c r="I58" s="568">
        <f>$C$58</f>
        <v>136261</v>
      </c>
      <c r="J58" s="568"/>
      <c r="K58" s="568">
        <f>$C$58</f>
        <v>136261</v>
      </c>
      <c r="L58" s="569"/>
      <c r="M58"/>
      <c r="N58"/>
    </row>
    <row r="59" spans="1:14" s="507" customFormat="1" ht="18.75" customHeight="1">
      <c r="B59" s="567" t="s">
        <v>2691</v>
      </c>
      <c r="C59" s="568">
        <f>+'Part V-Revenues &amp; Expenses'!F247</f>
        <v>63700</v>
      </c>
      <c r="D59" s="568"/>
      <c r="E59" s="568">
        <f>$C$59</f>
        <v>63700</v>
      </c>
      <c r="F59" s="568"/>
      <c r="G59" s="568">
        <f>$C$59</f>
        <v>63700</v>
      </c>
      <c r="H59" s="568"/>
      <c r="I59" s="568">
        <f>$C$59</f>
        <v>63700</v>
      </c>
      <c r="J59" s="568"/>
      <c r="K59" s="568">
        <f>$C$59*(1+$L$59)</f>
        <v>66248</v>
      </c>
      <c r="L59" s="575">
        <v>0.04</v>
      </c>
      <c r="M59"/>
      <c r="N59"/>
    </row>
    <row r="60" spans="1:14" s="507" customFormat="1" ht="18.75" customHeight="1">
      <c r="B60" s="567" t="s">
        <v>1297</v>
      </c>
      <c r="C60" s="568">
        <f>+'Part V-Revenues &amp; Expenses'!L241</f>
        <v>33600</v>
      </c>
      <c r="D60" s="568"/>
      <c r="E60" s="568">
        <f>$C$60</f>
        <v>33600</v>
      </c>
      <c r="F60" s="568"/>
      <c r="G60" s="568">
        <f>$C$60</f>
        <v>33600</v>
      </c>
      <c r="H60" s="568"/>
      <c r="I60" s="568">
        <f>$C$60*(1+$J$50)</f>
        <v>34608</v>
      </c>
      <c r="J60" s="570"/>
      <c r="K60" s="568">
        <f>$C$60*(1+$J$50)</f>
        <v>34608</v>
      </c>
      <c r="L60" s="571">
        <v>0.03</v>
      </c>
      <c r="M60"/>
      <c r="N60"/>
    </row>
    <row r="61" spans="1:14" s="507" customFormat="1" ht="18.75" customHeight="1">
      <c r="B61" s="567" t="s">
        <v>1298</v>
      </c>
      <c r="C61" s="568">
        <f>+'Part V-Revenues &amp; Expenses'!L247</f>
        <v>72800</v>
      </c>
      <c r="D61" s="568"/>
      <c r="E61" s="568">
        <f>$C$61</f>
        <v>72800</v>
      </c>
      <c r="F61" s="568"/>
      <c r="G61" s="568">
        <f>$C$61*(1+H50)</f>
        <v>76440</v>
      </c>
      <c r="H61" s="570"/>
      <c r="I61" s="568">
        <f>$C$61</f>
        <v>72800</v>
      </c>
      <c r="J61" s="568"/>
      <c r="K61" s="568">
        <f>$C$61*(1+$L$61)</f>
        <v>76440</v>
      </c>
      <c r="L61" s="571">
        <v>0.05</v>
      </c>
      <c r="M61"/>
      <c r="N61"/>
    </row>
    <row r="62" spans="1:14" s="507" customFormat="1" ht="18.75" customHeight="1">
      <c r="B62" s="573" t="s">
        <v>2692</v>
      </c>
      <c r="C62" s="574">
        <f>SUM(C58:C61)</f>
        <v>306361</v>
      </c>
      <c r="D62" s="568"/>
      <c r="E62" s="574">
        <f>SUM(E58:E61)</f>
        <v>306361</v>
      </c>
      <c r="F62" s="568"/>
      <c r="G62" s="574">
        <f>SUM(G58:G61)</f>
        <v>310001</v>
      </c>
      <c r="H62" s="568"/>
      <c r="I62" s="574">
        <f>SUM(I58:I61)</f>
        <v>307369</v>
      </c>
      <c r="J62" s="568"/>
      <c r="K62" s="574">
        <f>SUM(K58:K61)</f>
        <v>313557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264677.228</v>
      </c>
      <c r="D64" s="577"/>
      <c r="E64" s="577">
        <f>E56-E62</f>
        <v>246256.64000000001</v>
      </c>
      <c r="F64" s="577"/>
      <c r="G64" s="577">
        <f>G56-G62</f>
        <v>261037.228</v>
      </c>
      <c r="H64" s="577"/>
      <c r="I64" s="577">
        <f>I56-I62</f>
        <v>263669.228</v>
      </c>
      <c r="J64" s="577"/>
      <c r="K64" s="577">
        <f>K56-K62</f>
        <v>239060.64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14000</v>
      </c>
      <c r="D66" s="568"/>
      <c r="E66" s="568">
        <f>$C$66</f>
        <v>14000</v>
      </c>
      <c r="F66" s="568"/>
      <c r="G66" s="568">
        <f>$C$66</f>
        <v>14000</v>
      </c>
      <c r="H66" s="568"/>
      <c r="I66" s="568">
        <f>$C$66</f>
        <v>14000</v>
      </c>
      <c r="J66" s="568"/>
      <c r="K66" s="568">
        <f>$C$66</f>
        <v>14000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26839</v>
      </c>
      <c r="D68" s="568"/>
      <c r="E68" s="568">
        <f>$C$68</f>
        <v>26839</v>
      </c>
      <c r="F68" s="568"/>
      <c r="G68" s="568">
        <f>$C$68</f>
        <v>26839</v>
      </c>
      <c r="H68" s="568"/>
      <c r="I68" s="568">
        <f>$C$68</f>
        <v>26839</v>
      </c>
      <c r="J68" s="568"/>
      <c r="K68" s="568">
        <f>$C$68</f>
        <v>26839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223838.228</v>
      </c>
      <c r="D70" s="577"/>
      <c r="E70" s="580">
        <f>E64-E66-E68</f>
        <v>205417.64</v>
      </c>
      <c r="F70" s="577"/>
      <c r="G70" s="580">
        <f>G64-G66-G68</f>
        <v>220198.228</v>
      </c>
      <c r="H70" s="577"/>
      <c r="I70" s="580">
        <f>I64-I66-I68</f>
        <v>222830.228</v>
      </c>
      <c r="J70" s="577"/>
      <c r="K70" s="580">
        <f>K64-K66-K68</f>
        <v>198221.64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1.2150011689674176</v>
      </c>
      <c r="D72" s="581"/>
      <c r="E72" s="1004">
        <f>-E70/E75</f>
        <v>1.11501361923991</v>
      </c>
      <c r="F72" s="581"/>
      <c r="G72" s="1004">
        <f>-G70/G75</f>
        <v>1.1952431307870877</v>
      </c>
      <c r="H72" s="581"/>
      <c r="I72" s="1004">
        <f>-I70/I75</f>
        <v>1.2095297122405571</v>
      </c>
      <c r="J72" s="581"/>
      <c r="K72" s="1004">
        <f>-K70/K75</f>
        <v>1.0759534976064886</v>
      </c>
      <c r="L72" s="4"/>
      <c r="M72" s="10"/>
      <c r="N72" s="10"/>
    </row>
    <row r="73" spans="1:14" s="507" customFormat="1" ht="18.75" customHeight="1">
      <c r="A73"/>
      <c r="B73" s="567" t="s">
        <v>2698</v>
      </c>
      <c r="C73" s="1005">
        <f>C76/C62</f>
        <v>0.12928999125304877</v>
      </c>
      <c r="D73" s="582"/>
      <c r="E73" s="1005">
        <f>E76/E62</f>
        <v>6.9162925471177097E-2</v>
      </c>
      <c r="F73" s="582"/>
      <c r="G73" s="1005">
        <f>G76/G62</f>
        <v>0.11602998380739182</v>
      </c>
      <c r="H73" s="582"/>
      <c r="I73" s="1005">
        <f>I76/I62</f>
        <v>0.1255865458464428</v>
      </c>
      <c r="J73" s="582"/>
      <c r="K73" s="1005">
        <f>K76/K62</f>
        <v>4.4626090344898332E-2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-184228.81698972473</v>
      </c>
      <c r="D75" s="568"/>
      <c r="E75" s="568">
        <f>$C$75</f>
        <v>-184228.81698972473</v>
      </c>
      <c r="F75" s="568"/>
      <c r="G75" s="568">
        <f>$C$75</f>
        <v>-184228.81698972473</v>
      </c>
      <c r="H75" s="568"/>
      <c r="I75" s="568">
        <f>$C$75</f>
        <v>-184228.81698972473</v>
      </c>
      <c r="J75" s="568"/>
      <c r="K75" s="568">
        <f>$C$75</f>
        <v>-184228.81698972473</v>
      </c>
      <c r="L75" s="26"/>
      <c r="M75"/>
      <c r="N75"/>
    </row>
    <row r="76" spans="1:14" s="507" customFormat="1" ht="18.75" customHeight="1">
      <c r="A76"/>
      <c r="B76" s="567" t="s">
        <v>1096</v>
      </c>
      <c r="C76" s="568">
        <f>C70+C75</f>
        <v>39609.411010275275</v>
      </c>
      <c r="D76" s="568"/>
      <c r="E76" s="568">
        <f>E70+E75</f>
        <v>21188.823010275286</v>
      </c>
      <c r="F76" s="568"/>
      <c r="G76" s="568">
        <f>G70+G75</f>
        <v>35969.411010275275</v>
      </c>
      <c r="H76" s="568"/>
      <c r="I76" s="568">
        <f>I70+I75</f>
        <v>38601.411010275275</v>
      </c>
      <c r="J76" s="568"/>
      <c r="K76" s="568">
        <f>K70+K75</f>
        <v>13992.823010275286</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3414</v>
      </c>
    </row>
    <row r="3" spans="1:7" ht="3" customHeight="1"/>
    <row r="4" spans="1:7">
      <c r="A4" s="953" t="s">
        <v>3415</v>
      </c>
      <c r="B4" s="954">
        <f>+'Part III-A-Uses of Funds'!$G$146</f>
        <v>18174082.920000002</v>
      </c>
    </row>
    <row r="5" spans="1:7">
      <c r="A5" s="953" t="s">
        <v>3446</v>
      </c>
      <c r="B5" s="954">
        <f>+B18+B26+B38</f>
        <v>1776764.6448921042</v>
      </c>
    </row>
    <row r="6" spans="1:7">
      <c r="A6" s="953" t="s">
        <v>3416</v>
      </c>
      <c r="B6" s="955">
        <f>+B5-B4</f>
        <v>-16397318.275107898</v>
      </c>
    </row>
    <row r="7" spans="1:7">
      <c r="A7" s="953" t="s">
        <v>3417</v>
      </c>
      <c r="B7" s="956">
        <f>+B6/B4</f>
        <v>-0.90223635202319719</v>
      </c>
    </row>
    <row r="8" spans="1:7" ht="9" customHeight="1"/>
    <row r="9" spans="1:7">
      <c r="A9" s="953" t="s">
        <v>3418</v>
      </c>
      <c r="B9" s="954">
        <f>+B18+B26+B33</f>
        <v>1776654.6448921042</v>
      </c>
    </row>
    <row r="10" spans="1:7">
      <c r="A10" s="953" t="s">
        <v>3416</v>
      </c>
      <c r="B10" s="955">
        <f>+B9-B4</f>
        <v>-16397428.275107898</v>
      </c>
    </row>
    <row r="11" spans="1:7">
      <c r="A11" s="953" t="s">
        <v>3417</v>
      </c>
      <c r="B11" s="956">
        <f>+B10/B4</f>
        <v>-0.90224240459820115</v>
      </c>
    </row>
    <row r="12" spans="1:7" ht="24" customHeight="1"/>
    <row r="13" spans="1:7">
      <c r="A13" s="952" t="s">
        <v>3419</v>
      </c>
      <c r="D13" s="1010" t="s">
        <v>3663</v>
      </c>
      <c r="E13" s="1011"/>
    </row>
    <row r="14" spans="1:7">
      <c r="A14" s="953" t="s">
        <v>3420</v>
      </c>
      <c r="B14" s="957">
        <f>+SUM('Part II-Sources of Funds'!L51:M52)</f>
        <v>15095500</v>
      </c>
      <c r="D14" s="1011"/>
      <c r="E14" s="1011"/>
    </row>
    <row r="15" spans="1:7">
      <c r="A15" s="953" t="s">
        <v>3421</v>
      </c>
      <c r="B15" s="958">
        <f>+'Part III-A-Uses of Funds'!J180</f>
        <v>1557397.2920000001</v>
      </c>
      <c r="D15" s="1011" t="s">
        <v>1894</v>
      </c>
      <c r="G15" s="1012">
        <f>'Part III-A-Uses of Funds'!J168</f>
        <v>15264247.17</v>
      </c>
    </row>
    <row r="16" spans="1:7" ht="12.75" customHeight="1">
      <c r="D16" s="1011" t="s">
        <v>3664</v>
      </c>
      <c r="G16" s="1016">
        <v>3.2800000000000003E-2</v>
      </c>
    </row>
    <row r="17" spans="1:7" ht="12.75" customHeight="1">
      <c r="A17" s="953" t="s">
        <v>3422</v>
      </c>
      <c r="B17" s="1015">
        <v>1.45</v>
      </c>
      <c r="D17" s="1011" t="s">
        <v>3665</v>
      </c>
      <c r="G17" s="1017">
        <v>1.45</v>
      </c>
    </row>
    <row r="18" spans="1:7" ht="12.75" customHeight="1">
      <c r="A18" s="953" t="s">
        <v>3423</v>
      </c>
      <c r="B18" s="959">
        <f>+'Part III-A-Uses of Funds'!J190*B17*10</f>
        <v>0</v>
      </c>
      <c r="D18" s="1011" t="s">
        <v>3666</v>
      </c>
      <c r="G18" s="1017">
        <v>3.28</v>
      </c>
    </row>
    <row r="19" spans="1:7" ht="12.75" customHeight="1">
      <c r="D19" s="1011" t="s">
        <v>3667</v>
      </c>
      <c r="G19" s="1013">
        <f>+G15*G16*G17*10</f>
        <v>7259675.9540520003</v>
      </c>
    </row>
    <row r="20" spans="1:7">
      <c r="A20" s="953" t="s">
        <v>3424</v>
      </c>
      <c r="B20" s="957">
        <f>+B18-B14</f>
        <v>-15095500</v>
      </c>
      <c r="D20" s="1011" t="s">
        <v>3668</v>
      </c>
      <c r="G20" s="1014">
        <f>+B14-G19</f>
        <v>7835824.0459479997</v>
      </c>
    </row>
    <row r="21" spans="1:7">
      <c r="A21" s="953" t="s">
        <v>3425</v>
      </c>
      <c r="B21" s="956">
        <f>+B20/B14</f>
        <v>-1</v>
      </c>
      <c r="D21" s="1011" t="s">
        <v>3669</v>
      </c>
      <c r="G21" s="1011" t="str">
        <f>+IF(G20&gt;(B28+B35),"No","Yes")</f>
        <v>No</v>
      </c>
    </row>
    <row r="22" spans="1:7" ht="24" customHeight="1"/>
    <row r="23" spans="1:7">
      <c r="A23" s="952" t="s">
        <v>3426</v>
      </c>
    </row>
    <row r="24" spans="1:7">
      <c r="A24" s="953" t="s">
        <v>3427</v>
      </c>
      <c r="B24" s="960">
        <f>+SUM('Part II-Sources of Funds'!I40:J43)</f>
        <v>2600000</v>
      </c>
    </row>
    <row r="25" spans="1:7">
      <c r="A25" s="953" t="s">
        <v>3428</v>
      </c>
      <c r="B25" s="961">
        <f>IF('Part II-Sources of Funds'!E6="Yes","N/A",MAX(B46:P46))</f>
        <v>-2303.0396769419604</v>
      </c>
    </row>
    <row r="26" spans="1:7">
      <c r="A26" s="953" t="s">
        <v>3429</v>
      </c>
      <c r="B26" s="951">
        <f>IFERROR(PV('Part II-Sources of Funds'!K40,'Part II-Sources of Funds'!L40,B25+B45),B24)</f>
        <v>1776654.6448921042</v>
      </c>
    </row>
    <row r="27" spans="1:7" ht="9" customHeight="1">
      <c r="B27" s="951"/>
    </row>
    <row r="28" spans="1:7">
      <c r="A28" s="953" t="s">
        <v>3430</v>
      </c>
      <c r="B28" s="962">
        <f>+B26-B24</f>
        <v>-823345.3551078958</v>
      </c>
      <c r="C28" s="963"/>
    </row>
    <row r="29" spans="1:7">
      <c r="A29" s="953" t="s">
        <v>3425</v>
      </c>
      <c r="B29" s="964">
        <f>+B28/B24</f>
        <v>-0.31667129042611375</v>
      </c>
    </row>
    <row r="30" spans="1:7" ht="24" customHeight="1"/>
    <row r="31" spans="1:7">
      <c r="A31" s="952" t="s">
        <v>3360</v>
      </c>
    </row>
    <row r="32" spans="1:7">
      <c r="A32" s="953" t="s">
        <v>3431</v>
      </c>
      <c r="B32" s="965">
        <f>+'Part II-Sources of Funds'!I45</f>
        <v>479472</v>
      </c>
    </row>
    <row r="33" spans="1:11">
      <c r="A33" s="953" t="s">
        <v>3432</v>
      </c>
      <c r="B33" s="951"/>
    </row>
    <row r="34" spans="1:11" ht="9" customHeight="1">
      <c r="B34" s="951"/>
    </row>
    <row r="35" spans="1:11">
      <c r="A35" s="953" t="s">
        <v>3433</v>
      </c>
      <c r="B35" s="965">
        <f>+B33-B32</f>
        <v>-479472</v>
      </c>
    </row>
    <row r="36" spans="1:11">
      <c r="A36" s="953" t="s">
        <v>3434</v>
      </c>
      <c r="B36" s="950">
        <f>+B35/B32</f>
        <v>-1</v>
      </c>
    </row>
    <row r="37" spans="1:11" ht="24" customHeight="1">
      <c r="B37" s="951"/>
    </row>
    <row r="38" spans="1:11">
      <c r="A38" s="952" t="s">
        <v>3435</v>
      </c>
      <c r="B38" s="951">
        <f>+SUM('Part II-Sources of Funds'!I44,'Part II-Sources of Funds'!I49,'Part II-Sources of Funds'!I50,'Part II-Sources of Funds'!I53:I59)</f>
        <v>110</v>
      </c>
    </row>
    <row r="39" spans="1:11">
      <c r="B39" s="951"/>
    </row>
    <row r="40" spans="1:11">
      <c r="B40" s="951"/>
    </row>
    <row r="41" spans="1:11">
      <c r="B41" s="951"/>
    </row>
    <row r="42" spans="1:11">
      <c r="A42" s="952" t="s">
        <v>3436</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223838.228</v>
      </c>
      <c r="C44" s="954">
        <f>+'Part VI-Pro Forma'!C25</f>
        <v>225111.16255999991</v>
      </c>
      <c r="D44" s="954">
        <f>+'Part VI-Pro Forma'!D25</f>
        <v>226314.18751119988</v>
      </c>
      <c r="E44" s="954">
        <f>+'Part VI-Pro Forma'!E25</f>
        <v>227441.22141242394</v>
      </c>
      <c r="F44" s="954">
        <f>+'Part VI-Pro Forma'!F25</f>
        <v>228490.01469620259</v>
      </c>
      <c r="G44" s="954">
        <f>+'Part VI-Pro Forma'!G25</f>
        <v>229454.14371132242</v>
      </c>
      <c r="H44" s="954">
        <f>+'Part VI-Pro Forma'!H25</f>
        <v>230329.00456838065</v>
      </c>
      <c r="I44" s="954">
        <f>+'Part VI-Pro Forma'!I25</f>
        <v>231110.80678206487</v>
      </c>
      <c r="J44" s="954">
        <f>+'Part VI-Pro Forma'!J25</f>
        <v>231792.56670369249</v>
      </c>
      <c r="K44" s="954">
        <f>+'Part VI-Pro Forma'!K25</f>
        <v>232370.10073733222</v>
      </c>
    </row>
    <row r="45" spans="1:11">
      <c r="A45" s="953" t="s">
        <v>3437</v>
      </c>
      <c r="B45" s="954">
        <f>SUM('Part VI-Pro Forma'!B26:B29)</f>
        <v>-184228.81698972473</v>
      </c>
      <c r="C45" s="954">
        <f>SUM('Part VI-Pro Forma'!C26:C29)</f>
        <v>-184228.81698972473</v>
      </c>
      <c r="D45" s="954">
        <f>SUM('Part VI-Pro Forma'!D26:D29)</f>
        <v>-184228.81698972473</v>
      </c>
      <c r="E45" s="954">
        <f>SUM('Part VI-Pro Forma'!E26:E29)</f>
        <v>-184228.81698972473</v>
      </c>
      <c r="F45" s="954">
        <f>SUM('Part VI-Pro Forma'!F26:F29)</f>
        <v>-184228.81698972473</v>
      </c>
      <c r="G45" s="954">
        <f>SUM('Part VI-Pro Forma'!G26:G29)</f>
        <v>-184228.81698972473</v>
      </c>
      <c r="H45" s="954">
        <f>SUM('Part VI-Pro Forma'!H26:H29)</f>
        <v>-184228.81698972473</v>
      </c>
      <c r="I45" s="954">
        <f>SUM('Part VI-Pro Forma'!I26:I29)</f>
        <v>-184228.81698972473</v>
      </c>
      <c r="J45" s="954">
        <f>SUM('Part VI-Pro Forma'!J26:J29)</f>
        <v>-184228.81698972473</v>
      </c>
      <c r="K45" s="954">
        <f>SUM('Part VI-Pro Forma'!K26:K29)</f>
        <v>-184228.81698972473</v>
      </c>
    </row>
    <row r="46" spans="1:11">
      <c r="A46" s="953" t="s">
        <v>3438</v>
      </c>
      <c r="B46" s="955">
        <f t="shared" ref="B46:K46" si="0">-B44/B48-B45</f>
        <v>-2303.0396769419604</v>
      </c>
      <c r="C46" s="955">
        <f t="shared" si="0"/>
        <v>-3363.8184769418731</v>
      </c>
      <c r="D46" s="955">
        <f t="shared" si="0"/>
        <v>-4366.3392696085211</v>
      </c>
      <c r="E46" s="955">
        <f t="shared" si="0"/>
        <v>-5305.5341872952413</v>
      </c>
      <c r="F46" s="955">
        <f t="shared" si="0"/>
        <v>-6179.5285904440971</v>
      </c>
      <c r="G46" s="955">
        <f t="shared" si="0"/>
        <v>-6982.9694363772869</v>
      </c>
      <c r="H46" s="955">
        <f t="shared" si="0"/>
        <v>-7712.0201505924924</v>
      </c>
      <c r="I46" s="955">
        <f t="shared" si="0"/>
        <v>-8363.5219953293272</v>
      </c>
      <c r="J46" s="955">
        <f t="shared" si="0"/>
        <v>-8931.6552633523534</v>
      </c>
      <c r="K46" s="955">
        <f t="shared" si="0"/>
        <v>-9412.9336247188039</v>
      </c>
    </row>
    <row r="48" spans="1:11">
      <c r="A48" s="953" t="s">
        <v>3439</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223838.228</v>
      </c>
      <c r="C51" s="955">
        <f t="shared" ref="C51:K51" si="2">+C44</f>
        <v>225111.16255999991</v>
      </c>
      <c r="D51" s="955">
        <f t="shared" si="2"/>
        <v>226314.18751119988</v>
      </c>
      <c r="E51" s="955">
        <f t="shared" si="2"/>
        <v>227441.22141242394</v>
      </c>
      <c r="F51" s="955">
        <f t="shared" si="2"/>
        <v>228490.01469620259</v>
      </c>
      <c r="G51" s="955">
        <f t="shared" si="2"/>
        <v>229454.14371132242</v>
      </c>
      <c r="H51" s="955">
        <f t="shared" si="2"/>
        <v>230329.00456838065</v>
      </c>
      <c r="I51" s="955">
        <f t="shared" si="2"/>
        <v>231110.80678206487</v>
      </c>
      <c r="J51" s="955">
        <f t="shared" si="2"/>
        <v>231792.56670369249</v>
      </c>
      <c r="K51" s="955">
        <f t="shared" si="2"/>
        <v>232370.10073733222</v>
      </c>
    </row>
    <row r="52" spans="1:17">
      <c r="A52" s="953" t="s">
        <v>3440</v>
      </c>
      <c r="B52" s="955">
        <f>IF($B$25="N/A",B45,B45+$B$25)</f>
        <v>-186531.85666666669</v>
      </c>
      <c r="C52" s="955">
        <f t="shared" ref="C52:K52" si="3">IF($B$25="N/A",C45,C45+$B$25)</f>
        <v>-186531.85666666669</v>
      </c>
      <c r="D52" s="955">
        <f t="shared" si="3"/>
        <v>-186531.85666666669</v>
      </c>
      <c r="E52" s="955">
        <f t="shared" si="3"/>
        <v>-186531.85666666669</v>
      </c>
      <c r="F52" s="955">
        <f t="shared" si="3"/>
        <v>-186531.85666666669</v>
      </c>
      <c r="G52" s="955">
        <f t="shared" si="3"/>
        <v>-186531.85666666669</v>
      </c>
      <c r="H52" s="955">
        <f t="shared" si="3"/>
        <v>-186531.85666666669</v>
      </c>
      <c r="I52" s="955">
        <f t="shared" si="3"/>
        <v>-186531.85666666669</v>
      </c>
      <c r="J52" s="955">
        <f t="shared" si="3"/>
        <v>-186531.85666666669</v>
      </c>
      <c r="K52" s="955">
        <f t="shared" si="3"/>
        <v>-186531.85666666669</v>
      </c>
    </row>
    <row r="53" spans="1:17">
      <c r="A53" s="953" t="s">
        <v>3441</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3442</v>
      </c>
      <c r="B54" s="955">
        <f>+SUM(B51:B53)</f>
        <v>32306.371333333314</v>
      </c>
      <c r="C54" s="955">
        <f t="shared" ref="C54:K54" si="4">+SUM(C51:C53)</f>
        <v>33579.305893333221</v>
      </c>
      <c r="D54" s="955">
        <f t="shared" si="4"/>
        <v>34782.330844533193</v>
      </c>
      <c r="E54" s="955">
        <f t="shared" si="4"/>
        <v>35909.364745757252</v>
      </c>
      <c r="F54" s="955">
        <f t="shared" si="4"/>
        <v>36958.158029535902</v>
      </c>
      <c r="G54" s="955">
        <f t="shared" si="4"/>
        <v>37922.287044655735</v>
      </c>
      <c r="H54" s="955">
        <f t="shared" si="4"/>
        <v>38797.147901713965</v>
      </c>
      <c r="I54" s="955">
        <f t="shared" si="4"/>
        <v>39578.950115398184</v>
      </c>
      <c r="J54" s="955">
        <f t="shared" si="4"/>
        <v>40260.710037025798</v>
      </c>
      <c r="K54" s="955">
        <f t="shared" si="4"/>
        <v>40838.244070665532</v>
      </c>
    </row>
    <row r="55" spans="1:17">
      <c r="A55" s="953" t="s">
        <v>3360</v>
      </c>
      <c r="B55" s="955">
        <f>-B54</f>
        <v>-32306.371333333314</v>
      </c>
      <c r="C55" s="955">
        <f t="shared" ref="C55:K55" si="5">-C54</f>
        <v>-33579.305893333221</v>
      </c>
      <c r="D55" s="955">
        <f t="shared" si="5"/>
        <v>-34782.330844533193</v>
      </c>
      <c r="E55" s="955">
        <f t="shared" si="5"/>
        <v>-35909.364745757252</v>
      </c>
      <c r="F55" s="955">
        <f t="shared" si="5"/>
        <v>-36958.158029535902</v>
      </c>
      <c r="G55" s="955">
        <f t="shared" si="5"/>
        <v>-37922.287044655735</v>
      </c>
      <c r="H55" s="955">
        <f t="shared" si="5"/>
        <v>-38797.147901713965</v>
      </c>
      <c r="I55" s="955">
        <f t="shared" si="5"/>
        <v>-39578.950115398184</v>
      </c>
      <c r="J55" s="955">
        <f t="shared" si="5"/>
        <v>-40260.710037025798</v>
      </c>
      <c r="K55" s="955">
        <f t="shared" si="5"/>
        <v>-40838.244070665532</v>
      </c>
    </row>
    <row r="56" spans="1:17">
      <c r="A56" s="953" t="s">
        <v>3443</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3444</v>
      </c>
      <c r="B58" s="954">
        <f>IF($B$26="","",-FV('Part II-Sources of Funds'!$K$40/12,12,B52/12,B26))</f>
        <v>1699859.7336730172</v>
      </c>
      <c r="C58" s="954">
        <f>IF($B$26="","",-FV('Part II-Sources of Funds'!$K$40/12,12,C52/12,B58))</f>
        <v>1618084.5696396693</v>
      </c>
      <c r="D58" s="954">
        <f>IF($B$26="","",-FV('Part II-Sources of Funds'!$K$40/12,12,D52/12,C58))</f>
        <v>1531006.1767289303</v>
      </c>
      <c r="E58" s="954">
        <f>IF($B$26="","",-FV('Part II-Sources of Funds'!$K$40/12,12,E52/12,D58))</f>
        <v>1438280.6334475398</v>
      </c>
      <c r="F58" s="954">
        <f>IF($B$26="","",-FV('Part II-Sources of Funds'!$K$40/12,12,F52/12,E58))</f>
        <v>1339541.7145329178</v>
      </c>
      <c r="G58" s="954">
        <f>IF($B$26="","",-FV('Part II-Sources of Funds'!$K$40/12,12,G52/12,F58))</f>
        <v>1234399.4445238628</v>
      </c>
      <c r="H58" s="954">
        <f>IF($B$26="","",-FV('Part II-Sources of Funds'!$K$40/12,12,H52/12,G58))</f>
        <v>1122438.5575283708</v>
      </c>
      <c r="I58" s="954">
        <f>IF($B$26="","",-FV('Part II-Sources of Funds'!$K$40/12,12,I52/12,H58))</f>
        <v>1003216.8571053364</v>
      </c>
      <c r="J58" s="954">
        <f>IF($B$26="","",-FV('Part II-Sources of Funds'!$K$40/12,12,J52/12,I58))</f>
        <v>876263.46978238644</v>
      </c>
      <c r="K58" s="954">
        <f>IF($B$26="","",-FV('Part II-Sources of Funds'!$K$40/12,12,K52/12,J58))</f>
        <v>741076.9853120055</v>
      </c>
    </row>
    <row r="59" spans="1:17">
      <c r="A59" s="953" t="s">
        <v>3361</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3436</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232838.01833263168</v>
      </c>
      <c r="C64" s="954">
        <f>+'Part VI-Pro Forma'!C57</f>
        <v>233188.71474725351</v>
      </c>
      <c r="D64" s="954">
        <f>+'Part VI-Pro Forma'!D57</f>
        <v>233418.36357160719</v>
      </c>
      <c r="E64" s="954">
        <f>+'Part VI-Pro Forma'!E57</f>
        <v>233518.90900833011</v>
      </c>
      <c r="F64" s="954">
        <f>+'Part VI-Pro Forma'!F57</f>
        <v>233485.0578987461</v>
      </c>
      <c r="G64" s="954">
        <f>+'Part VI-Pro Forma'!G57</f>
        <v>233309.27148827777</v>
      </c>
      <c r="H64" s="954">
        <f>+'Part VI-Pro Forma'!H57</f>
        <v>232983.75692254718</v>
      </c>
      <c r="I64" s="954">
        <f>+'Part VI-Pro Forma'!I57</f>
        <v>232502.45846563691</v>
      </c>
      <c r="J64" s="954">
        <f>+'Part VI-Pro Forma'!J57</f>
        <v>231858.04843172739</v>
      </c>
      <c r="K64" s="954">
        <f>+'Part VI-Pro Forma'!K57</f>
        <v>231040.91782104326</v>
      </c>
    </row>
    <row r="65" spans="1:11">
      <c r="A65" s="953" t="s">
        <v>3437</v>
      </c>
      <c r="B65" s="954">
        <f>SUM('Part VI-Pro Forma'!B58:B61)</f>
        <v>-184228.81698972473</v>
      </c>
      <c r="C65" s="954">
        <f>SUM('Part VI-Pro Forma'!C58:C61)</f>
        <v>-184228.81698972473</v>
      </c>
      <c r="D65" s="954">
        <f>SUM('Part VI-Pro Forma'!D58:D61)</f>
        <v>-184228.81698972473</v>
      </c>
      <c r="E65" s="954">
        <f>SUM('Part VI-Pro Forma'!E58:E61)</f>
        <v>-184228.81698972473</v>
      </c>
      <c r="F65" s="954">
        <f>SUM('Part VI-Pro Forma'!F58:F61)</f>
        <v>-184228.81698972473</v>
      </c>
      <c r="G65" s="954">
        <f>SUM('Part VI-Pro Forma'!G58:G61)</f>
        <v>-184228.81698972473</v>
      </c>
      <c r="H65" s="954">
        <f>SUM('Part VI-Pro Forma'!H58:H61)</f>
        <v>-184228.81698972473</v>
      </c>
      <c r="I65" s="954">
        <f>SUM('Part VI-Pro Forma'!I58:I61)</f>
        <v>-184228.81698972473</v>
      </c>
      <c r="J65" s="954">
        <f>SUM('Part VI-Pro Forma'!J58:J61)</f>
        <v>-184228.81698972473</v>
      </c>
      <c r="K65" s="954">
        <f>SUM('Part VI-Pro Forma'!K58:K61)</f>
        <v>-184228.81698972473</v>
      </c>
    </row>
    <row r="66" spans="1:11">
      <c r="A66" s="953" t="s">
        <v>3438</v>
      </c>
      <c r="B66" s="955">
        <f t="shared" ref="B66:K66" si="7">-B64/B68-B65</f>
        <v>-9802.8649541350023</v>
      </c>
      <c r="C66" s="955">
        <f t="shared" si="7"/>
        <v>-10095.111966319877</v>
      </c>
      <c r="D66" s="955">
        <f t="shared" si="7"/>
        <v>-10286.4859866146</v>
      </c>
      <c r="E66" s="955">
        <f t="shared" si="7"/>
        <v>-10370.27385055038</v>
      </c>
      <c r="F66" s="955">
        <f t="shared" si="7"/>
        <v>-10342.064592563693</v>
      </c>
      <c r="G66" s="955">
        <f t="shared" si="7"/>
        <v>-10195.57591717341</v>
      </c>
      <c r="H66" s="955">
        <f t="shared" si="7"/>
        <v>-9924.3137790645997</v>
      </c>
      <c r="I66" s="955">
        <f t="shared" si="7"/>
        <v>-9523.2317316393601</v>
      </c>
      <c r="J66" s="955">
        <f t="shared" si="7"/>
        <v>-8986.2233700481011</v>
      </c>
      <c r="K66" s="955">
        <f t="shared" si="7"/>
        <v>-8305.2811944779824</v>
      </c>
    </row>
    <row r="68" spans="1:11">
      <c r="A68" s="953" t="s">
        <v>3439</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232838.01833263168</v>
      </c>
      <c r="C71" s="955">
        <f t="shared" si="9"/>
        <v>233188.71474725351</v>
      </c>
      <c r="D71" s="955">
        <f t="shared" si="9"/>
        <v>233418.36357160719</v>
      </c>
      <c r="E71" s="955">
        <f t="shared" si="9"/>
        <v>233518.90900833011</v>
      </c>
      <c r="F71" s="955">
        <f t="shared" si="9"/>
        <v>233485.0578987461</v>
      </c>
      <c r="G71" s="955">
        <f t="shared" si="9"/>
        <v>233309.27148827777</v>
      </c>
      <c r="H71" s="955">
        <f>+H64</f>
        <v>232983.75692254718</v>
      </c>
      <c r="I71" s="955">
        <f>+I64</f>
        <v>232502.45846563691</v>
      </c>
      <c r="J71" s="955">
        <f>+J64</f>
        <v>231858.04843172739</v>
      </c>
      <c r="K71" s="955">
        <f>+K64</f>
        <v>231040.91782104326</v>
      </c>
    </row>
    <row r="72" spans="1:11">
      <c r="A72" s="953" t="s">
        <v>3440</v>
      </c>
      <c r="B72" s="955">
        <f t="shared" ref="B72:G72" si="10">IF($B$25="N/A",B65,B65+$B$25)</f>
        <v>-186531.85666666669</v>
      </c>
      <c r="C72" s="955">
        <f t="shared" si="10"/>
        <v>-186531.85666666669</v>
      </c>
      <c r="D72" s="955">
        <f t="shared" si="10"/>
        <v>-186531.85666666669</v>
      </c>
      <c r="E72" s="955">
        <f t="shared" si="10"/>
        <v>-186531.85666666669</v>
      </c>
      <c r="F72" s="955">
        <f t="shared" si="10"/>
        <v>-186531.85666666669</v>
      </c>
      <c r="G72" s="955">
        <f t="shared" si="10"/>
        <v>-186531.85666666669</v>
      </c>
      <c r="H72" s="955">
        <f>IF($B$25="N/A",H65,H65+$B$25)</f>
        <v>-186531.85666666669</v>
      </c>
      <c r="I72" s="955">
        <f>IF($B$25="N/A",I65,I65+$B$25)</f>
        <v>-186531.85666666669</v>
      </c>
      <c r="J72" s="955">
        <f>IF($B$25="N/A",J65,J65+$B$25)</f>
        <v>-186531.85666666669</v>
      </c>
      <c r="K72" s="955">
        <f>IF($B$25="N/A",K65,K65+$B$25)</f>
        <v>-186531.85666666669</v>
      </c>
    </row>
    <row r="73" spans="1:11">
      <c r="A73" s="953" t="s">
        <v>3441</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3442</v>
      </c>
      <c r="B74" s="955">
        <f t="shared" ref="B74:G74" si="11">+SUM(B71:B73)</f>
        <v>41306.161665964988</v>
      </c>
      <c r="C74" s="955">
        <f t="shared" si="11"/>
        <v>41656.858080586826</v>
      </c>
      <c r="D74" s="955">
        <f t="shared" si="11"/>
        <v>41886.506904940499</v>
      </c>
      <c r="E74" s="955">
        <f t="shared" si="11"/>
        <v>41987.052341663424</v>
      </c>
      <c r="F74" s="955">
        <f t="shared" si="11"/>
        <v>41953.201232079417</v>
      </c>
      <c r="G74" s="955">
        <f t="shared" si="11"/>
        <v>41777.414821611077</v>
      </c>
      <c r="H74" s="955">
        <f>+SUM(H71:H73)</f>
        <v>41451.900255880493</v>
      </c>
      <c r="I74" s="955">
        <f>+SUM(I71:I73)</f>
        <v>40970.601798970223</v>
      </c>
      <c r="J74" s="955">
        <f>+SUM(J71:J73)</f>
        <v>40326.191765060707</v>
      </c>
      <c r="K74" s="955">
        <f>+SUM(K71:K73)</f>
        <v>39509.06115437657</v>
      </c>
    </row>
    <row r="75" spans="1:11">
      <c r="A75" s="953" t="s">
        <v>3360</v>
      </c>
      <c r="B75" s="955">
        <f t="shared" ref="B75:G75" si="12">-B74</f>
        <v>-41306.161665964988</v>
      </c>
      <c r="C75" s="955">
        <f t="shared" si="12"/>
        <v>-41656.858080586826</v>
      </c>
      <c r="D75" s="955">
        <f t="shared" si="12"/>
        <v>-41886.506904940499</v>
      </c>
      <c r="E75" s="955">
        <f t="shared" si="12"/>
        <v>-41987.052341663424</v>
      </c>
      <c r="F75" s="955">
        <f t="shared" si="12"/>
        <v>-41953.201232079417</v>
      </c>
      <c r="G75" s="955">
        <f t="shared" si="12"/>
        <v>-41777.414821611077</v>
      </c>
      <c r="H75" s="955">
        <f>-H74</f>
        <v>-41451.900255880493</v>
      </c>
      <c r="I75" s="955">
        <f>-I74</f>
        <v>-40970.601798970223</v>
      </c>
      <c r="J75" s="955">
        <f>-J74</f>
        <v>-40326.191765060707</v>
      </c>
      <c r="K75" s="955">
        <f>-K74</f>
        <v>-39509.06115437657</v>
      </c>
    </row>
    <row r="76" spans="1:11">
      <c r="A76" s="953" t="s">
        <v>3443</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3444</v>
      </c>
      <c r="B78" s="954">
        <f>IF($B$26="","",-FV('Part II-Sources of Funds'!$K$40/12,12,B72/12,K58))</f>
        <v>597123.47632078198</v>
      </c>
      <c r="C78" s="954">
        <f>IF($B$26="","",-FV('Part II-Sources of Funds'!$K$40/12,12,C72/12,B78))</f>
        <v>443834.38953025622</v>
      </c>
      <c r="D78" s="954">
        <f>IF($B$26="","",-FV('Part II-Sources of Funds'!$K$40/12,12,D72/12,C78))</f>
        <v>280604.30022061733</v>
      </c>
      <c r="E78" s="954">
        <f>IF($B$26="","",-FV('Part II-Sources of Funds'!$K$40/12,12,E72/12,D78))</f>
        <v>106788.52106836351</v>
      </c>
      <c r="F78" s="954">
        <f>IF($B$26="","",-FV('Part II-Sources of Funds'!$K$40/12,12,F72/12,E78))</f>
        <v>-78299.444086116317</v>
      </c>
      <c r="G78" s="954">
        <f>IF($B$26="","",-FV('Part II-Sources of Funds'!$K$40/12,12,G72/12,F78))</f>
        <v>-275390.61159754265</v>
      </c>
      <c r="H78" s="954">
        <f>IF($B$26="","",-FV('Part II-Sources of Funds'!$K$40/12,12,H72/12,G78))</f>
        <v>-485263.40521000687</v>
      </c>
      <c r="I78" s="954">
        <f>IF($B$26="","",-FV('Part II-Sources of Funds'!$K$40/12,12,I72/12,H78))</f>
        <v>-708746.73048964632</v>
      </c>
      <c r="J78" s="954">
        <f>IF($B$26="","",-FV('Part II-Sources of Funds'!$K$40/12,12,J72/12,I78))</f>
        <v>-946723.24863839475</v>
      </c>
      <c r="K78" s="954">
        <f>IF($B$26="","",-FV('Part II-Sources of Funds'!$K$40/12,12,K72/12,J78))</f>
        <v>-1200132.8626189381</v>
      </c>
    </row>
    <row r="79" spans="1:11">
      <c r="A79" s="953" t="s">
        <v>3361</v>
      </c>
    </row>
    <row r="82" spans="1:2">
      <c r="A82" s="953" t="s">
        <v>3445</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Peaks of Douglas</v>
      </c>
    </row>
    <row r="2" spans="1:15" ht="13.5" customHeight="1"/>
    <row r="3" spans="1:15" ht="13.5" customHeight="1">
      <c r="A3" s="517" t="s">
        <v>2705</v>
      </c>
      <c r="C3" s="516" t="s">
        <v>2706</v>
      </c>
      <c r="E3" s="586">
        <f>SUM('Part III-A-Uses of Funds'!J162,'Part III-A-Uses of Funds'!M162,'Part III-A-Uses of Funds'!P162)</f>
        <v>15264247.17</v>
      </c>
      <c r="F3" s="1024" t="s">
        <v>2707</v>
      </c>
      <c r="H3" s="1006">
        <v>27.5</v>
      </c>
      <c r="I3" s="516" t="s">
        <v>2272</v>
      </c>
      <c r="K3" s="521" t="s">
        <v>2728</v>
      </c>
      <c r="M3" s="1024"/>
      <c r="O3" s="587"/>
    </row>
    <row r="4" spans="1:15" ht="13.5" customHeight="1">
      <c r="C4" s="516" t="s">
        <v>3126</v>
      </c>
      <c r="E4" s="586">
        <f>SUM('Part III-A-Uses of Funds'!G97:H101)</f>
        <v>49000</v>
      </c>
      <c r="F4" s="1024" t="s">
        <v>3660</v>
      </c>
      <c r="H4" s="517">
        <f>'Part II-Sources of Funds'!M40</f>
        <v>35</v>
      </c>
      <c r="I4" s="516" t="s">
        <v>2272</v>
      </c>
      <c r="K4" s="588" t="s">
        <v>2956</v>
      </c>
      <c r="M4" s="1024"/>
    </row>
    <row r="5" spans="1:15" ht="13.5" customHeight="1">
      <c r="C5" s="516" t="s">
        <v>3127</v>
      </c>
      <c r="E5" s="586">
        <f>SUM('Part III-A-Uses of Funds'!G105:H111)</f>
        <v>167800</v>
      </c>
      <c r="F5" s="1024" t="s">
        <v>3659</v>
      </c>
      <c r="H5" s="1006">
        <v>15</v>
      </c>
      <c r="I5" s="516" t="s">
        <v>2272</v>
      </c>
      <c r="K5" s="587">
        <f>-E6</f>
        <v>-15094501</v>
      </c>
    </row>
    <row r="6" spans="1:15" ht="13.5" customHeight="1">
      <c r="C6" s="516" t="s">
        <v>2708</v>
      </c>
      <c r="E6" s="589">
        <f>'Part II-Sources of Funds'!$I$51+'Part II-Sources of Funds'!$I$52</f>
        <v>15094501</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0.41101027527474798</v>
      </c>
      <c r="D9" s="594">
        <f>'Part VI-Pro Forma'!C33</f>
        <v>0.3455702751816716</v>
      </c>
      <c r="E9" s="594">
        <f>'Part VI-Pro Forma'!D33</f>
        <v>0.37052147515350953</v>
      </c>
      <c r="F9" s="594">
        <f>'Part VI-Pro Forma'!E33</f>
        <v>0.4044226992118638</v>
      </c>
      <c r="G9" s="594">
        <f>'Part VI-Pro Forma'!F33</f>
        <v>0.19770647786208428</v>
      </c>
      <c r="H9" s="594">
        <f>'Part VI-Pro Forma'!G33</f>
        <v>0.32672159769572318</v>
      </c>
      <c r="I9" s="594">
        <f>'Part VI-Pro Forma'!H33</f>
        <v>0.18757865592488088</v>
      </c>
      <c r="K9" s="587" t="e">
        <f>F24</f>
        <v>#VALUE!</v>
      </c>
      <c r="N9" s="595" t="s">
        <v>2714</v>
      </c>
    </row>
    <row r="10" spans="1:15" ht="13.5" customHeight="1">
      <c r="A10" s="516" t="s">
        <v>2713</v>
      </c>
      <c r="C10" s="978">
        <f>'Part II-Sources of Funds'!I40-'Part VI-Pro Forma'!B40</f>
        <v>21029.144987171981</v>
      </c>
      <c r="D10" s="596">
        <f>'Part VI-Pro Forma'!B40-'Part VI-Pro Forma'!C40</f>
        <v>22392.913195785135</v>
      </c>
      <c r="E10" s="596">
        <f>'Part VI-Pro Forma'!C40-'Part VI-Pro Forma'!D40</f>
        <v>23845.12359869387</v>
      </c>
      <c r="F10" s="596">
        <f>'Part VI-Pro Forma'!D40-'Part VI-Pro Forma'!E40</f>
        <v>25391.511790614575</v>
      </c>
      <c r="G10" s="596">
        <f>'Part VI-Pro Forma'!E40-'Part VI-Pro Forma'!F40</f>
        <v>27038.185327260755</v>
      </c>
      <c r="H10" s="596">
        <f>'Part VI-Pro Forma'!F40-'Part VI-Pro Forma'!G40</f>
        <v>28791.647847510874</v>
      </c>
      <c r="I10" s="596">
        <f>'Part VI-Pro Forma'!G40-'Part VI-Pro Forma'!H40</f>
        <v>30658.824759932701</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-14000</v>
      </c>
      <c r="D13" s="979">
        <f>'Part VI-Pro Forma'!C23</f>
        <v>-14420</v>
      </c>
      <c r="E13" s="979">
        <f>'Part VI-Pro Forma'!D23</f>
        <v>-14852.599999999999</v>
      </c>
      <c r="F13" s="979">
        <f>'Part VI-Pro Forma'!E23</f>
        <v>-15298.178</v>
      </c>
      <c r="G13" s="979">
        <f>'Part VI-Pro Forma'!F23</f>
        <v>-15757.123339999998</v>
      </c>
      <c r="H13" s="979">
        <f>'Part VI-Pro Forma'!G23</f>
        <v>-16229.837040199998</v>
      </c>
      <c r="I13" s="979">
        <f>'Part VI-Pro Forma'!H23</f>
        <v>-16716.732151405999</v>
      </c>
      <c r="K13" s="587" t="e">
        <f>C44</f>
        <v>#VALUE!</v>
      </c>
      <c r="O13" s="592"/>
    </row>
    <row r="14" spans="1:15" ht="13.5" customHeight="1">
      <c r="A14" s="598" t="s">
        <v>3129</v>
      </c>
      <c r="B14" s="598"/>
      <c r="C14" s="979">
        <f>'Part VI-Pro Forma'!B32</f>
        <v>-34609</v>
      </c>
      <c r="D14" s="979">
        <f>'Part VI-Pro Forma'!C32</f>
        <v>-35882</v>
      </c>
      <c r="E14" s="979">
        <f>'Part VI-Pro Forma'!D32</f>
        <v>-37085</v>
      </c>
      <c r="F14" s="979">
        <f>'Part VI-Pro Forma'!E32</f>
        <v>-38212</v>
      </c>
      <c r="G14" s="979">
        <f>'Part VI-Pro Forma'!F32</f>
        <v>-39261</v>
      </c>
      <c r="H14" s="979">
        <f>'Part VI-Pro Forma'!G32</f>
        <v>-40225</v>
      </c>
      <c r="I14" s="979">
        <f>'Part VI-Pro Forma'!H32</f>
        <v>-41100</v>
      </c>
      <c r="K14" s="587" t="e">
        <f>D44</f>
        <v>#VALUE!</v>
      </c>
      <c r="M14" s="516" t="s">
        <v>2720</v>
      </c>
      <c r="O14" s="592" t="e">
        <f>O6-O8-O12</f>
        <v>#VALUE!</v>
      </c>
    </row>
    <row r="15" spans="1:15" ht="13.5" customHeight="1">
      <c r="A15" s="516" t="s">
        <v>2716</v>
      </c>
      <c r="C15" s="599">
        <f t="shared" ref="C15:I15" si="0">$E$3/$H$3</f>
        <v>555063.53345454542</v>
      </c>
      <c r="D15" s="599">
        <f t="shared" si="0"/>
        <v>555063.53345454542</v>
      </c>
      <c r="E15" s="599">
        <f t="shared" si="0"/>
        <v>555063.53345454542</v>
      </c>
      <c r="F15" s="599">
        <f t="shared" si="0"/>
        <v>555063.53345454542</v>
      </c>
      <c r="G15" s="599">
        <f t="shared" si="0"/>
        <v>555063.53345454542</v>
      </c>
      <c r="H15" s="599">
        <f t="shared" si="0"/>
        <v>555063.53345454542</v>
      </c>
      <c r="I15" s="599">
        <f t="shared" si="0"/>
        <v>555063.53345454542</v>
      </c>
      <c r="K15" s="587" t="e">
        <f>E44</f>
        <v>#VALUE!</v>
      </c>
      <c r="O15" s="592"/>
    </row>
    <row r="16" spans="1:15" ht="13.5" customHeight="1">
      <c r="A16" s="516" t="s">
        <v>2718</v>
      </c>
      <c r="C16" s="599">
        <f>IF(C$8&lt;=$H$4,($E$4/$H$4),0)+IF(C$8&lt;=$H$5,($E$5/$H$5),0)</f>
        <v>12586.666666666666</v>
      </c>
      <c r="D16" s="599">
        <f t="shared" ref="D16:I16" si="1">IF(D$8&lt;=$H$4,($E$4/$H$4),0)+IF(D$8&lt;=$H$5,($E$5/$H$5),0)</f>
        <v>12586.666666666666</v>
      </c>
      <c r="E16" s="599">
        <f t="shared" si="1"/>
        <v>12586.666666666666</v>
      </c>
      <c r="F16" s="599">
        <f t="shared" si="1"/>
        <v>12586.666666666666</v>
      </c>
      <c r="G16" s="599">
        <f t="shared" si="1"/>
        <v>12586.666666666666</v>
      </c>
      <c r="H16" s="599">
        <f t="shared" si="1"/>
        <v>12586.666666666666</v>
      </c>
      <c r="I16" s="599">
        <f t="shared" si="1"/>
        <v>12586.666666666666</v>
      </c>
      <c r="K16" s="587" t="e">
        <f>F44</f>
        <v>#VALUE!</v>
      </c>
      <c r="M16" s="516" t="s">
        <v>2722</v>
      </c>
      <c r="O16" s="592">
        <f>E3</f>
        <v>15264247.17</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11101270.669090908</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4162976.5009090919</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1135000</v>
      </c>
      <c r="D21" s="600">
        <f t="shared" ref="D21:I21" si="5">C21</f>
        <v>1135000</v>
      </c>
      <c r="E21" s="600">
        <f t="shared" si="5"/>
        <v>1135000</v>
      </c>
      <c r="F21" s="600">
        <f t="shared" si="5"/>
        <v>1135000</v>
      </c>
      <c r="G21" s="600">
        <f t="shared" si="5"/>
        <v>1135000</v>
      </c>
      <c r="H21" s="600">
        <f t="shared" si="5"/>
        <v>1135000</v>
      </c>
      <c r="I21" s="600">
        <f t="shared" si="5"/>
        <v>1135000</v>
      </c>
      <c r="J21" s="516" t="s">
        <v>233</v>
      </c>
      <c r="K21" s="587" t="e">
        <f>D64</f>
        <v>#VALUE!</v>
      </c>
      <c r="O21" s="592"/>
    </row>
    <row r="22" spans="1:17" ht="13.5" customHeight="1">
      <c r="A22" s="516" t="s">
        <v>2725</v>
      </c>
      <c r="C22" s="600">
        <f>C21</f>
        <v>1135000</v>
      </c>
      <c r="D22" s="600">
        <f t="shared" ref="D22:I22" si="6">D21</f>
        <v>1135000</v>
      </c>
      <c r="E22" s="600">
        <f t="shared" si="6"/>
        <v>1135000</v>
      </c>
      <c r="F22" s="600">
        <f t="shared" si="6"/>
        <v>1135000</v>
      </c>
      <c r="G22" s="600">
        <f t="shared" si="6"/>
        <v>1135000</v>
      </c>
      <c r="H22" s="600">
        <f t="shared" si="6"/>
        <v>1135000</v>
      </c>
      <c r="I22" s="600">
        <f t="shared" si="6"/>
        <v>1135000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4162976.5009090919</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-4162976.5009090919</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0.48979234014404938</v>
      </c>
      <c r="D29" s="594">
        <f>'Part VI-Pro Forma'!J33</f>
        <v>0.24971396775799803</v>
      </c>
      <c r="E29" s="594">
        <f>'Part VI-Pro Forma'!K33</f>
        <v>0.28374760749284178</v>
      </c>
      <c r="F29" s="594">
        <f>'Part VI-Pro Forma'!B65</f>
        <v>0.20134290694841184</v>
      </c>
      <c r="G29" s="594">
        <f>'Part VI-Pro Forma'!C65</f>
        <v>2056.8977575287863</v>
      </c>
      <c r="H29" s="594">
        <f>'Part VI-Pro Forma'!D65</f>
        <v>44189.54658188246</v>
      </c>
      <c r="I29" s="594">
        <f>'Part VI-Pro Forma'!E65</f>
        <v>44290.092018605385</v>
      </c>
      <c r="N29" s="603"/>
      <c r="O29" s="603"/>
    </row>
    <row r="30" spans="1:17" ht="13.5" customHeight="1">
      <c r="A30" s="516" t="s">
        <v>2713</v>
      </c>
      <c r="C30" s="596">
        <f>'Part VI-Pro Forma'!H40-'Part VI-Pro Forma'!I40</f>
        <v>32647.090595112648</v>
      </c>
      <c r="D30" s="596">
        <f>'Part VI-Pro Forma'!I40-'Part VI-Pro Forma'!J40</f>
        <v>34764.298131818883</v>
      </c>
      <c r="E30" s="596">
        <f>'Part VI-Pro Forma'!J40-'Part VI-Pro Forma'!K40</f>
        <v>37018.809412037488</v>
      </c>
      <c r="F30" s="976">
        <f>'Part VI-Pro Forma'!K40-'Part VI-Pro Forma'!B72</f>
        <v>39419.528767372482</v>
      </c>
      <c r="G30" s="976">
        <f>'Part VI-Pro Forma'!B72-'Part VI-Pro Forma'!C72</f>
        <v>41975.937987254933</v>
      </c>
      <c r="H30" s="976">
        <f>'Part VI-Pro Forma'!C72-'Part VI-Pro Forma'!D72</f>
        <v>44698.133767856751</v>
      </c>
      <c r="I30" s="976">
        <f>'Part VI-Pro Forma'!D72-'Part VI-Pro Forma'!E72</f>
        <v>47596.867589613423</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-832595.30018181843</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-17218.23411594818</v>
      </c>
      <c r="D33" s="979">
        <f>'Part VI-Pro Forma'!J23</f>
        <v>-17734.781139426625</v>
      </c>
      <c r="E33" s="979">
        <f>'Part VI-Pro Forma'!K23</f>
        <v>-18266.824573609421</v>
      </c>
      <c r="F33" s="979">
        <f>'Part VI-Pro Forma'!B55</f>
        <v>-18814.829310817706</v>
      </c>
      <c r="G33" s="979">
        <f>'Part VI-Pro Forma'!C55</f>
        <v>-19379.274190142238</v>
      </c>
      <c r="H33" s="979">
        <f>'Part VI-Pro Forma'!D55</f>
        <v>-19960.6524158465</v>
      </c>
      <c r="I33" s="979">
        <f>'Part VI-Pro Forma'!E55</f>
        <v>-20559.471988321893</v>
      </c>
      <c r="K33" s="516" t="s">
        <v>233</v>
      </c>
      <c r="M33" s="516" t="s">
        <v>2733</v>
      </c>
      <c r="O33" s="594" t="e">
        <f>O14-O31</f>
        <v>#VALUE!</v>
      </c>
    </row>
    <row r="34" spans="1:15" ht="13.5" customHeight="1">
      <c r="A34" s="598" t="s">
        <v>3129</v>
      </c>
      <c r="B34" s="598"/>
      <c r="C34" s="979">
        <f>'Part VI-Pro Forma'!I32</f>
        <v>-41881.5</v>
      </c>
      <c r="D34" s="979">
        <f>'Part VI-Pro Forma'!J32</f>
        <v>-42563.5</v>
      </c>
      <c r="E34" s="979">
        <f>'Part VI-Pro Forma'!K32</f>
        <v>-43141</v>
      </c>
      <c r="F34" s="979">
        <f>'Part VI-Pro Forma'!B64</f>
        <v>-43609</v>
      </c>
      <c r="G34" s="979">
        <f>'Part VI-Pro Forma'!C64</f>
        <v>-41903</v>
      </c>
      <c r="H34" s="979">
        <f>'Part VI-Pro Forma'!D64</f>
        <v>0</v>
      </c>
      <c r="I34" s="979">
        <f>'Part VI-Pro Forma'!E64</f>
        <v>0</v>
      </c>
    </row>
    <row r="35" spans="1:15" ht="13.5" customHeight="1">
      <c r="A35" s="516" t="s">
        <v>2716</v>
      </c>
      <c r="C35" s="599">
        <f t="shared" ref="C35:I35" si="8">$E$3/$H$3</f>
        <v>555063.53345454542</v>
      </c>
      <c r="D35" s="599">
        <f t="shared" si="8"/>
        <v>555063.53345454542</v>
      </c>
      <c r="E35" s="599">
        <f t="shared" si="8"/>
        <v>555063.53345454542</v>
      </c>
      <c r="F35" s="599">
        <f t="shared" si="8"/>
        <v>555063.53345454542</v>
      </c>
      <c r="G35" s="599">
        <f t="shared" si="8"/>
        <v>555063.53345454542</v>
      </c>
      <c r="H35" s="599">
        <f t="shared" si="8"/>
        <v>555063.53345454542</v>
      </c>
      <c r="I35" s="599">
        <f t="shared" si="8"/>
        <v>555063.53345454542</v>
      </c>
    </row>
    <row r="36" spans="1:15" ht="13.5" customHeight="1">
      <c r="A36" s="516" t="s">
        <v>2718</v>
      </c>
      <c r="C36" s="594">
        <f>IF(C$28&lt;=$H$4,($E$4/$H$4),0)+IF(C$28&lt;=$H$5,($E$5/$H$5),0)</f>
        <v>12586.666666666666</v>
      </c>
      <c r="D36" s="594">
        <f t="shared" ref="D36:I36" si="9">IF(D$28&lt;=$H$4,($E$4/$H$4),0)+IF(D$28&lt;=$H$5,($E$5/$H$5),0)</f>
        <v>12586.666666666666</v>
      </c>
      <c r="E36" s="594">
        <f t="shared" si="9"/>
        <v>12586.666666666666</v>
      </c>
      <c r="F36" s="594">
        <f t="shared" si="9"/>
        <v>12586.666666666666</v>
      </c>
      <c r="G36" s="594">
        <f t="shared" si="9"/>
        <v>12586.666666666666</v>
      </c>
      <c r="H36" s="594">
        <f t="shared" si="9"/>
        <v>12586.666666666666</v>
      </c>
      <c r="I36" s="594">
        <f t="shared" si="9"/>
        <v>12586.666666666666</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1135000</v>
      </c>
      <c r="D41" s="600">
        <f>C41</f>
        <v>1135000</v>
      </c>
      <c r="E41" s="600">
        <f>D41</f>
        <v>1135000</v>
      </c>
      <c r="F41" s="600">
        <v>0</v>
      </c>
      <c r="G41" s="600">
        <v>0</v>
      </c>
      <c r="H41" s="600">
        <v>0</v>
      </c>
      <c r="I41" s="600">
        <v>0</v>
      </c>
    </row>
    <row r="42" spans="1:15" ht="13.5" customHeight="1">
      <c r="A42" s="516" t="s">
        <v>2725</v>
      </c>
      <c r="C42" s="600">
        <f>C22</f>
        <v>1135000</v>
      </c>
      <c r="D42" s="600">
        <f>C42</f>
        <v>1135000</v>
      </c>
      <c r="E42" s="600">
        <f>D42</f>
        <v>1135000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44256.240909021377</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50683.588180863764</v>
      </c>
      <c r="D50" s="977">
        <f>'Part VI-Pro Forma'!F72-'Part VI-Pro Forma'!G72</f>
        <v>53970.48673530668</v>
      </c>
      <c r="E50" s="977">
        <f>'Part VI-Pro Forma'!G72-'Part VI-Pro Forma'!H72</f>
        <v>57470.545061876066</v>
      </c>
      <c r="F50" s="977">
        <f>'Part VI-Pro Forma'!H72-'Part VI-Pro Forma'!I72</f>
        <v>61197.586857197341</v>
      </c>
      <c r="G50" s="977">
        <f>'Part VI-Pro Forma'!I72-'Part VI-Pro Forma'!J72</f>
        <v>65166.332303130068</v>
      </c>
      <c r="H50" s="977">
        <f>'Part VI-Pro Forma'!J72-'Part VI-Pro Forma'!K72</f>
        <v>69392.456205036025</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-21176.256147971555</v>
      </c>
      <c r="D53" s="979">
        <f>'Part VI-Pro Forma'!G55</f>
        <v>-21811.543832410702</v>
      </c>
      <c r="E53" s="979">
        <f>'Part VI-Pro Forma'!H55</f>
        <v>-22465.890147383019</v>
      </c>
      <c r="F53" s="979">
        <f>'Part VI-Pro Forma'!I55</f>
        <v>-23139.866851804509</v>
      </c>
      <c r="G53" s="979">
        <f>'Part VI-Pro Forma'!J55</f>
        <v>-23834.062857358644</v>
      </c>
      <c r="H53" s="979">
        <f>'Part VI-Pro Forma'!K55</f>
        <v>-24549.084743079406</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555063.53345454542</v>
      </c>
      <c r="D55" s="599">
        <f t="shared" si="14"/>
        <v>555063.53345454542</v>
      </c>
      <c r="E55" s="599">
        <f t="shared" si="14"/>
        <v>555063.53345454542</v>
      </c>
      <c r="F55" s="599">
        <f t="shared" si="14"/>
        <v>555063.53345454542</v>
      </c>
      <c r="G55" s="599">
        <f t="shared" si="14"/>
        <v>555063.53345454542</v>
      </c>
      <c r="H55" s="599">
        <f t="shared" si="14"/>
        <v>555063.53345454542</v>
      </c>
    </row>
    <row r="56" spans="1:10" ht="13.5" customHeight="1">
      <c r="A56" s="516" t="s">
        <v>2718</v>
      </c>
      <c r="C56" s="594">
        <f t="shared" ref="C56:H56" si="15">IF(C$48&lt;=$H$4,($E$4/$H$4),0)+IF(C$48&lt;=$H$5,($E$5/$H$5),0)</f>
        <v>12586.666666666666</v>
      </c>
      <c r="D56" s="594">
        <f t="shared" si="15"/>
        <v>1400</v>
      </c>
      <c r="E56" s="594">
        <f t="shared" si="15"/>
        <v>1400</v>
      </c>
      <c r="F56" s="594">
        <f t="shared" si="15"/>
        <v>1400</v>
      </c>
      <c r="G56" s="594">
        <f t="shared" si="15"/>
        <v>1400</v>
      </c>
      <c r="H56" s="594">
        <f t="shared" si="15"/>
        <v>1400</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Peaks of Douglas</v>
      </c>
      <c r="B1" s="4769"/>
      <c r="C1" s="4769"/>
      <c r="D1" s="4769"/>
      <c r="E1" s="4769"/>
      <c r="F1" s="4769"/>
      <c r="G1" s="4769"/>
      <c r="H1" s="4769"/>
      <c r="I1" s="4769"/>
      <c r="J1" s="4769"/>
      <c r="K1" s="4769"/>
    </row>
    <row r="2" spans="1:11" s="439" customFormat="1" ht="17.649999999999999" customHeight="1">
      <c r="A2" s="4768" t="s">
        <v>2885</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6059</v>
      </c>
      <c r="B4" s="4770"/>
      <c r="C4" s="1476"/>
      <c r="D4" s="4770" t="s">
        <v>6060</v>
      </c>
      <c r="E4" s="4770"/>
      <c r="F4" s="523"/>
      <c r="G4" s="4770" t="s">
        <v>6061</v>
      </c>
      <c r="H4" s="4770"/>
      <c r="I4" s="523"/>
      <c r="J4" s="4770" t="s">
        <v>6176</v>
      </c>
      <c r="K4" s="4770"/>
    </row>
    <row r="5" spans="1:11" ht="25.9" customHeight="1">
      <c r="A5" s="4771" t="str">
        <f>'Part II-Sources of Funds'!E40</f>
        <v>BWE Freddie Mac 9% Forward</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15352.401415810395</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15352.401415810395</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15352.401415810395</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15352.401415810395</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15352.401415810395</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15352.401415810395</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15352.401415810395</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15352.401415810395</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15352.401415810395</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15352.401415810395</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15352.401415810395</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15352.401415810395</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15352.401415810395</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15352.401415810395</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15352.401415810395</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15352.401415810395</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15352.401415810395</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15352.401415810395</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15352.401415810395</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15352.401415810395</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15352.401415810395</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15352.401415810395</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15352.401415810395</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15352.401415810395</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15352.401415810395</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15352.401415810395</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15352.401415810395</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15352.401415810395</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15352.401415810395</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15352.401415810395</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15352.401415810395</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15352.401415810395</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15352.401415810395</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15352.401415810395</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15352.401415810395</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Peaks of Douglas</v>
      </c>
      <c r="B1" s="4773"/>
      <c r="C1" s="4773"/>
      <c r="D1" s="4773"/>
      <c r="E1" s="4773"/>
      <c r="F1" s="4773"/>
      <c r="G1" s="4773"/>
      <c r="H1" s="4773"/>
    </row>
    <row r="3" spans="1:11" ht="12" customHeight="1">
      <c r="A3" s="4774" t="s">
        <v>3103</v>
      </c>
      <c r="B3" s="4774"/>
      <c r="C3" s="4774"/>
      <c r="D3" s="4774"/>
      <c r="E3" s="4774"/>
      <c r="F3" s="4774"/>
      <c r="G3" s="4774"/>
      <c r="H3" s="4774"/>
      <c r="I3" s="1027"/>
      <c r="J3" s="4776" t="s">
        <v>3457</v>
      </c>
      <c r="K3" s="4776"/>
    </row>
    <row r="4" spans="1:11">
      <c r="J4" s="4776"/>
      <c r="K4" s="4776"/>
    </row>
    <row r="5" spans="1:11" ht="12" customHeight="1">
      <c r="A5" s="432">
        <v>1</v>
      </c>
      <c r="C5" s="432" t="s">
        <v>2738</v>
      </c>
      <c r="E5" s="620">
        <f>'Sensitivity Analysis'!H9</f>
        <v>0</v>
      </c>
      <c r="J5" s="4776"/>
      <c r="K5" s="4776"/>
    </row>
    <row r="6" spans="1:11" ht="3" customHeight="1">
      <c r="H6" s="610"/>
      <c r="J6" s="4776"/>
      <c r="K6" s="4776"/>
    </row>
    <row r="7" spans="1:11" ht="12" customHeight="1">
      <c r="A7" s="432">
        <v>2</v>
      </c>
      <c r="C7" s="432" t="s">
        <v>2739</v>
      </c>
      <c r="E7" s="4777"/>
      <c r="F7" s="4777"/>
      <c r="G7" s="4777"/>
      <c r="H7" s="4777"/>
      <c r="J7" s="4776"/>
      <c r="K7" s="4776"/>
    </row>
    <row r="8" spans="1:11" ht="12" customHeight="1">
      <c r="E8" s="4777"/>
      <c r="F8" s="4777"/>
      <c r="G8" s="4777"/>
      <c r="H8" s="4777"/>
      <c r="J8" s="4776"/>
      <c r="K8" s="4776"/>
    </row>
    <row r="9" spans="1:11" ht="12" customHeight="1">
      <c r="C9" s="432" t="s">
        <v>2740</v>
      </c>
      <c r="E9" s="4775"/>
      <c r="F9" s="4775"/>
      <c r="J9" s="4776"/>
      <c r="K9" s="4776"/>
    </row>
    <row r="10" spans="1:11" ht="12" customHeight="1">
      <c r="C10" s="432" t="s">
        <v>2741</v>
      </c>
      <c r="E10" s="4777"/>
      <c r="F10" s="4777"/>
      <c r="G10" s="4777"/>
      <c r="H10" s="4777"/>
    </row>
    <row r="11" spans="1:11" ht="12" customHeight="1">
      <c r="C11" s="432" t="s">
        <v>3462</v>
      </c>
      <c r="E11" s="4777"/>
      <c r="F11" s="4777"/>
      <c r="G11" s="4777"/>
      <c r="H11" s="4777"/>
    </row>
    <row r="12" spans="1:11" ht="12" customHeight="1">
      <c r="C12" s="432" t="s">
        <v>3458</v>
      </c>
      <c r="E12" s="1991"/>
    </row>
    <row r="13" spans="1:11" ht="12" customHeight="1">
      <c r="C13" s="432" t="s">
        <v>3461</v>
      </c>
      <c r="E13" s="1991"/>
    </row>
    <row r="14" spans="1:11" ht="3" customHeight="1"/>
    <row r="15" spans="1:11" ht="12" customHeight="1">
      <c r="A15" s="432">
        <v>3</v>
      </c>
      <c r="C15" s="432" t="s">
        <v>2742</v>
      </c>
      <c r="E15" s="620" t="str">
        <f>'Sensitivity Analysis'!C8</f>
        <v>Peaks of Douglas</v>
      </c>
    </row>
    <row r="16" spans="1:11" ht="12" customHeight="1">
      <c r="C16" s="432" t="s">
        <v>2743</v>
      </c>
      <c r="E16" s="4777"/>
      <c r="F16" s="4777"/>
      <c r="G16" s="4777"/>
      <c r="H16" s="4777"/>
    </row>
    <row r="17" spans="1:8" ht="12" customHeight="1">
      <c r="E17" s="438" t="str">
        <f>'Part I-Project Identification'!$F$26</f>
        <v>Douglasville</v>
      </c>
      <c r="F17" s="609" t="s">
        <v>791</v>
      </c>
      <c r="G17" s="4778" t="s">
        <v>6749</v>
      </c>
      <c r="H17" s="4778"/>
    </row>
    <row r="18" spans="1:8" ht="12" customHeight="1">
      <c r="E18" s="620" t="str">
        <f>(CONCATENATE('Part I-Project Identification'!$J$26," County"))</f>
        <v>Douglas County</v>
      </c>
    </row>
    <row r="19" spans="1:8" ht="3" customHeight="1"/>
    <row r="20" spans="1:8" ht="12" customHeight="1">
      <c r="A20" s="432">
        <v>4</v>
      </c>
      <c r="C20" s="432" t="s">
        <v>2744</v>
      </c>
      <c r="E20" s="4777"/>
      <c r="F20" s="4777"/>
      <c r="G20" s="4777"/>
      <c r="H20" s="4777"/>
    </row>
    <row r="21" spans="1:8" ht="12" customHeight="1">
      <c r="C21" s="432" t="s">
        <v>2745</v>
      </c>
      <c r="E21" s="4777"/>
      <c r="F21" s="4777"/>
      <c r="G21" s="4777"/>
      <c r="H21" s="4777"/>
    </row>
    <row r="22" spans="1:8" ht="12" customHeight="1">
      <c r="E22" s="4777"/>
      <c r="F22" s="4777"/>
      <c r="G22" s="4777"/>
      <c r="H22" s="4777"/>
    </row>
    <row r="23" spans="1:8" ht="12" customHeight="1">
      <c r="C23" s="432" t="s">
        <v>3458</v>
      </c>
      <c r="E23" s="1991"/>
    </row>
    <row r="24" spans="1:8" ht="12" customHeight="1">
      <c r="C24" s="432" t="s">
        <v>3461</v>
      </c>
      <c r="E24" s="1991"/>
    </row>
    <row r="25" spans="1:8" ht="12" customHeight="1">
      <c r="C25" s="432" t="s">
        <v>3462</v>
      </c>
      <c r="E25" s="4777"/>
      <c r="F25" s="4777"/>
      <c r="G25" s="4777"/>
      <c r="H25" s="4777"/>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3102</v>
      </c>
      <c r="E29" s="432" t="str">
        <f>'Sensitivity Analysis'!$C$9</f>
        <v>&lt;&lt;Select&gt;&gt;</v>
      </c>
    </row>
    <row r="30" spans="1:8" ht="3" customHeight="1"/>
    <row r="31" spans="1:8" ht="12" customHeight="1">
      <c r="A31" s="432">
        <v>6</v>
      </c>
      <c r="C31" s="432" t="s">
        <v>2747</v>
      </c>
      <c r="E31" s="432" t="s">
        <v>2217</v>
      </c>
      <c r="F31" s="1028">
        <f>'Part II-Sources of Funds'!L22</f>
        <v>12300000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180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77"/>
      <c r="F48" s="4777"/>
      <c r="G48" s="4777"/>
      <c r="H48" s="4777"/>
    </row>
    <row r="49" spans="1:8" ht="3" customHeight="1">
      <c r="E49" s="620"/>
    </row>
    <row r="50" spans="1:8" ht="12" customHeight="1">
      <c r="A50" s="432">
        <v>15</v>
      </c>
      <c r="C50" s="432" t="s">
        <v>3464</v>
      </c>
      <c r="E50" s="4777"/>
      <c r="F50" s="4777"/>
      <c r="G50" s="4777"/>
      <c r="H50" s="4777"/>
    </row>
    <row r="51" spans="1:8" ht="12" customHeight="1">
      <c r="C51" s="432" t="s">
        <v>2762</v>
      </c>
      <c r="E51" s="4777"/>
      <c r="F51" s="4777"/>
      <c r="G51" s="4777"/>
      <c r="H51" s="4777"/>
    </row>
    <row r="52" spans="1:8" ht="3" customHeight="1">
      <c r="F52" s="614"/>
    </row>
    <row r="53" spans="1:8" ht="12" customHeight="1">
      <c r="A53" s="432">
        <v>16</v>
      </c>
      <c r="C53" s="432" t="s">
        <v>2763</v>
      </c>
      <c r="F53" s="1032">
        <f>'Sensitivity Analysis'!C13</f>
        <v>56</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3463</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1784850.9868985536</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6160</v>
      </c>
    </row>
    <row r="65" spans="1:7" ht="12" customHeight="1">
      <c r="E65" s="1036" t="s">
        <v>3105</v>
      </c>
      <c r="F65" s="1037" t="s">
        <v>3106</v>
      </c>
      <c r="G65" s="1036" t="s">
        <v>6161</v>
      </c>
    </row>
    <row r="66" spans="1:7" ht="12" customHeight="1">
      <c r="E66" s="1036" t="s">
        <v>3105</v>
      </c>
      <c r="F66" s="1037" t="s">
        <v>3106</v>
      </c>
      <c r="G66" s="1036" t="s">
        <v>6162</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258714</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83300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2959</v>
      </c>
      <c r="B1" s="4782"/>
      <c r="C1" s="4782"/>
      <c r="D1" s="4782"/>
      <c r="E1" s="4782"/>
      <c r="F1" s="4782"/>
      <c r="G1" s="4782"/>
      <c r="H1" s="4782"/>
      <c r="I1" s="4782"/>
      <c r="J1" s="4782"/>
    </row>
    <row r="2" spans="1:13" ht="15">
      <c r="A2" s="4782" t="str">
        <f>'Sensitivity Analysis'!E8&amp;"  "&amp;'Sensitivity Analysis'!C8</f>
        <v>2023-0  Peaks of Douglas</v>
      </c>
      <c r="B2" s="4782"/>
      <c r="C2" s="4782"/>
      <c r="D2" s="4782"/>
      <c r="E2" s="4782"/>
      <c r="F2" s="4782"/>
      <c r="G2" s="4782"/>
      <c r="H2" s="4782"/>
      <c r="I2" s="4782"/>
      <c r="J2" s="4782"/>
    </row>
    <row r="3" spans="1:13" ht="6" customHeight="1">
      <c r="K3" s="4776" t="s">
        <v>3457</v>
      </c>
      <c r="L3" s="4776"/>
      <c r="M3" s="4776"/>
    </row>
    <row r="4" spans="1:13" ht="12" customHeight="1">
      <c r="A4" s="612" t="s">
        <v>2777</v>
      </c>
      <c r="K4" s="4776"/>
      <c r="L4" s="4776"/>
      <c r="M4" s="4776"/>
    </row>
    <row r="5" spans="1:13" ht="12" customHeight="1">
      <c r="A5" s="432" t="s">
        <v>2778</v>
      </c>
      <c r="C5" s="560" t="str">
        <f>'Subsidy Layering Memo'!D6</f>
        <v>(Underwriter)</v>
      </c>
      <c r="I5" s="560"/>
      <c r="K5" s="4776"/>
      <c r="L5" s="4776"/>
      <c r="M5" s="4776"/>
    </row>
    <row r="6" spans="1:13" ht="6" customHeight="1">
      <c r="C6" s="560"/>
      <c r="D6" s="560"/>
      <c r="I6" s="560"/>
      <c r="K6" s="4776"/>
      <c r="L6" s="4776"/>
      <c r="M6" s="4776"/>
    </row>
    <row r="7" spans="1:13" ht="12" customHeight="1">
      <c r="A7" s="612" t="s">
        <v>2779</v>
      </c>
      <c r="C7" s="560"/>
      <c r="D7" s="560"/>
      <c r="I7" s="560"/>
      <c r="K7" s="4776"/>
      <c r="L7" s="4776"/>
      <c r="M7" s="4776"/>
    </row>
    <row r="8" spans="1:13" ht="12" customHeight="1">
      <c r="A8" s="432" t="s">
        <v>2780</v>
      </c>
      <c r="C8" s="560">
        <f>'Sensitivity Analysis'!$H$9</f>
        <v>0</v>
      </c>
      <c r="I8" s="560"/>
      <c r="K8" s="4776"/>
      <c r="L8" s="4776"/>
      <c r="M8" s="4776"/>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81"/>
      <c r="E13" s="4781"/>
      <c r="F13" s="4781"/>
      <c r="G13" s="4781"/>
      <c r="H13" s="4781"/>
      <c r="I13" s="4781"/>
      <c r="J13" s="4781"/>
    </row>
    <row r="14" spans="1:13" ht="3" customHeight="1">
      <c r="G14" s="560"/>
      <c r="H14" s="560"/>
      <c r="I14" s="560"/>
    </row>
    <row r="15" spans="1:13" ht="12" customHeight="1">
      <c r="A15" s="432" t="s">
        <v>2783</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Peaks of Douglas</v>
      </c>
      <c r="I28" s="560"/>
    </row>
    <row r="29" spans="1:9" ht="3" customHeight="1">
      <c r="C29" s="613"/>
      <c r="I29" s="560"/>
    </row>
    <row r="30" spans="1:9" ht="12" customHeight="1">
      <c r="A30" s="432" t="s">
        <v>2790</v>
      </c>
      <c r="C30" s="613">
        <f>'Preview term'!E16</f>
        <v>0</v>
      </c>
      <c r="I30" s="560"/>
    </row>
    <row r="31" spans="1:9">
      <c r="C31" s="560" t="str">
        <f>'Preview term'!E17</f>
        <v>Douglasville</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6163</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6164</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2797</v>
      </c>
      <c r="C42" s="4783" t="s">
        <v>3107</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2798</v>
      </c>
      <c r="C44" s="504" t="str">
        <f>'Part I-Project Identification'!J26</f>
        <v>Douglas</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2802</v>
      </c>
      <c r="B53" s="617"/>
      <c r="C53" s="619" t="s">
        <v>2803</v>
      </c>
      <c r="D53" s="619" t="s">
        <v>3108</v>
      </c>
      <c r="E53" s="4786"/>
      <c r="F53" s="4786"/>
      <c r="G53" s="4786"/>
      <c r="H53" s="4786"/>
      <c r="I53" s="4786"/>
      <c r="J53" s="4786"/>
    </row>
    <row r="54" spans="1:10" ht="12" customHeight="1">
      <c r="A54" s="617"/>
      <c r="B54" s="617"/>
      <c r="C54" s="617"/>
      <c r="D54" s="619" t="s">
        <v>3109</v>
      </c>
      <c r="E54" s="4787"/>
      <c r="F54" s="4787"/>
      <c r="G54" s="4787"/>
      <c r="H54" s="4787"/>
      <c r="I54" s="4787"/>
      <c r="J54" s="4787"/>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12300000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81"/>
      <c r="E69" s="4781"/>
      <c r="F69" s="4781"/>
      <c r="G69" s="4781"/>
      <c r="H69" s="4781"/>
      <c r="I69" s="4781"/>
      <c r="J69" s="4781"/>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2217</v>
      </c>
      <c r="D80" s="624">
        <f>'Preview term'!F40</f>
        <v>180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6165</v>
      </c>
      <c r="G84" s="560"/>
    </row>
    <row r="85" spans="1:9" ht="3" customHeight="1">
      <c r="G85" s="560"/>
      <c r="H85" s="560"/>
      <c r="I85" s="560"/>
    </row>
    <row r="86" spans="1:9" ht="12" customHeight="1">
      <c r="A86" s="432" t="s">
        <v>2824</v>
      </c>
      <c r="C86" s="1557">
        <f>'Subsidy Layering Memo'!L70</f>
        <v>1784850.9868985536</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Sterling Bank</v>
      </c>
      <c r="I93" s="560"/>
    </row>
    <row r="94" spans="1:9" ht="12" customHeight="1">
      <c r="C94" s="620"/>
      <c r="D94" s="560"/>
      <c r="E94" s="620" t="s">
        <v>1670</v>
      </c>
      <c r="F94" s="4777"/>
      <c r="G94" s="4777"/>
      <c r="H94" s="4777"/>
      <c r="I94" s="560"/>
    </row>
    <row r="95" spans="1:9" ht="12" customHeight="1">
      <c r="C95" s="620"/>
      <c r="D95" s="560"/>
      <c r="E95" s="620" t="s">
        <v>1839</v>
      </c>
      <c r="F95" s="4788"/>
      <c r="G95" s="4788"/>
      <c r="H95" s="4788"/>
      <c r="I95" s="560"/>
    </row>
    <row r="96" spans="1:9" ht="12" customHeight="1">
      <c r="C96" s="620"/>
      <c r="D96" s="560"/>
      <c r="E96" s="620" t="s">
        <v>1672</v>
      </c>
      <c r="F96" s="4775"/>
      <c r="G96" s="4775"/>
      <c r="H96" s="4775"/>
      <c r="I96" s="560"/>
    </row>
    <row r="97" spans="1:10" ht="12" customHeight="1">
      <c r="B97" s="614"/>
      <c r="C97" s="622" t="s">
        <v>2971</v>
      </c>
      <c r="D97" s="560" t="s">
        <v>2830</v>
      </c>
      <c r="E97" s="620" t="str">
        <f>'Part II-Sources of Funds'!E40</f>
        <v>BWE Freddie Mac 9% Forward</v>
      </c>
      <c r="I97" s="560"/>
    </row>
    <row r="98" spans="1:10" ht="12" customHeight="1">
      <c r="C98" s="620"/>
      <c r="D98" s="560"/>
      <c r="E98" s="620" t="s">
        <v>1670</v>
      </c>
      <c r="F98" s="4777"/>
      <c r="G98" s="4777"/>
      <c r="H98" s="4777"/>
      <c r="I98" s="560"/>
    </row>
    <row r="99" spans="1:10" ht="12" customHeight="1">
      <c r="C99" s="620"/>
      <c r="D99" s="560"/>
      <c r="E99" s="620" t="s">
        <v>1839</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9"/>
      <c r="E107" s="4789"/>
      <c r="F107" s="4789"/>
      <c r="G107" s="4789"/>
      <c r="H107" s="4789"/>
      <c r="I107" s="4789"/>
      <c r="J107" s="4790"/>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80" t="s">
        <v>6168</v>
      </c>
      <c r="F120" s="4780"/>
      <c r="G120" s="4780"/>
      <c r="H120" s="4780"/>
      <c r="I120" s="4780"/>
      <c r="J120" s="4780"/>
    </row>
    <row r="121" spans="1:10" ht="12" customHeight="1">
      <c r="C121" s="560" t="s">
        <v>2841</v>
      </c>
      <c r="D121" s="996"/>
      <c r="E121" s="4780"/>
      <c r="F121" s="4780"/>
      <c r="G121" s="4780"/>
      <c r="H121" s="4780"/>
      <c r="I121" s="4780"/>
      <c r="J121" s="4780"/>
    </row>
    <row r="122" spans="1:10" ht="12" customHeight="1">
      <c r="C122" s="560" t="s">
        <v>2842</v>
      </c>
      <c r="D122" s="996"/>
      <c r="E122" s="4780"/>
      <c r="F122" s="4780"/>
      <c r="G122" s="4780"/>
      <c r="H122" s="4780"/>
      <c r="I122" s="4780"/>
      <c r="J122" s="4780"/>
    </row>
    <row r="123" spans="1:10" ht="12" customHeight="1">
      <c r="C123" s="560" t="s">
        <v>2842</v>
      </c>
      <c r="D123" s="996"/>
      <c r="E123" s="4780"/>
      <c r="F123" s="4780"/>
      <c r="G123" s="4780"/>
      <c r="H123" s="4780"/>
      <c r="I123" s="4780"/>
      <c r="J123" s="4780"/>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513764</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781"/>
      <c r="F166" s="4781"/>
      <c r="G166" s="4781"/>
      <c r="I166" s="560"/>
    </row>
    <row r="167" spans="1:9" ht="3" customHeight="1">
      <c r="E167" s="560"/>
      <c r="G167" s="560"/>
      <c r="I167" s="560"/>
    </row>
    <row r="168" spans="1:9" ht="12" customHeight="1">
      <c r="A168" s="432" t="s">
        <v>2865</v>
      </c>
      <c r="C168" s="432" t="s">
        <v>2866</v>
      </c>
      <c r="E168" s="632">
        <f>'Preview term'!F74</f>
        <v>258714</v>
      </c>
      <c r="G168" s="560"/>
      <c r="I168" s="560"/>
    </row>
    <row r="169" spans="1:9" ht="12" customHeight="1">
      <c r="C169" s="432" t="s">
        <v>3114</v>
      </c>
      <c r="E169" s="4781"/>
      <c r="F169" s="4781"/>
      <c r="G169" s="4781"/>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14000</v>
      </c>
      <c r="F174" s="560" t="s">
        <v>2870</v>
      </c>
    </row>
    <row r="175" spans="1:9">
      <c r="E175" s="632">
        <f>E174/12</f>
        <v>1166.6666666666667</v>
      </c>
      <c r="F175" s="560" t="s">
        <v>2735</v>
      </c>
    </row>
    <row r="176" spans="1:9" ht="12" customHeight="1">
      <c r="C176" s="432" t="s">
        <v>3115</v>
      </c>
      <c r="E176" s="4781"/>
      <c r="F176" s="4781"/>
      <c r="G176" s="4781"/>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81"/>
      <c r="G181" s="4781"/>
      <c r="H181" s="4781"/>
      <c r="I181" s="4781"/>
      <c r="J181" s="4781"/>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83300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779">
        <f>'Part VII-Threshold Criteria OLD'!E372</f>
        <v>0</v>
      </c>
      <c r="G199" s="4779"/>
      <c r="H199" s="4779"/>
      <c r="I199" s="4779"/>
      <c r="J199" s="4779"/>
    </row>
    <row r="200" spans="1:10" ht="9" customHeight="1">
      <c r="G200" s="560"/>
      <c r="H200" s="560"/>
      <c r="I200" s="560"/>
    </row>
    <row r="201" spans="1:10" ht="12" customHeight="1">
      <c r="A201" s="634" t="s">
        <v>2960</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6152</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6155</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66" t="str">
        <f>'Part I-Project Identification'!F25</f>
        <v>Peaks of Douglas</v>
      </c>
      <c r="E3" s="4167"/>
      <c r="F3" s="4167"/>
      <c r="G3" s="4167"/>
      <c r="H3" s="4167"/>
      <c r="I3" s="4167"/>
      <c r="J3" s="4820" t="s">
        <v>3969</v>
      </c>
      <c r="K3" s="4821"/>
    </row>
    <row r="4" spans="1:11" ht="15" customHeight="1">
      <c r="A4" s="1332" t="s">
        <v>3967</v>
      </c>
      <c r="B4" s="1333"/>
      <c r="C4" s="1334"/>
      <c r="D4" s="4816">
        <f>'Preview term'!$E$16</f>
        <v>0</v>
      </c>
      <c r="E4" s="4817"/>
      <c r="F4" s="4817"/>
      <c r="G4" s="4817"/>
      <c r="H4" s="4817"/>
      <c r="I4" s="4817"/>
      <c r="J4" s="4172" t="s">
        <v>4008</v>
      </c>
      <c r="K4" s="4173"/>
    </row>
    <row r="5" spans="1:11" ht="15" customHeight="1" thickBot="1">
      <c r="A5" s="1335" t="s">
        <v>3968</v>
      </c>
      <c r="B5" s="1336"/>
      <c r="C5" s="1337"/>
      <c r="D5" s="4818"/>
      <c r="E5" s="4819"/>
      <c r="F5" s="4819"/>
      <c r="G5" s="4819"/>
      <c r="H5" s="4819"/>
      <c r="I5" s="4819"/>
      <c r="J5" s="4174"/>
      <c r="K5" s="4175"/>
    </row>
    <row r="6" spans="1:11" ht="9" customHeight="1" thickBot="1">
      <c r="E6" s="1327"/>
    </row>
    <row r="7" spans="1:11">
      <c r="A7" s="4184" t="s">
        <v>3970</v>
      </c>
      <c r="B7" s="4185"/>
      <c r="C7" s="4185"/>
      <c r="D7" s="4185"/>
      <c r="E7" s="4185"/>
      <c r="F7" s="4185"/>
      <c r="G7" s="4185"/>
      <c r="H7" s="4185"/>
      <c r="I7" s="4185"/>
      <c r="J7" s="4185"/>
      <c r="K7" s="4186"/>
    </row>
    <row r="8" spans="1:11" ht="14.25" customHeight="1">
      <c r="A8" s="1333"/>
      <c r="B8" s="1333"/>
      <c r="C8" s="1365">
        <v>1</v>
      </c>
      <c r="D8" s="1352" t="s">
        <v>3971</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3972</v>
      </c>
      <c r="B10" s="4188"/>
      <c r="C10" s="4188"/>
      <c r="D10" s="4188"/>
      <c r="E10" s="4188"/>
      <c r="F10" s="4188"/>
      <c r="G10" s="4188"/>
      <c r="H10" s="4188"/>
      <c r="I10" s="4188"/>
      <c r="J10" s="4188"/>
      <c r="K10" s="4189"/>
    </row>
    <row r="11" spans="1:11" ht="14.25" customHeight="1">
      <c r="A11" s="1333"/>
      <c r="B11" s="1333"/>
      <c r="C11" s="1365">
        <v>2</v>
      </c>
      <c r="D11" s="1352" t="s">
        <v>3973</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3974</v>
      </c>
      <c r="B13" s="4188"/>
      <c r="C13" s="4188"/>
      <c r="D13" s="4188"/>
      <c r="E13" s="4188"/>
      <c r="F13" s="4188"/>
      <c r="G13" s="4188"/>
      <c r="H13" s="4188"/>
      <c r="I13" s="4188"/>
      <c r="J13" s="4188"/>
      <c r="K13" s="4189"/>
    </row>
    <row r="14" spans="1:11" ht="14.25" customHeight="1">
      <c r="A14" s="1333"/>
      <c r="B14" s="1333"/>
      <c r="C14" s="1366">
        <v>3</v>
      </c>
      <c r="D14" s="1356" t="s">
        <v>3975</v>
      </c>
      <c r="E14" s="1356"/>
      <c r="F14" s="1356"/>
      <c r="G14" s="1356"/>
      <c r="H14" s="1356"/>
      <c r="I14" s="1356"/>
      <c r="J14" s="4793"/>
      <c r="K14" s="4794"/>
    </row>
    <row r="15" spans="1:11" ht="14.25" customHeight="1">
      <c r="A15" s="1333"/>
      <c r="B15" s="1333"/>
      <c r="C15" s="1367">
        <v>4</v>
      </c>
      <c r="D15" s="1333" t="s">
        <v>3976</v>
      </c>
      <c r="E15" s="1333"/>
      <c r="F15" s="1333"/>
      <c r="G15" s="1333"/>
      <c r="H15" s="1333"/>
      <c r="I15" s="1333"/>
      <c r="J15" s="4791"/>
      <c r="K15" s="4792"/>
    </row>
    <row r="16" spans="1:11" ht="14.25" customHeight="1">
      <c r="A16" s="1333"/>
      <c r="B16" s="1333"/>
      <c r="C16" s="1367">
        <v>5</v>
      </c>
      <c r="D16" s="1333" t="s">
        <v>3977</v>
      </c>
      <c r="E16" s="1333"/>
      <c r="F16" s="1333"/>
      <c r="G16" s="1333"/>
      <c r="H16" s="1333"/>
      <c r="I16" s="1333"/>
      <c r="J16" s="4791"/>
      <c r="K16" s="4792"/>
    </row>
    <row r="17" spans="1:13" ht="14.25" customHeight="1">
      <c r="A17" s="1333"/>
      <c r="B17" s="1333"/>
      <c r="C17" s="1368">
        <v>6</v>
      </c>
      <c r="D17" s="1336" t="s">
        <v>3978</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3979</v>
      </c>
      <c r="E19" s="1356"/>
      <c r="F19" s="1356"/>
      <c r="G19" s="1356"/>
      <c r="H19" s="1356"/>
      <c r="I19" s="1356"/>
      <c r="J19" s="4115" t="str">
        <f>IF(J17="No",J14-J15,IF(J17="Yes",J14-J15-J16,"Error"))</f>
        <v>Error</v>
      </c>
      <c r="K19" s="4116"/>
    </row>
    <row r="20" spans="1:13" ht="14.25" customHeight="1">
      <c r="A20" s="1333"/>
      <c r="B20" s="1333"/>
      <c r="C20" s="1368">
        <v>8</v>
      </c>
      <c r="D20" s="1336" t="s">
        <v>3980</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3981</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4012</v>
      </c>
      <c r="B30" s="4155"/>
      <c r="C30" s="4155"/>
      <c r="D30" s="4155"/>
      <c r="E30" s="4155"/>
      <c r="F30" s="4155"/>
      <c r="G30" s="4155"/>
      <c r="H30" s="4155"/>
      <c r="I30" s="4155"/>
      <c r="J30" s="4155"/>
      <c r="K30" s="4156"/>
    </row>
    <row r="31" spans="1:13">
      <c r="B31" s="4805" t="s">
        <v>3969</v>
      </c>
      <c r="C31" s="4805"/>
      <c r="D31" s="4805"/>
      <c r="E31" s="4805"/>
      <c r="F31" s="4805"/>
      <c r="G31" s="4158" t="s">
        <v>3983</v>
      </c>
      <c r="H31" s="4159"/>
      <c r="I31" s="4159"/>
      <c r="J31" s="4159"/>
      <c r="K31" s="4160"/>
    </row>
    <row r="32" spans="1:13" ht="56.25" customHeight="1">
      <c r="A32" s="1351"/>
      <c r="B32" s="1369" t="s">
        <v>4011</v>
      </c>
      <c r="C32" s="1370" t="s">
        <v>4007</v>
      </c>
      <c r="D32" s="1370" t="s">
        <v>4006</v>
      </c>
      <c r="E32" s="4161" t="s">
        <v>6097</v>
      </c>
      <c r="F32" s="4162"/>
      <c r="G32" s="1371" t="s">
        <v>3984</v>
      </c>
      <c r="H32" s="1371" t="s">
        <v>3985</v>
      </c>
      <c r="J32" s="1371" t="s">
        <v>3986</v>
      </c>
      <c r="K32" s="1371" t="s">
        <v>3987</v>
      </c>
      <c r="L32" s="4163" t="s">
        <v>3988</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3989</v>
      </c>
      <c r="H52" s="1372" t="e">
        <f>SUM(H33:H51)</f>
        <v>#VALUE!</v>
      </c>
      <c r="I52" s="1356"/>
      <c r="J52" s="1362" t="s">
        <v>3990</v>
      </c>
      <c r="K52" s="1358" t="e">
        <f>SUM(K33:K51)</f>
        <v>#VALUE!</v>
      </c>
      <c r="L52" s="4163"/>
      <c r="M52" s="4163"/>
    </row>
    <row r="53" spans="1:13" ht="15" customHeight="1">
      <c r="B53" s="1363"/>
      <c r="C53" s="4149" t="s">
        <v>3991</v>
      </c>
      <c r="D53" s="4149"/>
      <c r="E53" s="4149"/>
      <c r="F53" s="4149"/>
      <c r="G53" s="4149"/>
      <c r="H53" s="4149"/>
      <c r="I53" s="4149"/>
      <c r="J53" s="4150"/>
      <c r="K53" s="1364" t="str">
        <f>IF(J17="no",0,IF(J17="yes",J16,"Error"))</f>
        <v>Error</v>
      </c>
      <c r="L53" s="4163"/>
      <c r="M53" s="4163"/>
    </row>
    <row r="54" spans="1:13" ht="15" customHeight="1" thickBot="1">
      <c r="B54" s="1363"/>
      <c r="C54" s="4151" t="s">
        <v>3992</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3993</v>
      </c>
      <c r="B56" s="4125"/>
      <c r="C56" s="4125"/>
      <c r="D56" s="4125"/>
      <c r="E56" s="4125"/>
      <c r="F56" s="4125"/>
      <c r="G56" s="4125"/>
      <c r="H56" s="4125"/>
      <c r="I56" s="4125"/>
      <c r="J56" s="4125"/>
      <c r="K56" s="4126"/>
    </row>
    <row r="57" spans="1:13" ht="48" customHeight="1">
      <c r="A57" s="1348"/>
      <c r="B57" s="1339"/>
      <c r="C57" s="1350" t="s">
        <v>3994</v>
      </c>
      <c r="D57" s="1483" t="s">
        <v>6062</v>
      </c>
      <c r="E57" s="4136" t="s">
        <v>4010</v>
      </c>
      <c r="F57" s="4137"/>
      <c r="G57" s="4810" t="s">
        <v>3995</v>
      </c>
      <c r="H57" s="4811"/>
      <c r="I57" s="4136" t="s">
        <v>4009</v>
      </c>
      <c r="J57" s="4137"/>
      <c r="K57" s="4140"/>
    </row>
    <row r="58" spans="1:13" ht="15" customHeight="1">
      <c r="A58" s="1465"/>
      <c r="B58" s="1381"/>
      <c r="C58" s="1359">
        <f>SUMIF(C33:C51, "0", H33:H51)</f>
        <v>0</v>
      </c>
      <c r="D58" s="1484">
        <f t="shared" ref="D58:D63" si="4">ROUNDUP(C58*1.1,0)</f>
        <v>0</v>
      </c>
      <c r="E58" s="4142" t="s">
        <v>3996</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2461</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2462</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2465</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3997</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3998</v>
      </c>
      <c r="F63" s="4134"/>
      <c r="G63" s="4806">
        <f>'DCA Underwriting Assumptions'!H133</f>
        <v>316236</v>
      </c>
      <c r="H63" s="4807"/>
      <c r="I63" s="4135">
        <f t="shared" si="5"/>
        <v>0</v>
      </c>
      <c r="J63" s="4135"/>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23"/>
      <c r="B65" s="4123"/>
      <c r="C65" s="4123"/>
      <c r="D65" s="4123"/>
      <c r="E65" s="4123"/>
      <c r="F65" s="4123"/>
      <c r="G65" s="4123"/>
      <c r="H65" s="4123"/>
      <c r="I65" s="4123"/>
      <c r="J65" s="4123"/>
    </row>
    <row r="66" spans="1:11">
      <c r="A66" s="4124" t="s">
        <v>4001</v>
      </c>
      <c r="B66" s="4125"/>
      <c r="C66" s="4125"/>
      <c r="D66" s="4125"/>
      <c r="E66" s="4125"/>
      <c r="F66" s="4125"/>
      <c r="G66" s="4125"/>
      <c r="H66" s="4125"/>
      <c r="I66" s="4125"/>
      <c r="J66" s="4125"/>
      <c r="K66" s="4126"/>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127" t="s">
        <v>4005</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Peaks of Douglas</v>
      </c>
    </row>
    <row r="2" spans="1:11">
      <c r="A2" s="560" t="s">
        <v>2881</v>
      </c>
      <c r="H2" s="432" t="str">
        <f>'Sensitivity Analysis'!E8</f>
        <v>2023-0</v>
      </c>
    </row>
    <row r="3" spans="1:11" ht="3" customHeight="1"/>
    <row r="4" spans="1:11" ht="51.75" customHeight="1">
      <c r="A4" s="4822" t="s">
        <v>2977</v>
      </c>
      <c r="B4" s="4822"/>
      <c r="C4" s="4822"/>
      <c r="D4" s="4822"/>
      <c r="E4" s="4822"/>
      <c r="F4" s="4822"/>
      <c r="G4" s="4822"/>
      <c r="H4" s="4822"/>
      <c r="J4" s="1009">
        <f>SUM('Part VI-Pro Forma'!B15:B17)/12</f>
        <v>47586.519</v>
      </c>
      <c r="K4" s="1008" t="s">
        <v>3662</v>
      </c>
    </row>
    <row r="5" spans="1:11" ht="1.5" customHeight="1"/>
    <row r="6" spans="1:11" ht="12.75" customHeight="1">
      <c r="B6" s="635" t="s">
        <v>2239</v>
      </c>
      <c r="C6" s="4822" t="s">
        <v>2882</v>
      </c>
      <c r="D6" s="4822"/>
      <c r="E6" s="4822"/>
      <c r="F6" s="4822"/>
      <c r="G6" s="4822"/>
      <c r="H6" s="4822"/>
    </row>
    <row r="7" spans="1:11" ht="12.75" customHeight="1">
      <c r="B7" s="635" t="s">
        <v>2240</v>
      </c>
      <c r="C7" s="4822" t="s">
        <v>2883</v>
      </c>
      <c r="D7" s="4822"/>
      <c r="E7" s="4822"/>
      <c r="F7" s="4822"/>
      <c r="G7" s="4822"/>
      <c r="H7" s="4822"/>
    </row>
    <row r="8" spans="1:11" ht="3" customHeight="1"/>
    <row r="9" spans="1:11">
      <c r="A9" s="432" t="s">
        <v>2884</v>
      </c>
    </row>
    <row r="10" spans="1:11" ht="1.5" customHeight="1"/>
    <row r="11" spans="1:11" ht="26.25" customHeight="1">
      <c r="A11" s="636" t="s">
        <v>1840</v>
      </c>
      <c r="B11" s="4826" t="s">
        <v>2974</v>
      </c>
      <c r="C11" s="4826"/>
      <c r="D11" s="4826"/>
      <c r="E11" s="4826"/>
      <c r="F11" s="4826"/>
      <c r="G11" s="4827">
        <f>'Part II-Sources of Funds'!I51+'Part II-Sources of Funds'!I52</f>
        <v>15094501</v>
      </c>
      <c r="H11" s="4827"/>
    </row>
    <row r="12" spans="1:11" ht="1.5" customHeight="1">
      <c r="G12" s="617"/>
      <c r="H12" s="617"/>
    </row>
    <row r="13" spans="1:11" ht="26.25" customHeight="1">
      <c r="A13" s="636" t="s">
        <v>1842</v>
      </c>
      <c r="B13" s="4826" t="s">
        <v>2975</v>
      </c>
      <c r="C13" s="4826"/>
      <c r="D13" s="4826"/>
      <c r="E13" s="4826"/>
      <c r="F13" s="4826"/>
      <c r="G13" s="4828" t="s">
        <v>2812</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2978</v>
      </c>
      <c r="G16" s="4829" t="s">
        <v>2651</v>
      </c>
      <c r="H16" s="4829"/>
    </row>
    <row r="17" spans="1:8" ht="1.5" customHeight="1">
      <c r="G17" s="620"/>
    </row>
    <row r="18" spans="1:8" ht="12" customHeight="1">
      <c r="A18" s="636" t="s">
        <v>1961</v>
      </c>
      <c r="B18" s="617" t="s">
        <v>2976</v>
      </c>
      <c r="C18" s="636"/>
      <c r="D18" s="636"/>
      <c r="E18" s="636"/>
      <c r="G18" s="4783" t="s">
        <v>2513</v>
      </c>
      <c r="H18" s="4783"/>
    </row>
    <row r="19" spans="1:8" ht="12" hidden="1" customHeight="1">
      <c r="B19" s="4783"/>
      <c r="C19" s="4783"/>
      <c r="D19" s="4783"/>
      <c r="E19" s="4783"/>
      <c r="F19" s="4783"/>
      <c r="G19" s="4783"/>
      <c r="H19" s="4783"/>
    </row>
    <row r="20" spans="1:8" ht="13.5" customHeight="1"/>
    <row r="21" spans="1:8" ht="12" customHeight="1">
      <c r="A21" s="560" t="s">
        <v>2885</v>
      </c>
    </row>
    <row r="22" spans="1:8" ht="3" customHeight="1"/>
    <row r="23" spans="1:8" ht="24.75" customHeight="1">
      <c r="A23" s="4830" t="s">
        <v>4079</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4084</v>
      </c>
      <c r="B27" s="4822"/>
      <c r="C27" s="4822"/>
      <c r="D27" s="4822"/>
      <c r="E27" s="4822"/>
      <c r="F27" s="4822"/>
      <c r="G27" s="4822"/>
      <c r="H27" s="4822"/>
    </row>
    <row r="28" spans="1:8" ht="9" customHeight="1">
      <c r="A28" s="611"/>
    </row>
    <row r="29" spans="1:8">
      <c r="A29" s="620" t="s">
        <v>2979</v>
      </c>
      <c r="B29" s="637" t="str">
        <f>IF('Part V-Revenues &amp; Expenses'!$K$62=0,"",'Part V-Revenues &amp; Expenses'!$K$62)</f>
        <v/>
      </c>
      <c r="C29" s="620" t="s">
        <v>4077</v>
      </c>
      <c r="D29" s="638" t="s">
        <v>4078</v>
      </c>
    </row>
    <row r="30" spans="1:8" ht="1.9" customHeight="1"/>
    <row r="31" spans="1:8" ht="12.75" customHeight="1">
      <c r="C31" s="617" t="s">
        <v>2886</v>
      </c>
      <c r="D31" s="639" t="s">
        <v>1843</v>
      </c>
      <c r="E31" s="640"/>
      <c r="F31" s="4822" t="s">
        <v>2887</v>
      </c>
      <c r="G31" s="4822"/>
      <c r="H31" s="4822"/>
    </row>
    <row r="32" spans="1:8" ht="12.75" customHeight="1">
      <c r="C32" s="641" t="s">
        <v>1275</v>
      </c>
      <c r="D32" s="639" t="s">
        <v>1845</v>
      </c>
      <c r="E32" s="4822" t="s">
        <v>2984</v>
      </c>
      <c r="F32" s="4822"/>
      <c r="G32" s="4822"/>
      <c r="H32" s="4822"/>
    </row>
    <row r="33" spans="1:11" ht="12.75" customHeight="1">
      <c r="C33" s="1449" t="s">
        <v>4082</v>
      </c>
      <c r="E33" s="4822" t="s">
        <v>3120</v>
      </c>
      <c r="F33" s="4822"/>
      <c r="G33" s="4822"/>
      <c r="H33" s="4822"/>
    </row>
    <row r="34" spans="1:11" ht="12.75" customHeight="1">
      <c r="C34" s="1450"/>
      <c r="D34" s="1448" t="s">
        <v>2983</v>
      </c>
      <c r="E34" s="4825" t="s">
        <v>3121</v>
      </c>
      <c r="F34" s="4825"/>
      <c r="G34" s="4825"/>
      <c r="H34" s="4825"/>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22" t="s">
        <v>2984</v>
      </c>
      <c r="F37" s="4822"/>
      <c r="G37" s="4822"/>
      <c r="H37" s="4822"/>
    </row>
    <row r="38" spans="1:11" ht="12.75" customHeight="1">
      <c r="C38" s="1449" t="s">
        <v>4082</v>
      </c>
      <c r="E38" s="4822" t="s">
        <v>3120</v>
      </c>
      <c r="F38" s="4822"/>
      <c r="G38" s="4822"/>
      <c r="H38" s="4822"/>
    </row>
    <row r="39" spans="1:11" ht="12.75" customHeight="1">
      <c r="C39" s="1450"/>
      <c r="D39" s="1448" t="s">
        <v>2983</v>
      </c>
      <c r="E39" s="4825" t="s">
        <v>3121</v>
      </c>
      <c r="F39" s="4825"/>
      <c r="G39" s="4825"/>
      <c r="H39" s="4825"/>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22" t="s">
        <v>2984</v>
      </c>
      <c r="F42" s="4822"/>
      <c r="G42" s="4822"/>
      <c r="H42" s="4822"/>
    </row>
    <row r="43" spans="1:11" ht="12.75" customHeight="1">
      <c r="C43" s="1449" t="s">
        <v>4082</v>
      </c>
      <c r="E43" s="4822" t="s">
        <v>3120</v>
      </c>
      <c r="F43" s="4822"/>
      <c r="G43" s="4822"/>
      <c r="H43" s="4822"/>
    </row>
    <row r="44" spans="1:11" ht="12.75" customHeight="1">
      <c r="C44" s="1450"/>
      <c r="D44" s="1448" t="s">
        <v>2983</v>
      </c>
      <c r="E44" s="4825" t="s">
        <v>3121</v>
      </c>
      <c r="F44" s="4825"/>
      <c r="G44" s="4825"/>
      <c r="H44" s="4825"/>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22" t="s">
        <v>2984</v>
      </c>
      <c r="F49" s="4822"/>
      <c r="G49" s="4822"/>
      <c r="H49" s="4822"/>
      <c r="K49" s="610"/>
    </row>
    <row r="50" spans="1:11" ht="12.75" customHeight="1">
      <c r="C50" s="1449" t="s">
        <v>4082</v>
      </c>
      <c r="E50" s="4822" t="s">
        <v>3120</v>
      </c>
      <c r="F50" s="4822"/>
      <c r="G50" s="4822"/>
      <c r="H50" s="4822"/>
    </row>
    <row r="51" spans="1:11" ht="12.75" customHeight="1">
      <c r="C51" s="1450"/>
      <c r="D51" s="642" t="s">
        <v>2983</v>
      </c>
      <c r="E51" s="4822" t="s">
        <v>3121</v>
      </c>
      <c r="F51" s="4822"/>
      <c r="G51" s="4822"/>
      <c r="H51" s="4822"/>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22" t="s">
        <v>2984</v>
      </c>
      <c r="F54" s="4822"/>
      <c r="G54" s="4822"/>
      <c r="H54" s="4822"/>
    </row>
    <row r="55" spans="1:11" ht="12.75" customHeight="1">
      <c r="C55" s="1449" t="s">
        <v>4082</v>
      </c>
      <c r="E55" s="4822" t="s">
        <v>3120</v>
      </c>
      <c r="F55" s="4822"/>
      <c r="G55" s="4822"/>
      <c r="H55" s="4822"/>
    </row>
    <row r="56" spans="1:11" ht="12.75" customHeight="1">
      <c r="C56" s="1450"/>
      <c r="D56" s="1448" t="s">
        <v>2983</v>
      </c>
      <c r="E56" s="4825" t="s">
        <v>3121</v>
      </c>
      <c r="F56" s="4825"/>
      <c r="G56" s="4825"/>
      <c r="H56" s="4825"/>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22" t="s">
        <v>2984</v>
      </c>
      <c r="F59" s="4822"/>
      <c r="G59" s="4822"/>
      <c r="H59" s="4822"/>
    </row>
    <row r="60" spans="1:11" ht="12.75" customHeight="1">
      <c r="C60" s="1449" t="s">
        <v>4082</v>
      </c>
      <c r="E60" s="4822" t="s">
        <v>3120</v>
      </c>
      <c r="F60" s="4822"/>
      <c r="G60" s="4822"/>
      <c r="H60" s="4822"/>
    </row>
    <row r="61" spans="1:11" ht="12.75" customHeight="1">
      <c r="C61" s="1450"/>
      <c r="D61" s="1448" t="s">
        <v>2983</v>
      </c>
      <c r="E61" s="4825" t="s">
        <v>3121</v>
      </c>
      <c r="F61" s="4825"/>
      <c r="G61" s="4825"/>
      <c r="H61" s="4825"/>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 customHeight="1"/>
    <row r="65" spans="1:8" ht="12.75" customHeight="1">
      <c r="C65" s="617" t="s">
        <v>2886</v>
      </c>
      <c r="D65" s="639" t="s">
        <v>1843</v>
      </c>
      <c r="E65" s="640"/>
      <c r="F65" s="636" t="s">
        <v>2887</v>
      </c>
      <c r="G65" s="636"/>
      <c r="H65" s="636"/>
    </row>
    <row r="66" spans="1:8" ht="12.75" customHeight="1">
      <c r="C66" s="641" t="s">
        <v>1275</v>
      </c>
      <c r="D66" s="639" t="s">
        <v>1845</v>
      </c>
      <c r="E66" s="4822" t="s">
        <v>2984</v>
      </c>
      <c r="F66" s="4822"/>
      <c r="G66" s="4822"/>
      <c r="H66" s="4822"/>
    </row>
    <row r="67" spans="1:8" ht="12.75" customHeight="1">
      <c r="C67" s="1449" t="s">
        <v>4082</v>
      </c>
      <c r="E67" s="4822" t="s">
        <v>3120</v>
      </c>
      <c r="F67" s="4822"/>
      <c r="G67" s="4822"/>
      <c r="H67" s="4822"/>
    </row>
    <row r="68" spans="1:8" ht="12.75" customHeight="1">
      <c r="C68" s="1450"/>
      <c r="D68" s="642" t="s">
        <v>2983</v>
      </c>
      <c r="E68" s="4822" t="s">
        <v>3121</v>
      </c>
      <c r="F68" s="4822"/>
      <c r="G68" s="4822"/>
      <c r="H68" s="4822"/>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22" t="s">
        <v>2984</v>
      </c>
      <c r="F71" s="4822"/>
      <c r="G71" s="4822"/>
      <c r="H71" s="4822"/>
    </row>
    <row r="72" spans="1:8" ht="12.75" customHeight="1">
      <c r="C72" s="1449" t="s">
        <v>4082</v>
      </c>
      <c r="E72" s="4822" t="s">
        <v>3120</v>
      </c>
      <c r="F72" s="4822"/>
      <c r="G72" s="4822"/>
      <c r="H72" s="4822"/>
    </row>
    <row r="73" spans="1:8" ht="12.75" customHeight="1">
      <c r="C73" s="1450"/>
      <c r="D73" s="1448" t="s">
        <v>2983</v>
      </c>
      <c r="E73" s="4825" t="s">
        <v>3121</v>
      </c>
      <c r="F73" s="4825"/>
      <c r="G73" s="4825"/>
      <c r="H73" s="4825"/>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22" t="s">
        <v>2984</v>
      </c>
      <c r="F76" s="4822"/>
      <c r="G76" s="4822"/>
      <c r="H76" s="4822"/>
    </row>
    <row r="77" spans="1:8" ht="12.75" customHeight="1">
      <c r="C77" s="1449" t="s">
        <v>4082</v>
      </c>
      <c r="E77" s="4822" t="s">
        <v>3120</v>
      </c>
      <c r="F77" s="4822"/>
      <c r="G77" s="4822"/>
      <c r="H77" s="4822"/>
    </row>
    <row r="78" spans="1:8" ht="12.75" customHeight="1">
      <c r="C78" s="1450"/>
      <c r="D78" s="1448" t="s">
        <v>2983</v>
      </c>
      <c r="E78" s="4825" t="s">
        <v>3121</v>
      </c>
      <c r="F78" s="4825"/>
      <c r="G78" s="4825"/>
      <c r="H78" s="4825"/>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 customHeight="1"/>
    <row r="82" spans="3:8" ht="12.75" customHeight="1">
      <c r="C82" s="617" t="s">
        <v>2886</v>
      </c>
      <c r="D82" s="639" t="s">
        <v>1843</v>
      </c>
      <c r="E82" s="640"/>
      <c r="F82" s="636" t="s">
        <v>2887</v>
      </c>
      <c r="G82" s="636"/>
      <c r="H82" s="636"/>
    </row>
    <row r="83" spans="3:8" ht="12.75" customHeight="1">
      <c r="C83" s="641" t="s">
        <v>1275</v>
      </c>
      <c r="D83" s="639" t="s">
        <v>1845</v>
      </c>
      <c r="E83" s="4822" t="s">
        <v>2984</v>
      </c>
      <c r="F83" s="4822"/>
      <c r="G83" s="4822"/>
      <c r="H83" s="4822"/>
    </row>
    <row r="84" spans="3:8" ht="12.75" customHeight="1">
      <c r="C84" s="1449" t="s">
        <v>4082</v>
      </c>
      <c r="E84" s="4822" t="s">
        <v>3120</v>
      </c>
      <c r="F84" s="4822"/>
      <c r="G84" s="4822"/>
      <c r="H84" s="4822"/>
    </row>
    <row r="85" spans="3:8" ht="12.75" customHeight="1">
      <c r="C85" s="1450"/>
      <c r="D85" s="642" t="s">
        <v>2983</v>
      </c>
      <c r="E85" s="4822" t="s">
        <v>3121</v>
      </c>
      <c r="F85" s="4822"/>
      <c r="G85" s="4822"/>
      <c r="H85" s="4822"/>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22" t="s">
        <v>2984</v>
      </c>
      <c r="F88" s="4822"/>
      <c r="G88" s="4822"/>
      <c r="H88" s="4822"/>
    </row>
    <row r="89" spans="3:8" ht="12.75" customHeight="1">
      <c r="C89" s="1449" t="s">
        <v>4082</v>
      </c>
      <c r="E89" s="4822" t="s">
        <v>3120</v>
      </c>
      <c r="F89" s="4822"/>
      <c r="G89" s="4822"/>
      <c r="H89" s="4822"/>
    </row>
    <row r="90" spans="3:8" ht="12.75" customHeight="1">
      <c r="C90" s="1450"/>
      <c r="D90" s="1448" t="s">
        <v>2983</v>
      </c>
      <c r="E90" s="4825" t="s">
        <v>3121</v>
      </c>
      <c r="F90" s="4825"/>
      <c r="G90" s="4825"/>
      <c r="H90" s="4825"/>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22" t="s">
        <v>2984</v>
      </c>
      <c r="F93" s="4822"/>
      <c r="G93" s="4822"/>
      <c r="H93" s="4822"/>
    </row>
    <row r="94" spans="3:8" ht="12.75" customHeight="1">
      <c r="C94" s="1449" t="s">
        <v>4082</v>
      </c>
      <c r="E94" s="4822" t="s">
        <v>3120</v>
      </c>
      <c r="F94" s="4822"/>
      <c r="G94" s="4822"/>
      <c r="H94" s="4822"/>
    </row>
    <row r="95" spans="3:8" ht="12.75" customHeight="1">
      <c r="C95" s="1450"/>
      <c r="D95" s="1448" t="s">
        <v>2983</v>
      </c>
      <c r="E95" s="4825" t="s">
        <v>3121</v>
      </c>
      <c r="F95" s="4825"/>
      <c r="G95" s="4825"/>
      <c r="H95" s="4825"/>
    </row>
    <row r="96" spans="3:8" ht="6" customHeight="1">
      <c r="D96" s="639"/>
      <c r="E96" s="1025"/>
      <c r="F96" s="1025"/>
      <c r="G96" s="1025"/>
      <c r="H96" s="1025"/>
    </row>
    <row r="97" spans="1:11">
      <c r="A97" s="620" t="s">
        <v>2979</v>
      </c>
      <c r="B97" s="637" t="str">
        <f>IF('Part V-Revenues &amp; Expenses'!$O$62=0,"",'Part V-Revenues &amp; Expenses'!$O$62)</f>
        <v/>
      </c>
      <c r="C97" s="620" t="s">
        <v>4080</v>
      </c>
      <c r="D97" s="638" t="s">
        <v>4081</v>
      </c>
    </row>
    <row r="98" spans="1:11" ht="1.9" customHeight="1"/>
    <row r="99" spans="1:11" ht="12.75" customHeight="1">
      <c r="C99" s="617" t="s">
        <v>2886</v>
      </c>
      <c r="D99" s="639" t="s">
        <v>1843</v>
      </c>
      <c r="E99" s="640"/>
      <c r="F99" s="4822" t="s">
        <v>2887</v>
      </c>
      <c r="G99" s="4822"/>
      <c r="H99" s="4822"/>
      <c r="K99" s="432" t="s">
        <v>233</v>
      </c>
    </row>
    <row r="100" spans="1:11" ht="12.75" customHeight="1">
      <c r="C100" s="641" t="s">
        <v>1275</v>
      </c>
      <c r="D100" s="639" t="s">
        <v>1845</v>
      </c>
      <c r="E100" s="4822" t="s">
        <v>2985</v>
      </c>
      <c r="F100" s="4822"/>
      <c r="G100" s="4822"/>
      <c r="H100" s="4822"/>
    </row>
    <row r="101" spans="1:11" ht="12.75" customHeight="1">
      <c r="E101" s="4822" t="s">
        <v>3120</v>
      </c>
      <c r="F101" s="4822"/>
      <c r="G101" s="4822"/>
      <c r="H101" s="4822"/>
    </row>
    <row r="102" spans="1:11" ht="12.75" customHeight="1">
      <c r="D102" s="642" t="s">
        <v>2983</v>
      </c>
      <c r="E102" s="4822" t="s">
        <v>3121</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4085</v>
      </c>
      <c r="B106" s="4822"/>
      <c r="C106" s="4822"/>
      <c r="D106" s="4822"/>
      <c r="E106" s="4822"/>
      <c r="F106" s="4822"/>
      <c r="G106" s="4822"/>
      <c r="H106" s="4822"/>
    </row>
    <row r="107" spans="1:11" ht="9" customHeight="1">
      <c r="A107" s="611"/>
    </row>
    <row r="108" spans="1:11">
      <c r="A108" s="620" t="s">
        <v>2979</v>
      </c>
      <c r="B108" s="637" t="str">
        <f>IF('Part V-Revenues &amp; Expenses'!$K$61=0,"",'Part V-Revenues &amp; Expenses'!$K$61)</f>
        <v/>
      </c>
      <c r="C108" s="620" t="s">
        <v>4077</v>
      </c>
      <c r="D108" s="638" t="s">
        <v>4078</v>
      </c>
    </row>
    <row r="109" spans="1:11" ht="1.9" customHeight="1"/>
    <row r="110" spans="1:11" ht="12.75" customHeight="1">
      <c r="C110" s="617" t="s">
        <v>2886</v>
      </c>
      <c r="D110" s="639" t="s">
        <v>1843</v>
      </c>
      <c r="E110" s="640"/>
      <c r="F110" s="4822" t="s">
        <v>2887</v>
      </c>
      <c r="G110" s="4822"/>
      <c r="H110" s="4822"/>
    </row>
    <row r="111" spans="1:11" ht="12.75" customHeight="1">
      <c r="C111" s="641" t="s">
        <v>1275</v>
      </c>
      <c r="D111" s="639" t="s">
        <v>1845</v>
      </c>
      <c r="E111" s="4822" t="s">
        <v>2984</v>
      </c>
      <c r="F111" s="4822"/>
      <c r="G111" s="4822"/>
      <c r="H111" s="4822"/>
    </row>
    <row r="112" spans="1:11" ht="12.75" customHeight="1">
      <c r="C112" s="1449" t="s">
        <v>4082</v>
      </c>
      <c r="E112" s="4822" t="s">
        <v>3120</v>
      </c>
      <c r="F112" s="4822"/>
      <c r="G112" s="4822"/>
      <c r="H112" s="4822"/>
    </row>
    <row r="113" spans="1:8" ht="12.75" customHeight="1">
      <c r="C113" s="1450"/>
      <c r="D113" s="1448" t="s">
        <v>2983</v>
      </c>
      <c r="E113" s="4825" t="s">
        <v>3121</v>
      </c>
      <c r="F113" s="4825"/>
      <c r="G113" s="4825"/>
      <c r="H113" s="4825"/>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22" t="s">
        <v>2984</v>
      </c>
      <c r="F116" s="4822"/>
      <c r="G116" s="4822"/>
      <c r="H116" s="4822"/>
    </row>
    <row r="117" spans="1:8" ht="12.75" customHeight="1">
      <c r="C117" s="1449" t="s">
        <v>4082</v>
      </c>
      <c r="E117" s="4822" t="s">
        <v>3120</v>
      </c>
      <c r="F117" s="4822"/>
      <c r="G117" s="4822"/>
      <c r="H117" s="4822"/>
    </row>
    <row r="118" spans="1:8" ht="12.75" customHeight="1">
      <c r="C118" s="1450"/>
      <c r="D118" s="1448" t="s">
        <v>2983</v>
      </c>
      <c r="E118" s="4825" t="s">
        <v>3121</v>
      </c>
      <c r="F118" s="4825"/>
      <c r="G118" s="4825"/>
      <c r="H118" s="4825"/>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22" t="s">
        <v>2984</v>
      </c>
      <c r="F121" s="4822"/>
      <c r="G121" s="4822"/>
      <c r="H121" s="4822"/>
    </row>
    <row r="122" spans="1:8" ht="12.75" customHeight="1">
      <c r="C122" s="1449" t="s">
        <v>4082</v>
      </c>
      <c r="E122" s="4822" t="s">
        <v>3120</v>
      </c>
      <c r="F122" s="4822"/>
      <c r="G122" s="4822"/>
      <c r="H122" s="4822"/>
    </row>
    <row r="123" spans="1:8" ht="12.75" customHeight="1">
      <c r="C123" s="1450"/>
      <c r="D123" s="1448" t="s">
        <v>2983</v>
      </c>
      <c r="E123" s="4825" t="s">
        <v>3121</v>
      </c>
      <c r="F123" s="4825"/>
      <c r="G123" s="4825"/>
      <c r="H123" s="4825"/>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 customHeight="1"/>
    <row r="127" spans="1:8" ht="12.75" customHeight="1">
      <c r="C127" s="617" t="s">
        <v>2886</v>
      </c>
      <c r="D127" s="639" t="s">
        <v>1843</v>
      </c>
      <c r="E127" s="640"/>
      <c r="F127" s="636" t="s">
        <v>2887</v>
      </c>
      <c r="G127" s="636"/>
      <c r="H127" s="636"/>
    </row>
    <row r="128" spans="1:8" ht="12.75" customHeight="1">
      <c r="C128" s="641" t="s">
        <v>1275</v>
      </c>
      <c r="D128" s="639" t="s">
        <v>1845</v>
      </c>
      <c r="E128" s="4822" t="s">
        <v>2984</v>
      </c>
      <c r="F128" s="4822"/>
      <c r="G128" s="4822"/>
      <c r="H128" s="4822"/>
    </row>
    <row r="129" spans="1:8" ht="12.75" customHeight="1">
      <c r="C129" s="1449" t="s">
        <v>4082</v>
      </c>
      <c r="E129" s="4822" t="s">
        <v>3120</v>
      </c>
      <c r="F129" s="4822"/>
      <c r="G129" s="4822"/>
      <c r="H129" s="4822"/>
    </row>
    <row r="130" spans="1:8" ht="12.75" customHeight="1">
      <c r="C130" s="1450"/>
      <c r="D130" s="642" t="s">
        <v>2983</v>
      </c>
      <c r="E130" s="4822" t="s">
        <v>3121</v>
      </c>
      <c r="F130" s="4822"/>
      <c r="G130" s="4822"/>
      <c r="H130" s="4822"/>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22" t="s">
        <v>2984</v>
      </c>
      <c r="F133" s="4822"/>
      <c r="G133" s="4822"/>
      <c r="H133" s="4822"/>
    </row>
    <row r="134" spans="1:8" ht="12.75" customHeight="1">
      <c r="C134" s="1449" t="s">
        <v>4082</v>
      </c>
      <c r="E134" s="4822" t="s">
        <v>3120</v>
      </c>
      <c r="F134" s="4822"/>
      <c r="G134" s="4822"/>
      <c r="H134" s="4822"/>
    </row>
    <row r="135" spans="1:8" ht="12.75" customHeight="1">
      <c r="C135" s="1450"/>
      <c r="D135" s="1448" t="s">
        <v>2983</v>
      </c>
      <c r="E135" s="4825" t="s">
        <v>3121</v>
      </c>
      <c r="F135" s="4825"/>
      <c r="G135" s="4825"/>
      <c r="H135" s="4825"/>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22" t="s">
        <v>2984</v>
      </c>
      <c r="F138" s="4822"/>
      <c r="G138" s="4822"/>
      <c r="H138" s="4822"/>
    </row>
    <row r="139" spans="1:8" ht="12.75" customHeight="1">
      <c r="C139" s="1449" t="s">
        <v>4082</v>
      </c>
      <c r="E139" s="4822" t="s">
        <v>3120</v>
      </c>
      <c r="F139" s="4822"/>
      <c r="G139" s="4822"/>
      <c r="H139" s="4822"/>
    </row>
    <row r="140" spans="1:8" ht="12.75" customHeight="1">
      <c r="C140" s="1450"/>
      <c r="D140" s="1448" t="s">
        <v>2983</v>
      </c>
      <c r="E140" s="4825" t="s">
        <v>3121</v>
      </c>
      <c r="F140" s="4825"/>
      <c r="G140" s="4825"/>
      <c r="H140" s="4825"/>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 customHeight="1"/>
    <row r="144" spans="1:8" ht="12.75" customHeight="1">
      <c r="C144" s="617" t="s">
        <v>2886</v>
      </c>
      <c r="D144" s="639" t="s">
        <v>1843</v>
      </c>
      <c r="E144" s="640"/>
      <c r="F144" s="636" t="s">
        <v>2887</v>
      </c>
      <c r="G144" s="636"/>
      <c r="H144" s="636"/>
    </row>
    <row r="145" spans="1:8" ht="12.75" customHeight="1">
      <c r="C145" s="641" t="s">
        <v>1275</v>
      </c>
      <c r="D145" s="639" t="s">
        <v>1845</v>
      </c>
      <c r="E145" s="4822" t="s">
        <v>2984</v>
      </c>
      <c r="F145" s="4822"/>
      <c r="G145" s="4822"/>
      <c r="H145" s="4822"/>
    </row>
    <row r="146" spans="1:8" ht="12.75" customHeight="1">
      <c r="C146" s="1449" t="s">
        <v>4082</v>
      </c>
      <c r="E146" s="4822" t="s">
        <v>3120</v>
      </c>
      <c r="F146" s="4822"/>
      <c r="G146" s="4822"/>
      <c r="H146" s="4822"/>
    </row>
    <row r="147" spans="1:8" ht="12.75" customHeight="1">
      <c r="C147" s="1450"/>
      <c r="D147" s="642" t="s">
        <v>2983</v>
      </c>
      <c r="E147" s="4822" t="s">
        <v>3121</v>
      </c>
      <c r="F147" s="4822"/>
      <c r="G147" s="4822"/>
      <c r="H147" s="4822"/>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22" t="s">
        <v>2984</v>
      </c>
      <c r="F150" s="4822"/>
      <c r="G150" s="4822"/>
      <c r="H150" s="4822"/>
    </row>
    <row r="151" spans="1:8" ht="12.75" customHeight="1">
      <c r="C151" s="1449" t="s">
        <v>4082</v>
      </c>
      <c r="E151" s="4822" t="s">
        <v>3120</v>
      </c>
      <c r="F151" s="4822"/>
      <c r="G151" s="4822"/>
      <c r="H151" s="4822"/>
    </row>
    <row r="152" spans="1:8" ht="12.75" customHeight="1">
      <c r="C152" s="1450"/>
      <c r="D152" s="1448" t="s">
        <v>2983</v>
      </c>
      <c r="E152" s="4825" t="s">
        <v>3121</v>
      </c>
      <c r="F152" s="4825"/>
      <c r="G152" s="4825"/>
      <c r="H152" s="4825"/>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22" t="s">
        <v>2984</v>
      </c>
      <c r="F155" s="4822"/>
      <c r="G155" s="4822"/>
      <c r="H155" s="4822"/>
    </row>
    <row r="156" spans="1:8" ht="12.75" customHeight="1">
      <c r="C156" s="1449" t="s">
        <v>4082</v>
      </c>
      <c r="E156" s="4822" t="s">
        <v>3120</v>
      </c>
      <c r="F156" s="4822"/>
      <c r="G156" s="4822"/>
      <c r="H156" s="4822"/>
    </row>
    <row r="157" spans="1:8" ht="12.75" customHeight="1">
      <c r="C157" s="1450"/>
      <c r="D157" s="1448" t="s">
        <v>2983</v>
      </c>
      <c r="E157" s="4825" t="s">
        <v>3121</v>
      </c>
      <c r="F157" s="4825"/>
      <c r="G157" s="4825"/>
      <c r="H157" s="4825"/>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 customHeight="1"/>
    <row r="161" spans="1:8" ht="12.75" customHeight="1">
      <c r="C161" s="617" t="s">
        <v>2886</v>
      </c>
      <c r="D161" s="639" t="s">
        <v>1843</v>
      </c>
      <c r="E161" s="640"/>
      <c r="F161" s="636" t="s">
        <v>2887</v>
      </c>
      <c r="G161" s="636"/>
      <c r="H161" s="636"/>
    </row>
    <row r="162" spans="1:8" ht="12.75" customHeight="1">
      <c r="C162" s="641" t="s">
        <v>1275</v>
      </c>
      <c r="D162" s="639" t="s">
        <v>1845</v>
      </c>
      <c r="E162" s="4822" t="s">
        <v>2984</v>
      </c>
      <c r="F162" s="4822"/>
      <c r="G162" s="4822"/>
      <c r="H162" s="4822"/>
    </row>
    <row r="163" spans="1:8" ht="12.75" customHeight="1">
      <c r="C163" s="1449" t="s">
        <v>4082</v>
      </c>
      <c r="E163" s="4822" t="s">
        <v>3120</v>
      </c>
      <c r="F163" s="4822"/>
      <c r="G163" s="4822"/>
      <c r="H163" s="4822"/>
    </row>
    <row r="164" spans="1:8" ht="12.75" customHeight="1">
      <c r="C164" s="1450"/>
      <c r="D164" s="642" t="s">
        <v>2983</v>
      </c>
      <c r="E164" s="4822" t="s">
        <v>3121</v>
      </c>
      <c r="F164" s="4822"/>
      <c r="G164" s="4822"/>
      <c r="H164" s="4822"/>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22" t="s">
        <v>2984</v>
      </c>
      <c r="F167" s="4822"/>
      <c r="G167" s="4822"/>
      <c r="H167" s="4822"/>
    </row>
    <row r="168" spans="1:8" ht="12.75" customHeight="1">
      <c r="C168" s="1449" t="s">
        <v>4082</v>
      </c>
      <c r="E168" s="4822" t="s">
        <v>3120</v>
      </c>
      <c r="F168" s="4822"/>
      <c r="G168" s="4822"/>
      <c r="H168" s="4822"/>
    </row>
    <row r="169" spans="1:8" ht="12.75" customHeight="1">
      <c r="C169" s="1450"/>
      <c r="D169" s="1448" t="s">
        <v>2983</v>
      </c>
      <c r="E169" s="4825" t="s">
        <v>3121</v>
      </c>
      <c r="F169" s="4825"/>
      <c r="G169" s="4825"/>
      <c r="H169" s="4825"/>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22" t="s">
        <v>2984</v>
      </c>
      <c r="F172" s="4822"/>
      <c r="G172" s="4822"/>
      <c r="H172" s="4822"/>
    </row>
    <row r="173" spans="1:8" ht="12.75" customHeight="1">
      <c r="C173" s="1449" t="s">
        <v>4082</v>
      </c>
      <c r="E173" s="4822" t="s">
        <v>3120</v>
      </c>
      <c r="F173" s="4822"/>
      <c r="G173" s="4822"/>
      <c r="H173" s="4822"/>
    </row>
    <row r="174" spans="1:8" ht="12.75" customHeight="1">
      <c r="C174" s="1450"/>
      <c r="D174" s="1448" t="s">
        <v>2983</v>
      </c>
      <c r="E174" s="4825" t="s">
        <v>3121</v>
      </c>
      <c r="F174" s="4825"/>
      <c r="G174" s="4825"/>
      <c r="H174" s="4825"/>
    </row>
    <row r="175" spans="1:8" ht="6" customHeight="1">
      <c r="D175" s="639"/>
      <c r="E175" s="1025"/>
      <c r="F175" s="1025"/>
      <c r="G175" s="1025"/>
      <c r="H175" s="1025"/>
    </row>
    <row r="176" spans="1:8">
      <c r="A176" s="620" t="s">
        <v>2979</v>
      </c>
      <c r="B176" s="637" t="str">
        <f>IF('Part V-Revenues &amp; Expenses'!$O61=0,"",'Part V-Revenues &amp; Expenses'!$O$61)</f>
        <v/>
      </c>
      <c r="C176" s="620" t="s">
        <v>4080</v>
      </c>
      <c r="D176" s="638" t="s">
        <v>4081</v>
      </c>
    </row>
    <row r="177" spans="1:11" ht="1.9" customHeight="1"/>
    <row r="178" spans="1:11" ht="12.75" customHeight="1">
      <c r="C178" s="617" t="s">
        <v>2886</v>
      </c>
      <c r="D178" s="639" t="s">
        <v>1843</v>
      </c>
      <c r="E178" s="640"/>
      <c r="F178" s="4822" t="s">
        <v>2887</v>
      </c>
      <c r="G178" s="4822"/>
      <c r="H178" s="4822"/>
      <c r="K178" s="432" t="s">
        <v>233</v>
      </c>
    </row>
    <row r="179" spans="1:11" ht="12.75" customHeight="1">
      <c r="C179" s="641" t="s">
        <v>1275</v>
      </c>
      <c r="D179" s="639" t="s">
        <v>1845</v>
      </c>
      <c r="E179" s="4822" t="s">
        <v>2985</v>
      </c>
      <c r="F179" s="4822"/>
      <c r="G179" s="4822"/>
      <c r="H179" s="4822"/>
    </row>
    <row r="180" spans="1:11" ht="12.75" customHeight="1">
      <c r="E180" s="4822" t="s">
        <v>3120</v>
      </c>
      <c r="F180" s="4822"/>
      <c r="G180" s="4822"/>
      <c r="H180" s="4822"/>
    </row>
    <row r="181" spans="1:11" ht="12.75" customHeight="1">
      <c r="D181" s="642" t="s">
        <v>2983</v>
      </c>
      <c r="E181" s="4822" t="s">
        <v>3121</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4086</v>
      </c>
      <c r="B185" s="4822"/>
      <c r="C185" s="4822"/>
      <c r="D185" s="4822"/>
      <c r="E185" s="4822"/>
      <c r="F185" s="4822"/>
      <c r="G185" s="4822"/>
      <c r="H185" s="4822"/>
    </row>
    <row r="186" spans="1:11" ht="9" customHeight="1">
      <c r="A186" s="611"/>
    </row>
    <row r="187" spans="1:11">
      <c r="A187" s="620" t="s">
        <v>2979</v>
      </c>
      <c r="B187" s="637" t="str">
        <f>IF('Part V-Revenues &amp; Expenses'!$K$60=0,"",'Part V-Revenues &amp; Expenses'!$K$60)</f>
        <v/>
      </c>
      <c r="C187" s="620" t="s">
        <v>4077</v>
      </c>
      <c r="D187" s="638" t="s">
        <v>4078</v>
      </c>
    </row>
    <row r="188" spans="1:11" ht="1.9" customHeight="1"/>
    <row r="189" spans="1:11" ht="12.75" customHeight="1">
      <c r="C189" s="617" t="s">
        <v>2886</v>
      </c>
      <c r="D189" s="639" t="s">
        <v>1843</v>
      </c>
      <c r="E189" s="640"/>
      <c r="F189" s="4822" t="s">
        <v>2887</v>
      </c>
      <c r="G189" s="4822"/>
      <c r="H189" s="4822"/>
    </row>
    <row r="190" spans="1:11" ht="12.75" customHeight="1">
      <c r="C190" s="641" t="s">
        <v>1275</v>
      </c>
      <c r="D190" s="639" t="s">
        <v>1845</v>
      </c>
      <c r="E190" s="4822" t="s">
        <v>2984</v>
      </c>
      <c r="F190" s="4822"/>
      <c r="G190" s="4822"/>
      <c r="H190" s="4822"/>
    </row>
    <row r="191" spans="1:11" ht="12.75" customHeight="1">
      <c r="C191" s="1449" t="s">
        <v>4082</v>
      </c>
      <c r="E191" s="4822" t="s">
        <v>3120</v>
      </c>
      <c r="F191" s="4822"/>
      <c r="G191" s="4822"/>
      <c r="H191" s="4822"/>
    </row>
    <row r="192" spans="1:11" ht="12.75" customHeight="1">
      <c r="C192" s="1450"/>
      <c r="D192" s="1448" t="s">
        <v>2983</v>
      </c>
      <c r="E192" s="4825" t="s">
        <v>3121</v>
      </c>
      <c r="F192" s="4825"/>
      <c r="G192" s="4825"/>
      <c r="H192" s="4825"/>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22" t="s">
        <v>2984</v>
      </c>
      <c r="F195" s="4822"/>
      <c r="G195" s="4822"/>
      <c r="H195" s="4822"/>
    </row>
    <row r="196" spans="1:8" ht="12.75" customHeight="1">
      <c r="C196" s="1449" t="s">
        <v>4082</v>
      </c>
      <c r="E196" s="4822" t="s">
        <v>3120</v>
      </c>
      <c r="F196" s="4822"/>
      <c r="G196" s="4822"/>
      <c r="H196" s="4822"/>
    </row>
    <row r="197" spans="1:8" ht="12.75" customHeight="1">
      <c r="C197" s="1450"/>
      <c r="D197" s="1448" t="s">
        <v>2983</v>
      </c>
      <c r="E197" s="4825" t="s">
        <v>3121</v>
      </c>
      <c r="F197" s="4825"/>
      <c r="G197" s="4825"/>
      <c r="H197" s="4825"/>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22" t="s">
        <v>2984</v>
      </c>
      <c r="F200" s="4822"/>
      <c r="G200" s="4822"/>
      <c r="H200" s="4822"/>
    </row>
    <row r="201" spans="1:8" ht="12.75" customHeight="1">
      <c r="C201" s="1449" t="s">
        <v>4082</v>
      </c>
      <c r="E201" s="4822" t="s">
        <v>3120</v>
      </c>
      <c r="F201" s="4822"/>
      <c r="G201" s="4822"/>
      <c r="H201" s="4822"/>
    </row>
    <row r="202" spans="1:8" ht="12.75" customHeight="1">
      <c r="C202" s="1450"/>
      <c r="D202" s="1448" t="s">
        <v>2983</v>
      </c>
      <c r="E202" s="4825" t="s">
        <v>3121</v>
      </c>
      <c r="F202" s="4825"/>
      <c r="G202" s="4825"/>
      <c r="H202" s="4825"/>
    </row>
    <row r="203" spans="1:8" ht="6" customHeight="1">
      <c r="D203" s="639"/>
      <c r="E203" s="1025"/>
      <c r="F203" s="1025"/>
      <c r="G203" s="1025"/>
      <c r="H203" s="1025"/>
    </row>
    <row r="204" spans="1:8">
      <c r="A204" s="620" t="s">
        <v>2979</v>
      </c>
      <c r="B204" s="637">
        <f>IF('Part V-Revenues &amp; Expenses'!$L$60=0,"",'Part V-Revenues &amp; Expenses'!$L$60)</f>
        <v>4</v>
      </c>
      <c r="C204" s="620" t="s">
        <v>2980</v>
      </c>
      <c r="D204" s="638" t="s">
        <v>3122</v>
      </c>
    </row>
    <row r="205" spans="1:8" ht="1.9" customHeight="1"/>
    <row r="206" spans="1:8" ht="12.75" customHeight="1">
      <c r="C206" s="617" t="s">
        <v>2886</v>
      </c>
      <c r="D206" s="639" t="s">
        <v>1843</v>
      </c>
      <c r="E206" s="640"/>
      <c r="F206" s="636" t="s">
        <v>2887</v>
      </c>
      <c r="G206" s="636"/>
      <c r="H206" s="636"/>
    </row>
    <row r="207" spans="1:8" ht="12.75" customHeight="1">
      <c r="C207" s="641" t="s">
        <v>1275</v>
      </c>
      <c r="D207" s="639" t="s">
        <v>1845</v>
      </c>
      <c r="E207" s="4822" t="s">
        <v>2984</v>
      </c>
      <c r="F207" s="4822"/>
      <c r="G207" s="4822"/>
      <c r="H207" s="4822"/>
    </row>
    <row r="208" spans="1:8" ht="12.75" customHeight="1">
      <c r="C208" s="1449" t="s">
        <v>4082</v>
      </c>
      <c r="E208" s="4822" t="s">
        <v>3120</v>
      </c>
      <c r="F208" s="4822"/>
      <c r="G208" s="4822"/>
      <c r="H208" s="4822"/>
    </row>
    <row r="209" spans="1:8" ht="12.75" customHeight="1">
      <c r="C209" s="1450"/>
      <c r="D209" s="642" t="s">
        <v>2983</v>
      </c>
      <c r="E209" s="4822" t="s">
        <v>3121</v>
      </c>
      <c r="F209" s="4822"/>
      <c r="G209" s="4822"/>
      <c r="H209" s="4822"/>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22" t="s">
        <v>2984</v>
      </c>
      <c r="F212" s="4822"/>
      <c r="G212" s="4822"/>
      <c r="H212" s="4822"/>
    </row>
    <row r="213" spans="1:8" ht="12.75" customHeight="1">
      <c r="C213" s="1449" t="s">
        <v>4082</v>
      </c>
      <c r="E213" s="4822" t="s">
        <v>3120</v>
      </c>
      <c r="F213" s="4822"/>
      <c r="G213" s="4822"/>
      <c r="H213" s="4822"/>
    </row>
    <row r="214" spans="1:8" ht="12.75" customHeight="1">
      <c r="C214" s="1450"/>
      <c r="D214" s="1448" t="s">
        <v>2983</v>
      </c>
      <c r="E214" s="4825" t="s">
        <v>3121</v>
      </c>
      <c r="F214" s="4825"/>
      <c r="G214" s="4825"/>
      <c r="H214" s="4825"/>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22" t="s">
        <v>2984</v>
      </c>
      <c r="F217" s="4822"/>
      <c r="G217" s="4822"/>
      <c r="H217" s="4822"/>
    </row>
    <row r="218" spans="1:8" ht="12.75" customHeight="1">
      <c r="C218" s="1449" t="s">
        <v>4082</v>
      </c>
      <c r="E218" s="4822" t="s">
        <v>3120</v>
      </c>
      <c r="F218" s="4822"/>
      <c r="G218" s="4822"/>
      <c r="H218" s="4822"/>
    </row>
    <row r="219" spans="1:8" ht="12.75" customHeight="1">
      <c r="C219" s="1450"/>
      <c r="D219" s="1448" t="s">
        <v>2983</v>
      </c>
      <c r="E219" s="4825" t="s">
        <v>3121</v>
      </c>
      <c r="F219" s="4825"/>
      <c r="G219" s="4825"/>
      <c r="H219" s="4825"/>
    </row>
    <row r="220" spans="1:8" ht="6" customHeight="1">
      <c r="D220" s="639"/>
      <c r="E220" s="1025"/>
      <c r="F220" s="1025"/>
      <c r="G220" s="1025"/>
      <c r="H220" s="1025"/>
    </row>
    <row r="221" spans="1:8">
      <c r="A221" s="620" t="s">
        <v>2979</v>
      </c>
      <c r="B221" s="637">
        <f>IF('Part V-Revenues &amp; Expenses'!$M$60=0,"",'Part V-Revenues &amp; Expenses'!$M$60)</f>
        <v>3</v>
      </c>
      <c r="C221" s="620" t="s">
        <v>2981</v>
      </c>
      <c r="D221" s="638" t="s">
        <v>3123</v>
      </c>
    </row>
    <row r="222" spans="1:8" ht="1.9" customHeight="1"/>
    <row r="223" spans="1:8" ht="12.75" customHeight="1">
      <c r="C223" s="617" t="s">
        <v>2886</v>
      </c>
      <c r="D223" s="639" t="s">
        <v>1843</v>
      </c>
      <c r="E223" s="640"/>
      <c r="F223" s="636" t="s">
        <v>2887</v>
      </c>
      <c r="G223" s="636"/>
      <c r="H223" s="636"/>
    </row>
    <row r="224" spans="1:8" ht="12.75" customHeight="1">
      <c r="C224" s="641" t="s">
        <v>1275</v>
      </c>
      <c r="D224" s="639" t="s">
        <v>1845</v>
      </c>
      <c r="E224" s="4822" t="s">
        <v>2984</v>
      </c>
      <c r="F224" s="4822"/>
      <c r="G224" s="4822"/>
      <c r="H224" s="4822"/>
    </row>
    <row r="225" spans="1:8" ht="12.75" customHeight="1">
      <c r="C225" s="1449" t="s">
        <v>4082</v>
      </c>
      <c r="E225" s="4822" t="s">
        <v>3120</v>
      </c>
      <c r="F225" s="4822"/>
      <c r="G225" s="4822"/>
      <c r="H225" s="4822"/>
    </row>
    <row r="226" spans="1:8" ht="12.75" customHeight="1">
      <c r="C226" s="1450"/>
      <c r="D226" s="642" t="s">
        <v>2983</v>
      </c>
      <c r="E226" s="4822" t="s">
        <v>3121</v>
      </c>
      <c r="F226" s="4822"/>
      <c r="G226" s="4822"/>
      <c r="H226" s="4822"/>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22" t="s">
        <v>2984</v>
      </c>
      <c r="F229" s="4822"/>
      <c r="G229" s="4822"/>
      <c r="H229" s="4822"/>
    </row>
    <row r="230" spans="1:8" ht="12.75" customHeight="1">
      <c r="C230" s="1449" t="s">
        <v>4082</v>
      </c>
      <c r="E230" s="4822" t="s">
        <v>3120</v>
      </c>
      <c r="F230" s="4822"/>
      <c r="G230" s="4822"/>
      <c r="H230" s="4822"/>
    </row>
    <row r="231" spans="1:8" ht="12.75" customHeight="1">
      <c r="C231" s="1450"/>
      <c r="D231" s="1448" t="s">
        <v>2983</v>
      </c>
      <c r="E231" s="4825" t="s">
        <v>3121</v>
      </c>
      <c r="F231" s="4825"/>
      <c r="G231" s="4825"/>
      <c r="H231" s="4825"/>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22" t="s">
        <v>2984</v>
      </c>
      <c r="F234" s="4822"/>
      <c r="G234" s="4822"/>
      <c r="H234" s="4822"/>
    </row>
    <row r="235" spans="1:8" ht="12.75" customHeight="1">
      <c r="C235" s="1449" t="s">
        <v>4082</v>
      </c>
      <c r="E235" s="4822" t="s">
        <v>3120</v>
      </c>
      <c r="F235" s="4822"/>
      <c r="G235" s="4822"/>
      <c r="H235" s="4822"/>
    </row>
    <row r="236" spans="1:8" ht="12.75" customHeight="1">
      <c r="C236" s="1450"/>
      <c r="D236" s="1448" t="s">
        <v>2983</v>
      </c>
      <c r="E236" s="4825" t="s">
        <v>3121</v>
      </c>
      <c r="F236" s="4825"/>
      <c r="G236" s="4825"/>
      <c r="H236" s="4825"/>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 customHeight="1"/>
    <row r="240" spans="1:8" ht="12.75" customHeight="1">
      <c r="C240" s="617" t="s">
        <v>2886</v>
      </c>
      <c r="D240" s="639" t="s">
        <v>1843</v>
      </c>
      <c r="E240" s="640"/>
      <c r="F240" s="636" t="s">
        <v>2887</v>
      </c>
      <c r="G240" s="636"/>
      <c r="H240" s="636"/>
    </row>
    <row r="241" spans="1:8" ht="12.75" customHeight="1">
      <c r="C241" s="641" t="s">
        <v>1275</v>
      </c>
      <c r="D241" s="639" t="s">
        <v>1845</v>
      </c>
      <c r="E241" s="4822" t="s">
        <v>2984</v>
      </c>
      <c r="F241" s="4822"/>
      <c r="G241" s="4822"/>
      <c r="H241" s="4822"/>
    </row>
    <row r="242" spans="1:8" ht="12.75" customHeight="1">
      <c r="C242" s="1449" t="s">
        <v>4082</v>
      </c>
      <c r="E242" s="4822" t="s">
        <v>3120</v>
      </c>
      <c r="F242" s="4822"/>
      <c r="G242" s="4822"/>
      <c r="H242" s="4822"/>
    </row>
    <row r="243" spans="1:8" ht="12.75" customHeight="1">
      <c r="C243" s="1450"/>
      <c r="D243" s="642" t="s">
        <v>2983</v>
      </c>
      <c r="E243" s="4822" t="s">
        <v>3121</v>
      </c>
      <c r="F243" s="4822"/>
      <c r="G243" s="4822"/>
      <c r="H243" s="4822"/>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22" t="s">
        <v>2984</v>
      </c>
      <c r="F246" s="4822"/>
      <c r="G246" s="4822"/>
      <c r="H246" s="4822"/>
    </row>
    <row r="247" spans="1:8" ht="12.75" customHeight="1">
      <c r="C247" s="1449" t="s">
        <v>4082</v>
      </c>
      <c r="E247" s="4822" t="s">
        <v>3120</v>
      </c>
      <c r="F247" s="4822"/>
      <c r="G247" s="4822"/>
      <c r="H247" s="4822"/>
    </row>
    <row r="248" spans="1:8" ht="12.75" customHeight="1">
      <c r="C248" s="1450"/>
      <c r="D248" s="1448" t="s">
        <v>2983</v>
      </c>
      <c r="E248" s="4825" t="s">
        <v>3121</v>
      </c>
      <c r="F248" s="4825"/>
      <c r="G248" s="4825"/>
      <c r="H248" s="4825"/>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22" t="s">
        <v>2984</v>
      </c>
      <c r="F251" s="4822"/>
      <c r="G251" s="4822"/>
      <c r="H251" s="4822"/>
    </row>
    <row r="252" spans="1:8" ht="12.75" customHeight="1">
      <c r="C252" s="1449" t="s">
        <v>4082</v>
      </c>
      <c r="E252" s="4822" t="s">
        <v>3120</v>
      </c>
      <c r="F252" s="4822"/>
      <c r="G252" s="4822"/>
      <c r="H252" s="4822"/>
    </row>
    <row r="253" spans="1:8" ht="12.75" customHeight="1">
      <c r="C253" s="1450"/>
      <c r="D253" s="1448" t="s">
        <v>2983</v>
      </c>
      <c r="E253" s="4825" t="s">
        <v>3121</v>
      </c>
      <c r="F253" s="4825"/>
      <c r="G253" s="4825"/>
      <c r="H253" s="4825"/>
    </row>
    <row r="254" spans="1:8" ht="6" customHeight="1">
      <c r="D254" s="639"/>
      <c r="E254" s="1025"/>
      <c r="F254" s="1025"/>
      <c r="G254" s="1025"/>
      <c r="H254" s="1025"/>
    </row>
    <row r="255" spans="1:8">
      <c r="A255" s="620" t="s">
        <v>2979</v>
      </c>
      <c r="B255" s="637" t="str">
        <f>IF('Part V-Revenues &amp; Expenses'!$O$60=0,"",'Part V-Revenues &amp; Expenses'!$O$60)</f>
        <v/>
      </c>
      <c r="C255" s="620" t="s">
        <v>4080</v>
      </c>
      <c r="D255" s="638" t="s">
        <v>4081</v>
      </c>
    </row>
    <row r="256" spans="1:8" ht="1.9" customHeight="1"/>
    <row r="257" spans="1:11" ht="12.75" customHeight="1">
      <c r="C257" s="617" t="s">
        <v>2886</v>
      </c>
      <c r="D257" s="639" t="s">
        <v>1843</v>
      </c>
      <c r="E257" s="640"/>
      <c r="F257" s="4822" t="s">
        <v>2887</v>
      </c>
      <c r="G257" s="4822"/>
      <c r="H257" s="4822"/>
      <c r="K257" s="432" t="s">
        <v>233</v>
      </c>
    </row>
    <row r="258" spans="1:11" ht="12.75" customHeight="1">
      <c r="C258" s="641" t="s">
        <v>1275</v>
      </c>
      <c r="D258" s="639" t="s">
        <v>1845</v>
      </c>
      <c r="E258" s="4822" t="s">
        <v>2985</v>
      </c>
      <c r="F258" s="4822"/>
      <c r="G258" s="4822"/>
      <c r="H258" s="4822"/>
    </row>
    <row r="259" spans="1:11" ht="12.75" customHeight="1">
      <c r="E259" s="4822" t="s">
        <v>3120</v>
      </c>
      <c r="F259" s="4822"/>
      <c r="G259" s="4822"/>
      <c r="H259" s="4822"/>
    </row>
    <row r="260" spans="1:11" ht="12.75" customHeight="1">
      <c r="D260" s="642" t="s">
        <v>2983</v>
      </c>
      <c r="E260" s="4822" t="s">
        <v>3121</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4083</v>
      </c>
      <c r="B264" s="4822"/>
      <c r="C264" s="4822"/>
      <c r="D264" s="4822"/>
      <c r="E264" s="4822"/>
      <c r="F264" s="4822"/>
      <c r="G264" s="4822"/>
      <c r="H264" s="4822"/>
    </row>
    <row r="265" spans="1:11" ht="9" customHeight="1">
      <c r="A265" s="611"/>
    </row>
    <row r="266" spans="1:11">
      <c r="A266" s="620" t="s">
        <v>2979</v>
      </c>
      <c r="B266" s="637" t="str">
        <f>IF('Part V-Revenues &amp; Expenses'!$K$59=0,"",'Part V-Revenues &amp; Expenses'!$K$59)</f>
        <v/>
      </c>
      <c r="C266" s="620" t="s">
        <v>4077</v>
      </c>
      <c r="D266" s="638" t="s">
        <v>4078</v>
      </c>
    </row>
    <row r="267" spans="1:11" ht="1.9" customHeight="1"/>
    <row r="268" spans="1:11" ht="12.75" customHeight="1">
      <c r="C268" s="617" t="s">
        <v>2886</v>
      </c>
      <c r="D268" s="639" t="s">
        <v>1843</v>
      </c>
      <c r="E268" s="640"/>
      <c r="F268" s="4822" t="s">
        <v>2887</v>
      </c>
      <c r="G268" s="4822"/>
      <c r="H268" s="4822"/>
    </row>
    <row r="269" spans="1:11" ht="12.75" customHeight="1">
      <c r="C269" s="641" t="s">
        <v>1275</v>
      </c>
      <c r="D269" s="639" t="s">
        <v>1845</v>
      </c>
      <c r="E269" s="4822" t="s">
        <v>2984</v>
      </c>
      <c r="F269" s="4822"/>
      <c r="G269" s="4822"/>
      <c r="H269" s="4822"/>
    </row>
    <row r="270" spans="1:11" ht="12.75" customHeight="1">
      <c r="C270" s="1449" t="s">
        <v>4082</v>
      </c>
      <c r="E270" s="4822" t="s">
        <v>3120</v>
      </c>
      <c r="F270" s="4822"/>
      <c r="G270" s="4822"/>
      <c r="H270" s="4822"/>
    </row>
    <row r="271" spans="1:11" ht="12.75" customHeight="1">
      <c r="C271" s="1450"/>
      <c r="D271" s="1448" t="s">
        <v>2983</v>
      </c>
      <c r="E271" s="4825" t="s">
        <v>3121</v>
      </c>
      <c r="F271" s="4825"/>
      <c r="G271" s="4825"/>
      <c r="H271" s="4825"/>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22" t="s">
        <v>2984</v>
      </c>
      <c r="F274" s="4822"/>
      <c r="G274" s="4822"/>
      <c r="H274" s="4822"/>
    </row>
    <row r="275" spans="1:8" ht="12.75" customHeight="1">
      <c r="C275" s="1449" t="s">
        <v>4082</v>
      </c>
      <c r="E275" s="4822" t="s">
        <v>3120</v>
      </c>
      <c r="F275" s="4822"/>
      <c r="G275" s="4822"/>
      <c r="H275" s="4822"/>
    </row>
    <row r="276" spans="1:8" ht="12.75" customHeight="1">
      <c r="C276" s="1450"/>
      <c r="D276" s="1448" t="s">
        <v>2983</v>
      </c>
      <c r="E276" s="4825" t="s">
        <v>3121</v>
      </c>
      <c r="F276" s="4825"/>
      <c r="G276" s="4825"/>
      <c r="H276" s="4825"/>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22" t="s">
        <v>2984</v>
      </c>
      <c r="F279" s="4822"/>
      <c r="G279" s="4822"/>
      <c r="H279" s="4822"/>
    </row>
    <row r="280" spans="1:8" ht="12.75" customHeight="1">
      <c r="C280" s="1449" t="s">
        <v>4082</v>
      </c>
      <c r="E280" s="4822" t="s">
        <v>3120</v>
      </c>
      <c r="F280" s="4822"/>
      <c r="G280" s="4822"/>
      <c r="H280" s="4822"/>
    </row>
    <row r="281" spans="1:8" ht="12.75" customHeight="1">
      <c r="C281" s="1450"/>
      <c r="D281" s="1448" t="s">
        <v>2983</v>
      </c>
      <c r="E281" s="4825" t="s">
        <v>3121</v>
      </c>
      <c r="F281" s="4825"/>
      <c r="G281" s="4825"/>
      <c r="H281" s="4825"/>
    </row>
    <row r="282" spans="1:8" ht="6" customHeight="1">
      <c r="D282" s="639"/>
      <c r="E282" s="1025"/>
      <c r="F282" s="1025"/>
      <c r="G282" s="1025"/>
      <c r="H282" s="1025"/>
    </row>
    <row r="283" spans="1:8">
      <c r="A283" s="620" t="s">
        <v>2979</v>
      </c>
      <c r="B283" s="637">
        <f>IF('Part V-Revenues &amp; Expenses'!$L$59=0,"",'Part V-Revenues &amp; Expenses'!$L$59)</f>
        <v>7</v>
      </c>
      <c r="C283" s="620" t="s">
        <v>2980</v>
      </c>
      <c r="D283" s="638" t="s">
        <v>3122</v>
      </c>
    </row>
    <row r="284" spans="1:8" ht="1.9" customHeight="1"/>
    <row r="285" spans="1:8" ht="12.75" customHeight="1">
      <c r="C285" s="617" t="s">
        <v>2886</v>
      </c>
      <c r="D285" s="639" t="s">
        <v>1843</v>
      </c>
      <c r="E285" s="640"/>
      <c r="F285" s="636" t="s">
        <v>2887</v>
      </c>
      <c r="G285" s="636"/>
      <c r="H285" s="636"/>
    </row>
    <row r="286" spans="1:8" ht="12.75" customHeight="1">
      <c r="C286" s="641" t="s">
        <v>1275</v>
      </c>
      <c r="D286" s="639" t="s">
        <v>1845</v>
      </c>
      <c r="E286" s="4822" t="s">
        <v>2984</v>
      </c>
      <c r="F286" s="4822"/>
      <c r="G286" s="4822"/>
      <c r="H286" s="4822"/>
    </row>
    <row r="287" spans="1:8" ht="12.75" customHeight="1">
      <c r="C287" s="1449" t="s">
        <v>4082</v>
      </c>
      <c r="E287" s="4822" t="s">
        <v>3120</v>
      </c>
      <c r="F287" s="4822"/>
      <c r="G287" s="4822"/>
      <c r="H287" s="4822"/>
    </row>
    <row r="288" spans="1:8" ht="12.75" customHeight="1">
      <c r="C288" s="1450"/>
      <c r="D288" s="642" t="s">
        <v>2983</v>
      </c>
      <c r="E288" s="4822" t="s">
        <v>3121</v>
      </c>
      <c r="F288" s="4822"/>
      <c r="G288" s="4822"/>
      <c r="H288" s="4822"/>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22" t="s">
        <v>2984</v>
      </c>
      <c r="F291" s="4822"/>
      <c r="G291" s="4822"/>
      <c r="H291" s="4822"/>
    </row>
    <row r="292" spans="1:8" ht="12.75" customHeight="1">
      <c r="C292" s="1449" t="s">
        <v>4082</v>
      </c>
      <c r="E292" s="4822" t="s">
        <v>3120</v>
      </c>
      <c r="F292" s="4822"/>
      <c r="G292" s="4822"/>
      <c r="H292" s="4822"/>
    </row>
    <row r="293" spans="1:8" ht="12.75" customHeight="1">
      <c r="C293" s="1450"/>
      <c r="D293" s="1448" t="s">
        <v>2983</v>
      </c>
      <c r="E293" s="4825" t="s">
        <v>3121</v>
      </c>
      <c r="F293" s="4825"/>
      <c r="G293" s="4825"/>
      <c r="H293" s="4825"/>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22" t="s">
        <v>2984</v>
      </c>
      <c r="F296" s="4822"/>
      <c r="G296" s="4822"/>
      <c r="H296" s="4822"/>
    </row>
    <row r="297" spans="1:8" ht="12.75" customHeight="1">
      <c r="C297" s="1449" t="s">
        <v>4082</v>
      </c>
      <c r="E297" s="4822" t="s">
        <v>3120</v>
      </c>
      <c r="F297" s="4822"/>
      <c r="G297" s="4822"/>
      <c r="H297" s="4822"/>
    </row>
    <row r="298" spans="1:8" ht="12.75" customHeight="1">
      <c r="C298" s="1450"/>
      <c r="D298" s="1448" t="s">
        <v>2983</v>
      </c>
      <c r="E298" s="4825" t="s">
        <v>3121</v>
      </c>
      <c r="F298" s="4825"/>
      <c r="G298" s="4825"/>
      <c r="H298" s="4825"/>
    </row>
    <row r="299" spans="1:8" ht="6" customHeight="1">
      <c r="D299" s="639"/>
      <c r="E299" s="1025"/>
      <c r="F299" s="1025"/>
      <c r="G299" s="1025"/>
      <c r="H299" s="1025"/>
    </row>
    <row r="300" spans="1:8">
      <c r="A300" s="620" t="s">
        <v>2979</v>
      </c>
      <c r="B300" s="637">
        <f>IF('Part V-Revenues &amp; Expenses'!$M$59=0,"",'Part V-Revenues &amp; Expenses'!$M$59)</f>
        <v>4</v>
      </c>
      <c r="C300" s="620" t="s">
        <v>2981</v>
      </c>
      <c r="D300" s="638" t="s">
        <v>3123</v>
      </c>
    </row>
    <row r="301" spans="1:8" ht="1.9" customHeight="1"/>
    <row r="302" spans="1:8" ht="12.75" customHeight="1">
      <c r="C302" s="617" t="s">
        <v>2886</v>
      </c>
      <c r="D302" s="639" t="s">
        <v>1843</v>
      </c>
      <c r="E302" s="640"/>
      <c r="F302" s="636" t="s">
        <v>2887</v>
      </c>
      <c r="G302" s="636"/>
      <c r="H302" s="636"/>
    </row>
    <row r="303" spans="1:8" ht="12.75" customHeight="1">
      <c r="C303" s="641" t="s">
        <v>1275</v>
      </c>
      <c r="D303" s="639" t="s">
        <v>1845</v>
      </c>
      <c r="E303" s="4822" t="s">
        <v>2984</v>
      </c>
      <c r="F303" s="4822"/>
      <c r="G303" s="4822"/>
      <c r="H303" s="4822"/>
    </row>
    <row r="304" spans="1:8" ht="12.75" customHeight="1">
      <c r="C304" s="1449" t="s">
        <v>4082</v>
      </c>
      <c r="E304" s="4822" t="s">
        <v>3120</v>
      </c>
      <c r="F304" s="4822"/>
      <c r="G304" s="4822"/>
      <c r="H304" s="4822"/>
    </row>
    <row r="305" spans="1:8" ht="12.75" customHeight="1">
      <c r="C305" s="1450"/>
      <c r="D305" s="642" t="s">
        <v>2983</v>
      </c>
      <c r="E305" s="4822" t="s">
        <v>3121</v>
      </c>
      <c r="F305" s="4822"/>
      <c r="G305" s="4822"/>
      <c r="H305" s="4822"/>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22" t="s">
        <v>2984</v>
      </c>
      <c r="F308" s="4822"/>
      <c r="G308" s="4822"/>
      <c r="H308" s="4822"/>
    </row>
    <row r="309" spans="1:8" ht="12.75" customHeight="1">
      <c r="C309" s="1449" t="s">
        <v>4082</v>
      </c>
      <c r="E309" s="4822" t="s">
        <v>3120</v>
      </c>
      <c r="F309" s="4822"/>
      <c r="G309" s="4822"/>
      <c r="H309" s="4822"/>
    </row>
    <row r="310" spans="1:8" ht="12.75" customHeight="1">
      <c r="C310" s="1450"/>
      <c r="D310" s="1448" t="s">
        <v>2983</v>
      </c>
      <c r="E310" s="4825" t="s">
        <v>3121</v>
      </c>
      <c r="F310" s="4825"/>
      <c r="G310" s="4825"/>
      <c r="H310" s="4825"/>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22" t="s">
        <v>2984</v>
      </c>
      <c r="F313" s="4822"/>
      <c r="G313" s="4822"/>
      <c r="H313" s="4822"/>
    </row>
    <row r="314" spans="1:8" ht="12.75" customHeight="1">
      <c r="C314" s="1449" t="s">
        <v>4082</v>
      </c>
      <c r="E314" s="4822" t="s">
        <v>3120</v>
      </c>
      <c r="F314" s="4822"/>
      <c r="G314" s="4822"/>
      <c r="H314" s="4822"/>
    </row>
    <row r="315" spans="1:8" ht="12.75" customHeight="1">
      <c r="C315" s="1450"/>
      <c r="D315" s="1448" t="s">
        <v>2983</v>
      </c>
      <c r="E315" s="4825" t="s">
        <v>3121</v>
      </c>
      <c r="F315" s="4825"/>
      <c r="G315" s="4825"/>
      <c r="H315" s="4825"/>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 customHeight="1"/>
    <row r="319" spans="1:8" ht="12.75" customHeight="1">
      <c r="C319" s="617" t="s">
        <v>2886</v>
      </c>
      <c r="D319" s="639" t="s">
        <v>1843</v>
      </c>
      <c r="E319" s="640"/>
      <c r="F319" s="636" t="s">
        <v>2887</v>
      </c>
      <c r="G319" s="636"/>
      <c r="H319" s="636"/>
    </row>
    <row r="320" spans="1:8" ht="12.75" customHeight="1">
      <c r="C320" s="641" t="s">
        <v>1275</v>
      </c>
      <c r="D320" s="639" t="s">
        <v>1845</v>
      </c>
      <c r="E320" s="4822" t="s">
        <v>2984</v>
      </c>
      <c r="F320" s="4822"/>
      <c r="G320" s="4822"/>
      <c r="H320" s="4822"/>
    </row>
    <row r="321" spans="1:11" ht="12.75" customHeight="1">
      <c r="C321" s="1449" t="s">
        <v>4082</v>
      </c>
      <c r="E321" s="4822" t="s">
        <v>3120</v>
      </c>
      <c r="F321" s="4822"/>
      <c r="G321" s="4822"/>
      <c r="H321" s="4822"/>
    </row>
    <row r="322" spans="1:11" ht="12.75" customHeight="1">
      <c r="C322" s="1450"/>
      <c r="D322" s="642" t="s">
        <v>2983</v>
      </c>
      <c r="E322" s="4822" t="s">
        <v>3121</v>
      </c>
      <c r="F322" s="4822"/>
      <c r="G322" s="4822"/>
      <c r="H322" s="4822"/>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22" t="s">
        <v>2984</v>
      </c>
      <c r="F325" s="4822"/>
      <c r="G325" s="4822"/>
      <c r="H325" s="4822"/>
    </row>
    <row r="326" spans="1:11" ht="12.75" customHeight="1">
      <c r="C326" s="1449" t="s">
        <v>4082</v>
      </c>
      <c r="E326" s="4822" t="s">
        <v>3120</v>
      </c>
      <c r="F326" s="4822"/>
      <c r="G326" s="4822"/>
      <c r="H326" s="4822"/>
    </row>
    <row r="327" spans="1:11" ht="12.75" customHeight="1">
      <c r="C327" s="1450"/>
      <c r="D327" s="1448" t="s">
        <v>2983</v>
      </c>
      <c r="E327" s="4825" t="s">
        <v>3121</v>
      </c>
      <c r="F327" s="4825"/>
      <c r="G327" s="4825"/>
      <c r="H327" s="4825"/>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22" t="s">
        <v>2984</v>
      </c>
      <c r="F330" s="4822"/>
      <c r="G330" s="4822"/>
      <c r="H330" s="4822"/>
    </row>
    <row r="331" spans="1:11" ht="12.75" customHeight="1">
      <c r="C331" s="1449" t="s">
        <v>4082</v>
      </c>
      <c r="E331" s="4822" t="s">
        <v>3120</v>
      </c>
      <c r="F331" s="4822"/>
      <c r="G331" s="4822"/>
      <c r="H331" s="4822"/>
    </row>
    <row r="332" spans="1:11" ht="12.75" customHeight="1">
      <c r="C332" s="1450"/>
      <c r="D332" s="1448" t="s">
        <v>2983</v>
      </c>
      <c r="E332" s="4825" t="s">
        <v>3121</v>
      </c>
      <c r="F332" s="4825"/>
      <c r="G332" s="4825"/>
      <c r="H332" s="4825"/>
    </row>
    <row r="333" spans="1:11" ht="6" customHeight="1">
      <c r="D333" s="639"/>
      <c r="E333" s="1025"/>
      <c r="F333" s="1025"/>
      <c r="G333" s="1025"/>
      <c r="H333" s="1025"/>
    </row>
    <row r="334" spans="1:11">
      <c r="A334" s="620" t="s">
        <v>2979</v>
      </c>
      <c r="B334" s="637" t="str">
        <f>IF('Part V-Revenues &amp; Expenses'!$O$59=0,"",'Part V-Revenues &amp; Expenses'!$O$59)</f>
        <v/>
      </c>
      <c r="C334" s="620" t="s">
        <v>4080</v>
      </c>
      <c r="D334" s="638" t="s">
        <v>4081</v>
      </c>
    </row>
    <row r="335" spans="1:11" ht="1.9" customHeight="1"/>
    <row r="336" spans="1:11" ht="12.75" customHeight="1">
      <c r="C336" s="617" t="s">
        <v>2886</v>
      </c>
      <c r="D336" s="639" t="s">
        <v>1843</v>
      </c>
      <c r="E336" s="640"/>
      <c r="F336" s="4822" t="s">
        <v>2887</v>
      </c>
      <c r="G336" s="4822"/>
      <c r="H336" s="4822"/>
      <c r="K336" s="432" t="s">
        <v>233</v>
      </c>
    </row>
    <row r="337" spans="1:8" ht="12.75" customHeight="1">
      <c r="C337" s="641" t="s">
        <v>1275</v>
      </c>
      <c r="D337" s="639" t="s">
        <v>1845</v>
      </c>
      <c r="E337" s="4822" t="s">
        <v>2985</v>
      </c>
      <c r="F337" s="4822"/>
      <c r="G337" s="4822"/>
      <c r="H337" s="4822"/>
    </row>
    <row r="338" spans="1:8" ht="12.75" customHeight="1">
      <c r="E338" s="4822" t="s">
        <v>3120</v>
      </c>
      <c r="F338" s="4822"/>
      <c r="G338" s="4822"/>
      <c r="H338" s="4822"/>
    </row>
    <row r="339" spans="1:8" ht="12.75" customHeight="1">
      <c r="D339" s="642" t="s">
        <v>2983</v>
      </c>
      <c r="E339" s="4822" t="s">
        <v>3121</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4087</v>
      </c>
      <c r="B344" s="4822"/>
      <c r="C344" s="4822"/>
      <c r="D344" s="4822"/>
      <c r="E344" s="4822"/>
      <c r="F344" s="4822"/>
      <c r="G344" s="4822"/>
      <c r="H344" s="4822"/>
    </row>
    <row r="345" spans="1:8" ht="9" customHeight="1">
      <c r="A345" s="611"/>
    </row>
    <row r="346" spans="1:8">
      <c r="A346" s="620" t="s">
        <v>2979</v>
      </c>
      <c r="B346" s="637" t="str">
        <f>IF('Part V-Revenues &amp; Expenses'!$K$58=0,"",'Part V-Revenues &amp; Expenses'!$K$58)</f>
        <v/>
      </c>
      <c r="C346" s="620" t="s">
        <v>4077</v>
      </c>
      <c r="D346" s="638" t="s">
        <v>4078</v>
      </c>
    </row>
    <row r="347" spans="1:8" ht="1.9" customHeight="1"/>
    <row r="348" spans="1:8" ht="12.75" customHeight="1">
      <c r="C348" s="617" t="s">
        <v>2886</v>
      </c>
      <c r="D348" s="639" t="s">
        <v>1843</v>
      </c>
      <c r="E348" s="640"/>
      <c r="F348" s="4822" t="s">
        <v>2887</v>
      </c>
      <c r="G348" s="4822"/>
      <c r="H348" s="4822"/>
    </row>
    <row r="349" spans="1:8" ht="12.75" customHeight="1">
      <c r="C349" s="641" t="s">
        <v>1275</v>
      </c>
      <c r="D349" s="639" t="s">
        <v>1845</v>
      </c>
      <c r="E349" s="4822" t="s">
        <v>2984</v>
      </c>
      <c r="F349" s="4822"/>
      <c r="G349" s="4822"/>
      <c r="H349" s="4822"/>
    </row>
    <row r="350" spans="1:8" ht="12.75" customHeight="1">
      <c r="C350" s="1449" t="s">
        <v>4082</v>
      </c>
      <c r="E350" s="4822" t="s">
        <v>3120</v>
      </c>
      <c r="F350" s="4822"/>
      <c r="G350" s="4822"/>
      <c r="H350" s="4822"/>
    </row>
    <row r="351" spans="1:8" ht="12.75" customHeight="1">
      <c r="C351" s="1450"/>
      <c r="D351" s="1448" t="s">
        <v>2983</v>
      </c>
      <c r="E351" s="4825" t="s">
        <v>3121</v>
      </c>
      <c r="F351" s="4825"/>
      <c r="G351" s="4825"/>
      <c r="H351" s="4825"/>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22" t="s">
        <v>2984</v>
      </c>
      <c r="F354" s="4822"/>
      <c r="G354" s="4822"/>
      <c r="H354" s="4822"/>
    </row>
    <row r="355" spans="1:8" ht="12.75" customHeight="1">
      <c r="C355" s="1449" t="s">
        <v>4082</v>
      </c>
      <c r="E355" s="4822" t="s">
        <v>3120</v>
      </c>
      <c r="F355" s="4822"/>
      <c r="G355" s="4822"/>
      <c r="H355" s="4822"/>
    </row>
    <row r="356" spans="1:8" ht="12.75" customHeight="1">
      <c r="C356" s="1450"/>
      <c r="D356" s="1448" t="s">
        <v>2983</v>
      </c>
      <c r="E356" s="4825" t="s">
        <v>3121</v>
      </c>
      <c r="F356" s="4825"/>
      <c r="G356" s="4825"/>
      <c r="H356" s="4825"/>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22" t="s">
        <v>2984</v>
      </c>
      <c r="F359" s="4822"/>
      <c r="G359" s="4822"/>
      <c r="H359" s="4822"/>
    </row>
    <row r="360" spans="1:8" ht="12.75" customHeight="1">
      <c r="C360" s="1449" t="s">
        <v>4082</v>
      </c>
      <c r="E360" s="4822" t="s">
        <v>3120</v>
      </c>
      <c r="F360" s="4822"/>
      <c r="G360" s="4822"/>
      <c r="H360" s="4822"/>
    </row>
    <row r="361" spans="1:8" ht="12.75" customHeight="1">
      <c r="C361" s="1450"/>
      <c r="D361" s="1448" t="s">
        <v>2983</v>
      </c>
      <c r="E361" s="4825" t="s">
        <v>3121</v>
      </c>
      <c r="F361" s="4825"/>
      <c r="G361" s="4825"/>
      <c r="H361" s="4825"/>
    </row>
    <row r="362" spans="1:8" ht="6" customHeight="1">
      <c r="D362" s="639"/>
      <c r="E362" s="1025"/>
      <c r="F362" s="1025"/>
      <c r="G362" s="1025"/>
      <c r="H362" s="1025"/>
    </row>
    <row r="363" spans="1:8">
      <c r="A363" s="620" t="s">
        <v>2979</v>
      </c>
      <c r="B363" s="637">
        <f>IF('Part V-Revenues &amp; Expenses'!$L$58=0,"",'Part V-Revenues &amp; Expenses'!$L$58)</f>
        <v>16</v>
      </c>
      <c r="C363" s="620" t="s">
        <v>2980</v>
      </c>
      <c r="D363" s="638" t="s">
        <v>3122</v>
      </c>
    </row>
    <row r="364" spans="1:8" ht="1.9" customHeight="1"/>
    <row r="365" spans="1:8" ht="12.75" customHeight="1">
      <c r="C365" s="617" t="s">
        <v>2886</v>
      </c>
      <c r="D365" s="639" t="s">
        <v>1843</v>
      </c>
      <c r="E365" s="640"/>
      <c r="F365" s="636" t="s">
        <v>2887</v>
      </c>
      <c r="G365" s="636"/>
      <c r="H365" s="636"/>
    </row>
    <row r="366" spans="1:8" ht="12.75" customHeight="1">
      <c r="C366" s="641" t="s">
        <v>1275</v>
      </c>
      <c r="D366" s="639" t="s">
        <v>1845</v>
      </c>
      <c r="E366" s="4822" t="s">
        <v>2984</v>
      </c>
      <c r="F366" s="4822"/>
      <c r="G366" s="4822"/>
      <c r="H366" s="4822"/>
    </row>
    <row r="367" spans="1:8" ht="12.75" customHeight="1">
      <c r="C367" s="1449" t="s">
        <v>4082</v>
      </c>
      <c r="E367" s="4822" t="s">
        <v>3120</v>
      </c>
      <c r="F367" s="4822"/>
      <c r="G367" s="4822"/>
      <c r="H367" s="4822"/>
    </row>
    <row r="368" spans="1:8" ht="12.75" customHeight="1">
      <c r="C368" s="1450"/>
      <c r="D368" s="642" t="s">
        <v>2983</v>
      </c>
      <c r="E368" s="4822" t="s">
        <v>3121</v>
      </c>
      <c r="F368" s="4822"/>
      <c r="G368" s="4822"/>
      <c r="H368" s="4822"/>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22" t="s">
        <v>2984</v>
      </c>
      <c r="F371" s="4822"/>
      <c r="G371" s="4822"/>
      <c r="H371" s="4822"/>
    </row>
    <row r="372" spans="1:8" ht="12.75" customHeight="1">
      <c r="C372" s="1449" t="s">
        <v>4082</v>
      </c>
      <c r="E372" s="4822" t="s">
        <v>3120</v>
      </c>
      <c r="F372" s="4822"/>
      <c r="G372" s="4822"/>
      <c r="H372" s="4822"/>
    </row>
    <row r="373" spans="1:8" ht="12.75" customHeight="1">
      <c r="C373" s="1450"/>
      <c r="D373" s="1448" t="s">
        <v>2983</v>
      </c>
      <c r="E373" s="4825" t="s">
        <v>3121</v>
      </c>
      <c r="F373" s="4825"/>
      <c r="G373" s="4825"/>
      <c r="H373" s="4825"/>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22" t="s">
        <v>2984</v>
      </c>
      <c r="F376" s="4822"/>
      <c r="G376" s="4822"/>
      <c r="H376" s="4822"/>
    </row>
    <row r="377" spans="1:8" ht="12.75" customHeight="1">
      <c r="C377" s="1449" t="s">
        <v>4082</v>
      </c>
      <c r="E377" s="4822" t="s">
        <v>3120</v>
      </c>
      <c r="F377" s="4822"/>
      <c r="G377" s="4822"/>
      <c r="H377" s="4822"/>
    </row>
    <row r="378" spans="1:8" ht="12.75" customHeight="1">
      <c r="C378" s="1450"/>
      <c r="D378" s="1448" t="s">
        <v>2983</v>
      </c>
      <c r="E378" s="4825" t="s">
        <v>3121</v>
      </c>
      <c r="F378" s="4825"/>
      <c r="G378" s="4825"/>
      <c r="H378" s="4825"/>
    </row>
    <row r="379" spans="1:8" ht="6" customHeight="1">
      <c r="D379" s="639"/>
      <c r="E379" s="1025"/>
      <c r="F379" s="1025"/>
      <c r="G379" s="1025"/>
      <c r="H379" s="1025"/>
    </row>
    <row r="380" spans="1:8">
      <c r="A380" s="620" t="s">
        <v>2979</v>
      </c>
      <c r="B380" s="637">
        <f>IF('Part V-Revenues &amp; Expenses'!$M$58=0,"",'Part V-Revenues &amp; Expenses'!$M$58)</f>
        <v>16</v>
      </c>
      <c r="C380" s="620" t="s">
        <v>2981</v>
      </c>
      <c r="D380" s="638" t="s">
        <v>3123</v>
      </c>
    </row>
    <row r="381" spans="1:8" ht="1.9" customHeight="1"/>
    <row r="382" spans="1:8" ht="12.75" customHeight="1">
      <c r="C382" s="617" t="s">
        <v>2886</v>
      </c>
      <c r="D382" s="639" t="s">
        <v>1843</v>
      </c>
      <c r="E382" s="640"/>
      <c r="F382" s="636" t="s">
        <v>2887</v>
      </c>
      <c r="G382" s="636"/>
      <c r="H382" s="636"/>
    </row>
    <row r="383" spans="1:8" ht="12.75" customHeight="1">
      <c r="C383" s="641" t="s">
        <v>1275</v>
      </c>
      <c r="D383" s="639" t="s">
        <v>1845</v>
      </c>
      <c r="E383" s="4822" t="s">
        <v>2984</v>
      </c>
      <c r="F383" s="4822"/>
      <c r="G383" s="4822"/>
      <c r="H383" s="4822"/>
    </row>
    <row r="384" spans="1:8" ht="12.75" customHeight="1">
      <c r="C384" s="1449" t="s">
        <v>4082</v>
      </c>
      <c r="E384" s="4822" t="s">
        <v>3120</v>
      </c>
      <c r="F384" s="4822"/>
      <c r="G384" s="4822"/>
      <c r="H384" s="4822"/>
    </row>
    <row r="385" spans="1:8" ht="12.75" customHeight="1">
      <c r="C385" s="1450"/>
      <c r="D385" s="642" t="s">
        <v>2983</v>
      </c>
      <c r="E385" s="4822" t="s">
        <v>3121</v>
      </c>
      <c r="F385" s="4822"/>
      <c r="G385" s="4822"/>
      <c r="H385" s="4822"/>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22" t="s">
        <v>2984</v>
      </c>
      <c r="F388" s="4822"/>
      <c r="G388" s="4822"/>
      <c r="H388" s="4822"/>
    </row>
    <row r="389" spans="1:8" ht="12.75" customHeight="1">
      <c r="C389" s="1449" t="s">
        <v>4082</v>
      </c>
      <c r="E389" s="4822" t="s">
        <v>3120</v>
      </c>
      <c r="F389" s="4822"/>
      <c r="G389" s="4822"/>
      <c r="H389" s="4822"/>
    </row>
    <row r="390" spans="1:8" ht="12.75" customHeight="1">
      <c r="C390" s="1450"/>
      <c r="D390" s="1448" t="s">
        <v>2983</v>
      </c>
      <c r="E390" s="4825" t="s">
        <v>3121</v>
      </c>
      <c r="F390" s="4825"/>
      <c r="G390" s="4825"/>
      <c r="H390" s="4825"/>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22" t="s">
        <v>2984</v>
      </c>
      <c r="F393" s="4822"/>
      <c r="G393" s="4822"/>
      <c r="H393" s="4822"/>
    </row>
    <row r="394" spans="1:8" ht="12.75" customHeight="1">
      <c r="C394" s="1449" t="s">
        <v>4082</v>
      </c>
      <c r="E394" s="4822" t="s">
        <v>3120</v>
      </c>
      <c r="F394" s="4822"/>
      <c r="G394" s="4822"/>
      <c r="H394" s="4822"/>
    </row>
    <row r="395" spans="1:8" ht="12.75" customHeight="1">
      <c r="C395" s="1450"/>
      <c r="D395" s="1448" t="s">
        <v>2983</v>
      </c>
      <c r="E395" s="4825" t="s">
        <v>3121</v>
      </c>
      <c r="F395" s="4825"/>
      <c r="G395" s="4825"/>
      <c r="H395" s="4825"/>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 customHeight="1"/>
    <row r="399" spans="1:8" ht="12.75" customHeight="1">
      <c r="C399" s="617" t="s">
        <v>2886</v>
      </c>
      <c r="D399" s="639" t="s">
        <v>1843</v>
      </c>
      <c r="E399" s="640"/>
      <c r="F399" s="636" t="s">
        <v>2887</v>
      </c>
      <c r="G399" s="636"/>
      <c r="H399" s="636"/>
    </row>
    <row r="400" spans="1:8" ht="12.75" customHeight="1">
      <c r="C400" s="641" t="s">
        <v>1275</v>
      </c>
      <c r="D400" s="639" t="s">
        <v>1845</v>
      </c>
      <c r="E400" s="4822" t="s">
        <v>2984</v>
      </c>
      <c r="F400" s="4822"/>
      <c r="G400" s="4822"/>
      <c r="H400" s="4822"/>
    </row>
    <row r="401" spans="1:11" ht="12.75" customHeight="1">
      <c r="C401" s="1449" t="s">
        <v>4082</v>
      </c>
      <c r="E401" s="4822" t="s">
        <v>3120</v>
      </c>
      <c r="F401" s="4822"/>
      <c r="G401" s="4822"/>
      <c r="H401" s="4822"/>
    </row>
    <row r="402" spans="1:11" ht="12.75" customHeight="1">
      <c r="C402" s="1450"/>
      <c r="D402" s="642" t="s">
        <v>2983</v>
      </c>
      <c r="E402" s="4822" t="s">
        <v>3121</v>
      </c>
      <c r="F402" s="4822"/>
      <c r="G402" s="4822"/>
      <c r="H402" s="4822"/>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22" t="s">
        <v>2984</v>
      </c>
      <c r="F405" s="4822"/>
      <c r="G405" s="4822"/>
      <c r="H405" s="4822"/>
    </row>
    <row r="406" spans="1:11" ht="12.75" customHeight="1">
      <c r="C406" s="1449" t="s">
        <v>4082</v>
      </c>
      <c r="E406" s="4822" t="s">
        <v>3120</v>
      </c>
      <c r="F406" s="4822"/>
      <c r="G406" s="4822"/>
      <c r="H406" s="4822"/>
    </row>
    <row r="407" spans="1:11" ht="12.75" customHeight="1">
      <c r="C407" s="1450"/>
      <c r="D407" s="1448" t="s">
        <v>2983</v>
      </c>
      <c r="E407" s="4825" t="s">
        <v>3121</v>
      </c>
      <c r="F407" s="4825"/>
      <c r="G407" s="4825"/>
      <c r="H407" s="4825"/>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22" t="s">
        <v>2984</v>
      </c>
      <c r="F410" s="4822"/>
      <c r="G410" s="4822"/>
      <c r="H410" s="4822"/>
    </row>
    <row r="411" spans="1:11" ht="12.75" customHeight="1">
      <c r="C411" s="1449" t="s">
        <v>4082</v>
      </c>
      <c r="E411" s="4822" t="s">
        <v>3120</v>
      </c>
      <c r="F411" s="4822"/>
      <c r="G411" s="4822"/>
      <c r="H411" s="4822"/>
    </row>
    <row r="412" spans="1:11" ht="12.75" customHeight="1">
      <c r="C412" s="1450"/>
      <c r="D412" s="1448" t="s">
        <v>2983</v>
      </c>
      <c r="E412" s="4825" t="s">
        <v>3121</v>
      </c>
      <c r="F412" s="4825"/>
      <c r="G412" s="4825"/>
      <c r="H412" s="4825"/>
    </row>
    <row r="413" spans="1:11" ht="6" customHeight="1">
      <c r="D413" s="639"/>
      <c r="E413" s="1025"/>
      <c r="F413" s="1025"/>
      <c r="G413" s="1025"/>
      <c r="H413" s="1025"/>
    </row>
    <row r="414" spans="1:11">
      <c r="A414" s="620" t="s">
        <v>2979</v>
      </c>
      <c r="B414" s="637" t="str">
        <f>IF('Part V-Revenues &amp; Expenses'!$O$58=0,"",'Part V-Revenues &amp; Expenses'!$O$58)</f>
        <v/>
      </c>
      <c r="C414" s="620" t="s">
        <v>4080</v>
      </c>
      <c r="D414" s="638" t="s">
        <v>4081</v>
      </c>
    </row>
    <row r="415" spans="1:11" ht="1.9" customHeight="1"/>
    <row r="416" spans="1:11" ht="12.75" customHeight="1">
      <c r="C416" s="617" t="s">
        <v>2886</v>
      </c>
      <c r="D416" s="639" t="s">
        <v>1843</v>
      </c>
      <c r="E416" s="640"/>
      <c r="F416" s="4822" t="s">
        <v>2887</v>
      </c>
      <c r="G416" s="4822"/>
      <c r="H416" s="4822"/>
      <c r="K416" s="432" t="s">
        <v>233</v>
      </c>
    </row>
    <row r="417" spans="1:8" ht="12.75" customHeight="1">
      <c r="C417" s="641" t="s">
        <v>1275</v>
      </c>
      <c r="D417" s="639" t="s">
        <v>1845</v>
      </c>
      <c r="E417" s="4822" t="s">
        <v>2985</v>
      </c>
      <c r="F417" s="4822"/>
      <c r="G417" s="4822"/>
      <c r="H417" s="4822"/>
    </row>
    <row r="418" spans="1:8" ht="12.75" customHeight="1">
      <c r="E418" s="4822" t="s">
        <v>3120</v>
      </c>
      <c r="F418" s="4822"/>
      <c r="G418" s="4822"/>
      <c r="H418" s="4822"/>
    </row>
    <row r="419" spans="1:8" ht="12.75" customHeight="1">
      <c r="D419" s="642" t="s">
        <v>2983</v>
      </c>
      <c r="E419" s="4822" t="s">
        <v>3121</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4088</v>
      </c>
      <c r="B423" s="4822"/>
      <c r="C423" s="4822"/>
      <c r="D423" s="4822"/>
      <c r="E423" s="4822"/>
      <c r="F423" s="4822"/>
      <c r="G423" s="4822"/>
      <c r="H423" s="4822"/>
    </row>
    <row r="424" spans="1:8" ht="9" customHeight="1">
      <c r="A424" s="611"/>
    </row>
    <row r="425" spans="1:8">
      <c r="A425" s="620" t="s">
        <v>2979</v>
      </c>
      <c r="B425" s="637" t="str">
        <f>IF('Part V-Revenues &amp; Expenses'!$K$57=0,"",'Part V-Revenues &amp; Expenses'!$K$57)</f>
        <v/>
      </c>
      <c r="C425" s="620" t="s">
        <v>4077</v>
      </c>
      <c r="D425" s="638" t="s">
        <v>4078</v>
      </c>
    </row>
    <row r="426" spans="1:8" ht="1.9" customHeight="1"/>
    <row r="427" spans="1:8" ht="12.75" customHeight="1">
      <c r="C427" s="617" t="s">
        <v>2886</v>
      </c>
      <c r="D427" s="639" t="s">
        <v>1843</v>
      </c>
      <c r="E427" s="640"/>
      <c r="F427" s="4822" t="s">
        <v>2887</v>
      </c>
      <c r="G427" s="4822"/>
      <c r="H427" s="4822"/>
    </row>
    <row r="428" spans="1:8" ht="12.75" customHeight="1">
      <c r="C428" s="641" t="s">
        <v>1275</v>
      </c>
      <c r="D428" s="639" t="s">
        <v>1845</v>
      </c>
      <c r="E428" s="4822" t="s">
        <v>2984</v>
      </c>
      <c r="F428" s="4822"/>
      <c r="G428" s="4822"/>
      <c r="H428" s="4822"/>
    </row>
    <row r="429" spans="1:8" ht="12.75" customHeight="1">
      <c r="C429" s="1449" t="s">
        <v>4082</v>
      </c>
      <c r="E429" s="4822" t="s">
        <v>3120</v>
      </c>
      <c r="F429" s="4822"/>
      <c r="G429" s="4822"/>
      <c r="H429" s="4822"/>
    </row>
    <row r="430" spans="1:8" ht="12.75" customHeight="1">
      <c r="C430" s="1450"/>
      <c r="D430" s="1448" t="s">
        <v>2983</v>
      </c>
      <c r="E430" s="4825" t="s">
        <v>3121</v>
      </c>
      <c r="F430" s="4825"/>
      <c r="G430" s="4825"/>
      <c r="H430" s="4825"/>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22" t="s">
        <v>2984</v>
      </c>
      <c r="F433" s="4822"/>
      <c r="G433" s="4822"/>
      <c r="H433" s="4822"/>
    </row>
    <row r="434" spans="1:8" ht="12.75" customHeight="1">
      <c r="C434" s="1449" t="s">
        <v>4082</v>
      </c>
      <c r="E434" s="4822" t="s">
        <v>3120</v>
      </c>
      <c r="F434" s="4822"/>
      <c r="G434" s="4822"/>
      <c r="H434" s="4822"/>
    </row>
    <row r="435" spans="1:8" ht="12.75" customHeight="1">
      <c r="C435" s="1450"/>
      <c r="D435" s="1448" t="s">
        <v>2983</v>
      </c>
      <c r="E435" s="4825" t="s">
        <v>3121</v>
      </c>
      <c r="F435" s="4825"/>
      <c r="G435" s="4825"/>
      <c r="H435" s="4825"/>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22" t="s">
        <v>2984</v>
      </c>
      <c r="F438" s="4822"/>
      <c r="G438" s="4822"/>
      <c r="H438" s="4822"/>
    </row>
    <row r="439" spans="1:8" ht="12.75" customHeight="1">
      <c r="C439" s="1449" t="s">
        <v>4082</v>
      </c>
      <c r="E439" s="4822" t="s">
        <v>3120</v>
      </c>
      <c r="F439" s="4822"/>
      <c r="G439" s="4822"/>
      <c r="H439" s="4822"/>
    </row>
    <row r="440" spans="1:8" ht="12.75" customHeight="1">
      <c r="C440" s="1450"/>
      <c r="D440" s="1448" t="s">
        <v>2983</v>
      </c>
      <c r="E440" s="4825" t="s">
        <v>3121</v>
      </c>
      <c r="F440" s="4825"/>
      <c r="G440" s="4825"/>
      <c r="H440" s="4825"/>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 customHeight="1"/>
    <row r="444" spans="1:8" ht="12.75" customHeight="1">
      <c r="C444" s="617" t="s">
        <v>2886</v>
      </c>
      <c r="D444" s="639" t="s">
        <v>1843</v>
      </c>
      <c r="E444" s="640"/>
      <c r="F444" s="636" t="s">
        <v>2887</v>
      </c>
      <c r="G444" s="636"/>
      <c r="H444" s="636"/>
    </row>
    <row r="445" spans="1:8" ht="12.75" customHeight="1">
      <c r="C445" s="641" t="s">
        <v>1275</v>
      </c>
      <c r="D445" s="639" t="s">
        <v>1845</v>
      </c>
      <c r="E445" s="4822" t="s">
        <v>2984</v>
      </c>
      <c r="F445" s="4822"/>
      <c r="G445" s="4822"/>
      <c r="H445" s="4822"/>
    </row>
    <row r="446" spans="1:8" ht="12.75" customHeight="1">
      <c r="C446" s="1449" t="s">
        <v>4082</v>
      </c>
      <c r="E446" s="4822" t="s">
        <v>3120</v>
      </c>
      <c r="F446" s="4822"/>
      <c r="G446" s="4822"/>
      <c r="H446" s="4822"/>
    </row>
    <row r="447" spans="1:8" ht="12.75" customHeight="1">
      <c r="C447" s="1450"/>
      <c r="D447" s="642" t="s">
        <v>2983</v>
      </c>
      <c r="E447" s="4822" t="s">
        <v>3121</v>
      </c>
      <c r="F447" s="4822"/>
      <c r="G447" s="4822"/>
      <c r="H447" s="4822"/>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22" t="s">
        <v>2984</v>
      </c>
      <c r="F450" s="4822"/>
      <c r="G450" s="4822"/>
      <c r="H450" s="4822"/>
    </row>
    <row r="451" spans="1:8" ht="12.75" customHeight="1">
      <c r="C451" s="1449" t="s">
        <v>4082</v>
      </c>
      <c r="E451" s="4822" t="s">
        <v>3120</v>
      </c>
      <c r="F451" s="4822"/>
      <c r="G451" s="4822"/>
      <c r="H451" s="4822"/>
    </row>
    <row r="452" spans="1:8" ht="12.75" customHeight="1">
      <c r="C452" s="1450"/>
      <c r="D452" s="1448" t="s">
        <v>2983</v>
      </c>
      <c r="E452" s="4825" t="s">
        <v>3121</v>
      </c>
      <c r="F452" s="4825"/>
      <c r="G452" s="4825"/>
      <c r="H452" s="4825"/>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22" t="s">
        <v>2984</v>
      </c>
      <c r="F455" s="4822"/>
      <c r="G455" s="4822"/>
      <c r="H455" s="4822"/>
    </row>
    <row r="456" spans="1:8" ht="12.75" customHeight="1">
      <c r="C456" s="1449" t="s">
        <v>4082</v>
      </c>
      <c r="E456" s="4822" t="s">
        <v>3120</v>
      </c>
      <c r="F456" s="4822"/>
      <c r="G456" s="4822"/>
      <c r="H456" s="4822"/>
    </row>
    <row r="457" spans="1:8" ht="12.75" customHeight="1">
      <c r="C457" s="1450"/>
      <c r="D457" s="1448" t="s">
        <v>2983</v>
      </c>
      <c r="E457" s="4825" t="s">
        <v>3121</v>
      </c>
      <c r="F457" s="4825"/>
      <c r="G457" s="4825"/>
      <c r="H457" s="4825"/>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 customHeight="1"/>
    <row r="461" spans="1:8" ht="12.75" customHeight="1">
      <c r="C461" s="617" t="s">
        <v>2886</v>
      </c>
      <c r="D461" s="639" t="s">
        <v>1843</v>
      </c>
      <c r="E461" s="640"/>
      <c r="F461" s="636" t="s">
        <v>2887</v>
      </c>
      <c r="G461" s="636"/>
      <c r="H461" s="636"/>
    </row>
    <row r="462" spans="1:8" ht="12.75" customHeight="1">
      <c r="C462" s="641" t="s">
        <v>1275</v>
      </c>
      <c r="D462" s="639" t="s">
        <v>1845</v>
      </c>
      <c r="E462" s="4822" t="s">
        <v>2984</v>
      </c>
      <c r="F462" s="4822"/>
      <c r="G462" s="4822"/>
      <c r="H462" s="4822"/>
    </row>
    <row r="463" spans="1:8" ht="12.75" customHeight="1">
      <c r="C463" s="1449" t="s">
        <v>4082</v>
      </c>
      <c r="E463" s="4822" t="s">
        <v>3120</v>
      </c>
      <c r="F463" s="4822"/>
      <c r="G463" s="4822"/>
      <c r="H463" s="4822"/>
    </row>
    <row r="464" spans="1:8" ht="12.75" customHeight="1">
      <c r="C464" s="1450"/>
      <c r="D464" s="642" t="s">
        <v>2983</v>
      </c>
      <c r="E464" s="4822" t="s">
        <v>3121</v>
      </c>
      <c r="F464" s="4822"/>
      <c r="G464" s="4822"/>
      <c r="H464" s="4822"/>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22" t="s">
        <v>2984</v>
      </c>
      <c r="F467" s="4822"/>
      <c r="G467" s="4822"/>
      <c r="H467" s="4822"/>
    </row>
    <row r="468" spans="1:8" ht="12.75" customHeight="1">
      <c r="C468" s="1449" t="s">
        <v>4082</v>
      </c>
      <c r="E468" s="4822" t="s">
        <v>3120</v>
      </c>
      <c r="F468" s="4822"/>
      <c r="G468" s="4822"/>
      <c r="H468" s="4822"/>
    </row>
    <row r="469" spans="1:8" ht="12.75" customHeight="1">
      <c r="C469" s="1450"/>
      <c r="D469" s="1448" t="s">
        <v>2983</v>
      </c>
      <c r="E469" s="4825" t="s">
        <v>3121</v>
      </c>
      <c r="F469" s="4825"/>
      <c r="G469" s="4825"/>
      <c r="H469" s="4825"/>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22" t="s">
        <v>2984</v>
      </c>
      <c r="F472" s="4822"/>
      <c r="G472" s="4822"/>
      <c r="H472" s="4822"/>
    </row>
    <row r="473" spans="1:8" ht="12.75" customHeight="1">
      <c r="C473" s="1449" t="s">
        <v>4082</v>
      </c>
      <c r="E473" s="4822" t="s">
        <v>3120</v>
      </c>
      <c r="F473" s="4822"/>
      <c r="G473" s="4822"/>
      <c r="H473" s="4822"/>
    </row>
    <row r="474" spans="1:8" ht="12.75" customHeight="1">
      <c r="C474" s="1450"/>
      <c r="D474" s="1448" t="s">
        <v>2983</v>
      </c>
      <c r="E474" s="4825" t="s">
        <v>3121</v>
      </c>
      <c r="F474" s="4825"/>
      <c r="G474" s="4825"/>
      <c r="H474" s="4825"/>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 customHeight="1"/>
    <row r="478" spans="1:8" ht="12.75" customHeight="1">
      <c r="C478" s="617" t="s">
        <v>2886</v>
      </c>
      <c r="D478" s="639" t="s">
        <v>1843</v>
      </c>
      <c r="E478" s="640"/>
      <c r="F478" s="636" t="s">
        <v>2887</v>
      </c>
      <c r="G478" s="636"/>
      <c r="H478" s="636"/>
    </row>
    <row r="479" spans="1:8" ht="12.75" customHeight="1">
      <c r="C479" s="641" t="s">
        <v>1275</v>
      </c>
      <c r="D479" s="639" t="s">
        <v>1845</v>
      </c>
      <c r="E479" s="4822" t="s">
        <v>2984</v>
      </c>
      <c r="F479" s="4822"/>
      <c r="G479" s="4822"/>
      <c r="H479" s="4822"/>
    </row>
    <row r="480" spans="1:8" ht="12.75" customHeight="1">
      <c r="C480" s="1449" t="s">
        <v>4082</v>
      </c>
      <c r="E480" s="4822" t="s">
        <v>3120</v>
      </c>
      <c r="F480" s="4822"/>
      <c r="G480" s="4822"/>
      <c r="H480" s="4822"/>
    </row>
    <row r="481" spans="1:11" ht="12.75" customHeight="1">
      <c r="C481" s="1450"/>
      <c r="D481" s="642" t="s">
        <v>2983</v>
      </c>
      <c r="E481" s="4822" t="s">
        <v>3121</v>
      </c>
      <c r="F481" s="4822"/>
      <c r="G481" s="4822"/>
      <c r="H481" s="4822"/>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22" t="s">
        <v>2984</v>
      </c>
      <c r="F484" s="4822"/>
      <c r="G484" s="4822"/>
      <c r="H484" s="4822"/>
    </row>
    <row r="485" spans="1:11" ht="12.75" customHeight="1">
      <c r="C485" s="1449" t="s">
        <v>4082</v>
      </c>
      <c r="E485" s="4822" t="s">
        <v>3120</v>
      </c>
      <c r="F485" s="4822"/>
      <c r="G485" s="4822"/>
      <c r="H485" s="4822"/>
    </row>
    <row r="486" spans="1:11" ht="12.75" customHeight="1">
      <c r="C486" s="1450"/>
      <c r="D486" s="1448" t="s">
        <v>2983</v>
      </c>
      <c r="E486" s="4825" t="s">
        <v>3121</v>
      </c>
      <c r="F486" s="4825"/>
      <c r="G486" s="4825"/>
      <c r="H486" s="4825"/>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22" t="s">
        <v>2984</v>
      </c>
      <c r="F489" s="4822"/>
      <c r="G489" s="4822"/>
      <c r="H489" s="4822"/>
    </row>
    <row r="490" spans="1:11" ht="12.75" customHeight="1">
      <c r="C490" s="1449" t="s">
        <v>4082</v>
      </c>
      <c r="E490" s="4822" t="s">
        <v>3120</v>
      </c>
      <c r="F490" s="4822"/>
      <c r="G490" s="4822"/>
      <c r="H490" s="4822"/>
    </row>
    <row r="491" spans="1:11" ht="12.75" customHeight="1">
      <c r="C491" s="1450"/>
      <c r="D491" s="1448" t="s">
        <v>2983</v>
      </c>
      <c r="E491" s="4825" t="s">
        <v>3121</v>
      </c>
      <c r="F491" s="4825"/>
      <c r="G491" s="4825"/>
      <c r="H491" s="4825"/>
    </row>
    <row r="492" spans="1:11" ht="6" customHeight="1">
      <c r="D492" s="639"/>
      <c r="E492" s="1025"/>
      <c r="F492" s="1025"/>
      <c r="G492" s="1025"/>
      <c r="H492" s="1025"/>
    </row>
    <row r="493" spans="1:11">
      <c r="A493" s="620" t="s">
        <v>2979</v>
      </c>
      <c r="B493" s="637" t="str">
        <f>IF('Part V-Revenues &amp; Expenses'!$O$57=0,"",'Part V-Revenues &amp; Expenses'!$O$57)</f>
        <v/>
      </c>
      <c r="C493" s="620" t="s">
        <v>4080</v>
      </c>
      <c r="D493" s="638" t="s">
        <v>4081</v>
      </c>
    </row>
    <row r="494" spans="1:11" ht="1.9" customHeight="1"/>
    <row r="495" spans="1:11" ht="12.75" customHeight="1">
      <c r="C495" s="617" t="s">
        <v>2886</v>
      </c>
      <c r="D495" s="639" t="s">
        <v>1843</v>
      </c>
      <c r="E495" s="640"/>
      <c r="F495" s="4822" t="s">
        <v>2887</v>
      </c>
      <c r="G495" s="4822"/>
      <c r="H495" s="4822"/>
      <c r="K495" s="432" t="s">
        <v>233</v>
      </c>
    </row>
    <row r="496" spans="1:11" ht="12.75" customHeight="1">
      <c r="C496" s="641" t="s">
        <v>1275</v>
      </c>
      <c r="D496" s="639" t="s">
        <v>1845</v>
      </c>
      <c r="E496" s="4822" t="s">
        <v>2985</v>
      </c>
      <c r="F496" s="4822"/>
      <c r="G496" s="4822"/>
      <c r="H496" s="4822"/>
    </row>
    <row r="497" spans="1:8" ht="12.75" customHeight="1">
      <c r="E497" s="4822" t="s">
        <v>3120</v>
      </c>
      <c r="F497" s="4822"/>
      <c r="G497" s="4822"/>
      <c r="H497" s="4822"/>
    </row>
    <row r="498" spans="1:8" ht="12.75" customHeight="1">
      <c r="D498" s="642" t="s">
        <v>2983</v>
      </c>
      <c r="E498" s="4822" t="s">
        <v>3121</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4089</v>
      </c>
      <c r="B502" s="4822"/>
      <c r="C502" s="4822"/>
      <c r="D502" s="4822"/>
      <c r="E502" s="4822"/>
      <c r="F502" s="4822"/>
      <c r="G502" s="4822"/>
      <c r="H502" s="4822"/>
    </row>
    <row r="503" spans="1:8" ht="9" customHeight="1">
      <c r="A503" s="611"/>
    </row>
    <row r="504" spans="1:8">
      <c r="A504" s="620" t="s">
        <v>2979</v>
      </c>
      <c r="B504" s="637" t="str">
        <f>IF('Part V-Revenues &amp; Expenses'!$K$56=0,"",'Part V-Revenues &amp; Expenses'!$K$56)</f>
        <v/>
      </c>
      <c r="C504" s="620" t="s">
        <v>4077</v>
      </c>
      <c r="D504" s="638" t="s">
        <v>4078</v>
      </c>
    </row>
    <row r="505" spans="1:8" ht="1.9" customHeight="1"/>
    <row r="506" spans="1:8" ht="12.75" customHeight="1">
      <c r="C506" s="617" t="s">
        <v>2886</v>
      </c>
      <c r="D506" s="639" t="s">
        <v>1843</v>
      </c>
      <c r="E506" s="640"/>
      <c r="F506" s="4822" t="s">
        <v>2887</v>
      </c>
      <c r="G506" s="4822"/>
      <c r="H506" s="4822"/>
    </row>
    <row r="507" spans="1:8" ht="12.75" customHeight="1">
      <c r="C507" s="641" t="s">
        <v>1275</v>
      </c>
      <c r="D507" s="639" t="s">
        <v>1845</v>
      </c>
      <c r="E507" s="4822" t="s">
        <v>2984</v>
      </c>
      <c r="F507" s="4822"/>
      <c r="G507" s="4822"/>
      <c r="H507" s="4822"/>
    </row>
    <row r="508" spans="1:8" ht="12.75" customHeight="1">
      <c r="C508" s="1449" t="s">
        <v>4082</v>
      </c>
      <c r="E508" s="4822" t="s">
        <v>3120</v>
      </c>
      <c r="F508" s="4822"/>
      <c r="G508" s="4822"/>
      <c r="H508" s="4822"/>
    </row>
    <row r="509" spans="1:8" ht="12.75" customHeight="1">
      <c r="C509" s="1450"/>
      <c r="D509" s="1448" t="s">
        <v>2983</v>
      </c>
      <c r="E509" s="4825" t="s">
        <v>3121</v>
      </c>
      <c r="F509" s="4825"/>
      <c r="G509" s="4825"/>
      <c r="H509" s="4825"/>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22" t="s">
        <v>2984</v>
      </c>
      <c r="F512" s="4822"/>
      <c r="G512" s="4822"/>
      <c r="H512" s="4822"/>
    </row>
    <row r="513" spans="1:8" ht="12.75" customHeight="1">
      <c r="C513" s="1449" t="s">
        <v>4082</v>
      </c>
      <c r="E513" s="4822" t="s">
        <v>3120</v>
      </c>
      <c r="F513" s="4822"/>
      <c r="G513" s="4822"/>
      <c r="H513" s="4822"/>
    </row>
    <row r="514" spans="1:8" ht="12.75" customHeight="1">
      <c r="C514" s="1450"/>
      <c r="D514" s="1448" t="s">
        <v>2983</v>
      </c>
      <c r="E514" s="4825" t="s">
        <v>3121</v>
      </c>
      <c r="F514" s="4825"/>
      <c r="G514" s="4825"/>
      <c r="H514" s="4825"/>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22" t="s">
        <v>2984</v>
      </c>
      <c r="F517" s="4822"/>
      <c r="G517" s="4822"/>
      <c r="H517" s="4822"/>
    </row>
    <row r="518" spans="1:8" ht="12.75" customHeight="1">
      <c r="C518" s="1449" t="s">
        <v>4082</v>
      </c>
      <c r="E518" s="4822" t="s">
        <v>3120</v>
      </c>
      <c r="F518" s="4822"/>
      <c r="G518" s="4822"/>
      <c r="H518" s="4822"/>
    </row>
    <row r="519" spans="1:8" ht="12.75" customHeight="1">
      <c r="C519" s="1450"/>
      <c r="D519" s="1448" t="s">
        <v>2983</v>
      </c>
      <c r="E519" s="4825" t="s">
        <v>3121</v>
      </c>
      <c r="F519" s="4825"/>
      <c r="G519" s="4825"/>
      <c r="H519" s="4825"/>
    </row>
    <row r="520" spans="1:8" ht="6" customHeight="1">
      <c r="D520" s="639"/>
      <c r="E520" s="1025"/>
      <c r="F520" s="1025"/>
      <c r="G520" s="1025"/>
      <c r="H520" s="1025"/>
    </row>
    <row r="521" spans="1:8">
      <c r="A521" s="620" t="s">
        <v>2979</v>
      </c>
      <c r="B521" s="637">
        <f>IF('Part V-Revenues &amp; Expenses'!$L$56=0,"",'Part V-Revenues &amp; Expenses'!$L$56)</f>
        <v>3</v>
      </c>
      <c r="C521" s="620" t="s">
        <v>2980</v>
      </c>
      <c r="D521" s="638" t="s">
        <v>3122</v>
      </c>
    </row>
    <row r="522" spans="1:8" ht="1.9" customHeight="1"/>
    <row r="523" spans="1:8" ht="12.75" customHeight="1">
      <c r="C523" s="617" t="s">
        <v>2886</v>
      </c>
      <c r="D523" s="639" t="s">
        <v>1843</v>
      </c>
      <c r="E523" s="640"/>
      <c r="F523" s="636" t="s">
        <v>2887</v>
      </c>
      <c r="G523" s="636"/>
      <c r="H523" s="636"/>
    </row>
    <row r="524" spans="1:8" ht="12.75" customHeight="1">
      <c r="C524" s="641" t="s">
        <v>1275</v>
      </c>
      <c r="D524" s="639" t="s">
        <v>1845</v>
      </c>
      <c r="E524" s="4822" t="s">
        <v>2984</v>
      </c>
      <c r="F524" s="4822"/>
      <c r="G524" s="4822"/>
      <c r="H524" s="4822"/>
    </row>
    <row r="525" spans="1:8" ht="12.75" customHeight="1">
      <c r="C525" s="1449" t="s">
        <v>4082</v>
      </c>
      <c r="E525" s="4822" t="s">
        <v>3120</v>
      </c>
      <c r="F525" s="4822"/>
      <c r="G525" s="4822"/>
      <c r="H525" s="4822"/>
    </row>
    <row r="526" spans="1:8" ht="12.75" customHeight="1">
      <c r="C526" s="1450"/>
      <c r="D526" s="642" t="s">
        <v>2983</v>
      </c>
      <c r="E526" s="4822" t="s">
        <v>3121</v>
      </c>
      <c r="F526" s="4822"/>
      <c r="G526" s="4822"/>
      <c r="H526" s="4822"/>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22" t="s">
        <v>2984</v>
      </c>
      <c r="F529" s="4822"/>
      <c r="G529" s="4822"/>
      <c r="H529" s="4822"/>
    </row>
    <row r="530" spans="1:8" ht="12.75" customHeight="1">
      <c r="C530" s="1449" t="s">
        <v>4082</v>
      </c>
      <c r="E530" s="4822" t="s">
        <v>3120</v>
      </c>
      <c r="F530" s="4822"/>
      <c r="G530" s="4822"/>
      <c r="H530" s="4822"/>
    </row>
    <row r="531" spans="1:8" ht="12.75" customHeight="1">
      <c r="C531" s="1450"/>
      <c r="D531" s="1448" t="s">
        <v>2983</v>
      </c>
      <c r="E531" s="4825" t="s">
        <v>3121</v>
      </c>
      <c r="F531" s="4825"/>
      <c r="G531" s="4825"/>
      <c r="H531" s="4825"/>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22" t="s">
        <v>2984</v>
      </c>
      <c r="F534" s="4822"/>
      <c r="G534" s="4822"/>
      <c r="H534" s="4822"/>
    </row>
    <row r="535" spans="1:8" ht="12.75" customHeight="1">
      <c r="C535" s="1449" t="s">
        <v>4082</v>
      </c>
      <c r="E535" s="4822" t="s">
        <v>3120</v>
      </c>
      <c r="F535" s="4822"/>
      <c r="G535" s="4822"/>
      <c r="H535" s="4822"/>
    </row>
    <row r="536" spans="1:8" ht="12.75" customHeight="1">
      <c r="C536" s="1450"/>
      <c r="D536" s="1448" t="s">
        <v>2983</v>
      </c>
      <c r="E536" s="4825" t="s">
        <v>3121</v>
      </c>
      <c r="F536" s="4825"/>
      <c r="G536" s="4825"/>
      <c r="H536" s="4825"/>
    </row>
    <row r="537" spans="1:8" ht="6" customHeight="1">
      <c r="D537" s="639"/>
      <c r="E537" s="1025"/>
      <c r="F537" s="1025"/>
      <c r="G537" s="1025"/>
      <c r="H537" s="1025"/>
    </row>
    <row r="538" spans="1:8">
      <c r="A538" s="620" t="s">
        <v>2979</v>
      </c>
      <c r="B538" s="637">
        <f>IF('Part V-Revenues &amp; Expenses'!$M$56=0,"",'Part V-Revenues &amp; Expenses'!$M$56)</f>
        <v>3</v>
      </c>
      <c r="C538" s="620" t="s">
        <v>2981</v>
      </c>
      <c r="D538" s="638" t="s">
        <v>3123</v>
      </c>
    </row>
    <row r="539" spans="1:8" ht="1.9" customHeight="1"/>
    <row r="540" spans="1:8" ht="12.75" customHeight="1">
      <c r="C540" s="617" t="s">
        <v>2886</v>
      </c>
      <c r="D540" s="639" t="s">
        <v>1843</v>
      </c>
      <c r="E540" s="640"/>
      <c r="F540" s="636" t="s">
        <v>2887</v>
      </c>
      <c r="G540" s="636"/>
      <c r="H540" s="636"/>
    </row>
    <row r="541" spans="1:8" ht="12.75" customHeight="1">
      <c r="C541" s="641" t="s">
        <v>1275</v>
      </c>
      <c r="D541" s="639" t="s">
        <v>1845</v>
      </c>
      <c r="E541" s="4822" t="s">
        <v>2984</v>
      </c>
      <c r="F541" s="4822"/>
      <c r="G541" s="4822"/>
      <c r="H541" s="4822"/>
    </row>
    <row r="542" spans="1:8" ht="12.75" customHeight="1">
      <c r="C542" s="1449" t="s">
        <v>4082</v>
      </c>
      <c r="E542" s="4822" t="s">
        <v>3120</v>
      </c>
      <c r="F542" s="4822"/>
      <c r="G542" s="4822"/>
      <c r="H542" s="4822"/>
    </row>
    <row r="543" spans="1:8" ht="12.75" customHeight="1">
      <c r="C543" s="1450"/>
      <c r="D543" s="642" t="s">
        <v>2983</v>
      </c>
      <c r="E543" s="4822" t="s">
        <v>3121</v>
      </c>
      <c r="F543" s="4822"/>
      <c r="G543" s="4822"/>
      <c r="H543" s="4822"/>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22" t="s">
        <v>2984</v>
      </c>
      <c r="F546" s="4822"/>
      <c r="G546" s="4822"/>
      <c r="H546" s="4822"/>
    </row>
    <row r="547" spans="1:8" ht="12.75" customHeight="1">
      <c r="C547" s="1449" t="s">
        <v>4082</v>
      </c>
      <c r="E547" s="4822" t="s">
        <v>3120</v>
      </c>
      <c r="F547" s="4822"/>
      <c r="G547" s="4822"/>
      <c r="H547" s="4822"/>
    </row>
    <row r="548" spans="1:8" ht="12.75" customHeight="1">
      <c r="C548" s="1450"/>
      <c r="D548" s="1448" t="s">
        <v>2983</v>
      </c>
      <c r="E548" s="4825" t="s">
        <v>3121</v>
      </c>
      <c r="F548" s="4825"/>
      <c r="G548" s="4825"/>
      <c r="H548" s="4825"/>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22" t="s">
        <v>2984</v>
      </c>
      <c r="F551" s="4822"/>
      <c r="G551" s="4822"/>
      <c r="H551" s="4822"/>
    </row>
    <row r="552" spans="1:8" ht="12.75" customHeight="1">
      <c r="C552" s="1449" t="s">
        <v>4082</v>
      </c>
      <c r="E552" s="4822" t="s">
        <v>3120</v>
      </c>
      <c r="F552" s="4822"/>
      <c r="G552" s="4822"/>
      <c r="H552" s="4822"/>
    </row>
    <row r="553" spans="1:8" ht="12.75" customHeight="1">
      <c r="C553" s="1450"/>
      <c r="D553" s="1448" t="s">
        <v>2983</v>
      </c>
      <c r="E553" s="4825" t="s">
        <v>3121</v>
      </c>
      <c r="F553" s="4825"/>
      <c r="G553" s="4825"/>
      <c r="H553" s="4825"/>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 customHeight="1"/>
    <row r="557" spans="1:8" ht="12.75" customHeight="1">
      <c r="C557" s="617" t="s">
        <v>2886</v>
      </c>
      <c r="D557" s="639" t="s">
        <v>1843</v>
      </c>
      <c r="E557" s="640"/>
      <c r="F557" s="636" t="s">
        <v>2887</v>
      </c>
      <c r="G557" s="636"/>
      <c r="H557" s="636"/>
    </row>
    <row r="558" spans="1:8" ht="12.75" customHeight="1">
      <c r="C558" s="641" t="s">
        <v>1275</v>
      </c>
      <c r="D558" s="639" t="s">
        <v>1845</v>
      </c>
      <c r="E558" s="4822" t="s">
        <v>2984</v>
      </c>
      <c r="F558" s="4822"/>
      <c r="G558" s="4822"/>
      <c r="H558" s="4822"/>
    </row>
    <row r="559" spans="1:8" ht="12.75" customHeight="1">
      <c r="C559" s="1449" t="s">
        <v>4082</v>
      </c>
      <c r="E559" s="4822" t="s">
        <v>3120</v>
      </c>
      <c r="F559" s="4822"/>
      <c r="G559" s="4822"/>
      <c r="H559" s="4822"/>
    </row>
    <row r="560" spans="1:8" ht="12.75" customHeight="1">
      <c r="C560" s="1450"/>
      <c r="D560" s="642" t="s">
        <v>2983</v>
      </c>
      <c r="E560" s="4822" t="s">
        <v>3121</v>
      </c>
      <c r="F560" s="4822"/>
      <c r="G560" s="4822"/>
      <c r="H560" s="4822"/>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22" t="s">
        <v>2984</v>
      </c>
      <c r="F563" s="4822"/>
      <c r="G563" s="4822"/>
      <c r="H563" s="4822"/>
    </row>
    <row r="564" spans="1:11" ht="12.75" customHeight="1">
      <c r="C564" s="1449" t="s">
        <v>4082</v>
      </c>
      <c r="E564" s="4822" t="s">
        <v>3120</v>
      </c>
      <c r="F564" s="4822"/>
      <c r="G564" s="4822"/>
      <c r="H564" s="4822"/>
    </row>
    <row r="565" spans="1:11" ht="12.75" customHeight="1">
      <c r="C565" s="1450"/>
      <c r="D565" s="1448" t="s">
        <v>2983</v>
      </c>
      <c r="E565" s="4825" t="s">
        <v>3121</v>
      </c>
      <c r="F565" s="4825"/>
      <c r="G565" s="4825"/>
      <c r="H565" s="4825"/>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22" t="s">
        <v>2984</v>
      </c>
      <c r="F568" s="4822"/>
      <c r="G568" s="4822"/>
      <c r="H568" s="4822"/>
    </row>
    <row r="569" spans="1:11" ht="12.75" customHeight="1">
      <c r="C569" s="1449" t="s">
        <v>4082</v>
      </c>
      <c r="E569" s="4822" t="s">
        <v>3120</v>
      </c>
      <c r="F569" s="4822"/>
      <c r="G569" s="4822"/>
      <c r="H569" s="4822"/>
    </row>
    <row r="570" spans="1:11" ht="12.75" customHeight="1">
      <c r="C570" s="1450"/>
      <c r="D570" s="1448" t="s">
        <v>2983</v>
      </c>
      <c r="E570" s="4825" t="s">
        <v>3121</v>
      </c>
      <c r="F570" s="4825"/>
      <c r="G570" s="4825"/>
      <c r="H570" s="4825"/>
    </row>
    <row r="571" spans="1:11" ht="6" customHeight="1">
      <c r="D571" s="639"/>
      <c r="E571" s="1025"/>
      <c r="F571" s="1025"/>
      <c r="G571" s="1025"/>
      <c r="H571" s="1025"/>
    </row>
    <row r="572" spans="1:11">
      <c r="A572" s="620" t="s">
        <v>2979</v>
      </c>
      <c r="B572" s="637" t="str">
        <f>IF('Part V-Revenues &amp; Expenses'!$O$56=0,"",'Part V-Revenues &amp; Expenses'!$O$56)</f>
        <v/>
      </c>
      <c r="C572" s="620" t="s">
        <v>4080</v>
      </c>
      <c r="D572" s="638" t="s">
        <v>4081</v>
      </c>
    </row>
    <row r="573" spans="1:11" ht="1.9" customHeight="1"/>
    <row r="574" spans="1:11" ht="12.75" customHeight="1">
      <c r="C574" s="617" t="s">
        <v>2886</v>
      </c>
      <c r="D574" s="639" t="s">
        <v>1843</v>
      </c>
      <c r="E574" s="640"/>
      <c r="F574" s="4822" t="s">
        <v>2887</v>
      </c>
      <c r="G574" s="4822"/>
      <c r="H574" s="4822"/>
      <c r="K574" s="432" t="s">
        <v>233</v>
      </c>
    </row>
    <row r="575" spans="1:11" ht="12.75" customHeight="1">
      <c r="C575" s="641" t="s">
        <v>1275</v>
      </c>
      <c r="D575" s="639" t="s">
        <v>1845</v>
      </c>
      <c r="E575" s="4822" t="s">
        <v>2985</v>
      </c>
      <c r="F575" s="4822"/>
      <c r="G575" s="4822"/>
      <c r="H575" s="4822"/>
    </row>
    <row r="576" spans="1:11" ht="12.75" customHeight="1">
      <c r="E576" s="4822" t="s">
        <v>3120</v>
      </c>
      <c r="F576" s="4822"/>
      <c r="G576" s="4822"/>
      <c r="H576" s="4822"/>
    </row>
    <row r="577" spans="4:8" ht="12.75" customHeight="1">
      <c r="D577" s="642" t="s">
        <v>2983</v>
      </c>
      <c r="E577" s="4822" t="s">
        <v>3121</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Peaks of Douglas</v>
      </c>
    </row>
    <row r="2" spans="1:14">
      <c r="A2" s="560" t="s">
        <v>2881</v>
      </c>
      <c r="H2" s="432" t="str">
        <f>'Sensitivity Analysis'!E8</f>
        <v>2023-0</v>
      </c>
    </row>
    <row r="3" spans="1:14" ht="3" customHeight="1"/>
    <row r="4" spans="1:14" ht="69.599999999999994" customHeight="1">
      <c r="A4" s="4826" t="s">
        <v>2977</v>
      </c>
      <c r="B4" s="4826"/>
      <c r="C4" s="4826"/>
      <c r="D4" s="4826"/>
      <c r="E4" s="4826"/>
      <c r="F4" s="4826"/>
      <c r="G4" s="4826"/>
      <c r="H4" s="4826"/>
      <c r="I4" s="4826"/>
      <c r="J4" s="4826"/>
      <c r="K4" s="4826"/>
      <c r="L4" s="4868">
        <f>SUM('Part VI-Pro Forma'!B15:B17)/12</f>
        <v>47586.519</v>
      </c>
      <c r="M4" s="4868"/>
      <c r="N4" s="1493" t="s">
        <v>3662</v>
      </c>
    </row>
    <row r="5" spans="1:14" ht="1.5" customHeight="1"/>
    <row r="6" spans="1:14" ht="12.75" customHeight="1">
      <c r="B6" s="635" t="s">
        <v>2239</v>
      </c>
      <c r="C6" s="617" t="s">
        <v>2882</v>
      </c>
      <c r="D6" s="617"/>
      <c r="E6" s="617"/>
      <c r="F6" s="617"/>
      <c r="G6" s="617"/>
      <c r="H6" s="617"/>
    </row>
    <row r="7" spans="1:14" ht="12.75" customHeight="1">
      <c r="B7" s="635" t="s">
        <v>2240</v>
      </c>
      <c r="C7" s="4826" t="s">
        <v>2883</v>
      </c>
      <c r="D7" s="4826"/>
      <c r="E7" s="4826"/>
      <c r="F7" s="4826"/>
      <c r="G7" s="4826"/>
      <c r="H7" s="4826"/>
      <c r="I7" s="4826"/>
      <c r="J7" s="4826"/>
      <c r="K7" s="4826"/>
      <c r="L7" s="4826"/>
      <c r="M7" s="4826"/>
    </row>
    <row r="8" spans="1:14" ht="3" customHeight="1"/>
    <row r="9" spans="1:14">
      <c r="A9" s="432" t="s">
        <v>2884</v>
      </c>
    </row>
    <row r="10" spans="1:14" ht="1.5" customHeight="1"/>
    <row r="11" spans="1:14" ht="26.25" customHeight="1">
      <c r="A11" s="636" t="s">
        <v>1840</v>
      </c>
      <c r="B11" s="4826" t="s">
        <v>2974</v>
      </c>
      <c r="C11" s="4826"/>
      <c r="D11" s="4826"/>
      <c r="E11" s="4826"/>
      <c r="F11" s="4826"/>
      <c r="G11" s="4826"/>
      <c r="H11" s="4826"/>
      <c r="I11" s="4826"/>
      <c r="J11" s="4826"/>
      <c r="K11" s="4826"/>
      <c r="L11" s="4827">
        <f>'Part II-Sources of Funds'!I51+'Part II-Sources of Funds'!I52</f>
        <v>15094501</v>
      </c>
      <c r="M11" s="4827"/>
    </row>
    <row r="12" spans="1:14" ht="1.5" customHeight="1">
      <c r="G12" s="617"/>
      <c r="H12" s="617"/>
    </row>
    <row r="13" spans="1:14" ht="25.9" customHeight="1">
      <c r="A13" s="636" t="s">
        <v>1842</v>
      </c>
      <c r="B13" s="4826" t="s">
        <v>2975</v>
      </c>
      <c r="C13" s="4826"/>
      <c r="D13" s="4826"/>
      <c r="E13" s="4826"/>
      <c r="F13" s="4826"/>
      <c r="G13" s="4826"/>
      <c r="H13" s="4826"/>
      <c r="I13" s="4826"/>
      <c r="J13" s="4826"/>
      <c r="K13" s="4826"/>
      <c r="L13" s="4828" t="s">
        <v>2812</v>
      </c>
      <c r="M13" s="4828"/>
    </row>
    <row r="14" spans="1:14">
      <c r="A14" s="636"/>
      <c r="B14" s="4783"/>
      <c r="C14" s="4783"/>
      <c r="D14" s="4783"/>
      <c r="E14" s="4783"/>
      <c r="F14" s="4783"/>
      <c r="G14" s="4783"/>
      <c r="H14" s="4783"/>
    </row>
    <row r="15" spans="1:14" ht="3" customHeight="1"/>
    <row r="16" spans="1:14">
      <c r="A16" s="636" t="s">
        <v>698</v>
      </c>
      <c r="B16" s="432" t="s">
        <v>2978</v>
      </c>
      <c r="L16" s="4829" t="s">
        <v>2651</v>
      </c>
      <c r="M16" s="4829"/>
    </row>
    <row r="17" spans="1:19" ht="1.5" customHeight="1">
      <c r="L17" s="620"/>
    </row>
    <row r="18" spans="1:19" ht="12" customHeight="1">
      <c r="A18" s="636" t="s">
        <v>1961</v>
      </c>
      <c r="B18" s="617" t="s">
        <v>2976</v>
      </c>
      <c r="C18" s="636"/>
      <c r="D18" s="636"/>
      <c r="E18" s="636"/>
      <c r="L18" s="4783" t="s">
        <v>2513</v>
      </c>
      <c r="M18" s="4783"/>
    </row>
    <row r="19" spans="1:19" ht="12" hidden="1" customHeight="1">
      <c r="B19" s="4783"/>
      <c r="C19" s="4783"/>
      <c r="D19" s="4783"/>
      <c r="E19" s="4783"/>
      <c r="F19" s="4783"/>
      <c r="G19" s="4783"/>
      <c r="H19" s="4783"/>
    </row>
    <row r="20" spans="1:19" ht="13.5" customHeight="1"/>
    <row r="21" spans="1:19" ht="12" customHeight="1">
      <c r="A21" s="560" t="s">
        <v>2885</v>
      </c>
    </row>
    <row r="22" spans="1:19" ht="3" customHeight="1"/>
    <row r="23" spans="1:19" ht="42.6" customHeight="1">
      <c r="A23" s="4830" t="s">
        <v>4079</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3675</v>
      </c>
      <c r="D25" s="439"/>
      <c r="E25" s="1581">
        <f>'Part V-Revenues &amp; Expenses'!K56</f>
        <v>0</v>
      </c>
      <c r="F25" s="1582">
        <f>'Part V-Revenues &amp; Expenses'!L56</f>
        <v>3</v>
      </c>
      <c r="G25" s="1582">
        <f>'Part V-Revenues &amp; Expenses'!M56</f>
        <v>3</v>
      </c>
      <c r="H25" s="1582">
        <f>'Part V-Revenues &amp; Expenses'!N56</f>
        <v>0</v>
      </c>
      <c r="I25" s="1582">
        <f>'Part V-Revenues &amp; Expenses'!O56</f>
        <v>0</v>
      </c>
      <c r="J25" s="1583">
        <f>'Part V-Revenues &amp; Expenses'!P56</f>
        <v>6</v>
      </c>
      <c r="K25" s="432"/>
      <c r="S25" s="432"/>
    </row>
    <row r="26" spans="1:19" ht="15" customHeight="1">
      <c r="C26" s="736" t="s">
        <v>3676</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16</v>
      </c>
      <c r="G27" s="1585">
        <f>'Part V-Revenues &amp; Expenses'!M58</f>
        <v>16</v>
      </c>
      <c r="H27" s="1585">
        <f>'Part V-Revenues &amp; Expenses'!N58</f>
        <v>0</v>
      </c>
      <c r="I27" s="1585">
        <f>'Part V-Revenues &amp; Expenses'!O58</f>
        <v>0</v>
      </c>
      <c r="J27" s="1586">
        <f>'Part V-Revenues &amp; Expenses'!P58</f>
        <v>32</v>
      </c>
      <c r="K27" s="432"/>
      <c r="S27" s="432"/>
    </row>
    <row r="28" spans="1:19" ht="15" customHeight="1">
      <c r="C28" s="736" t="s">
        <v>112</v>
      </c>
      <c r="D28" s="439"/>
      <c r="E28" s="1584">
        <f>'Part V-Revenues &amp; Expenses'!K59</f>
        <v>0</v>
      </c>
      <c r="F28" s="1585">
        <f>'Part V-Revenues &amp; Expenses'!L59</f>
        <v>7</v>
      </c>
      <c r="G28" s="1585">
        <f>'Part V-Revenues &amp; Expenses'!M59</f>
        <v>4</v>
      </c>
      <c r="H28" s="1585">
        <f>'Part V-Revenues &amp; Expenses'!N59</f>
        <v>0</v>
      </c>
      <c r="I28" s="1585">
        <f>'Part V-Revenues &amp; Expenses'!O59</f>
        <v>0</v>
      </c>
      <c r="J28" s="1586">
        <f>'Part V-Revenues &amp; Expenses'!P59</f>
        <v>11</v>
      </c>
      <c r="K28" s="432"/>
      <c r="S28" s="432"/>
    </row>
    <row r="29" spans="1:19" ht="13.15" customHeight="1">
      <c r="C29" s="736" t="s">
        <v>3677</v>
      </c>
      <c r="D29" s="439"/>
      <c r="E29" s="1584">
        <f>'Part V-Revenues &amp; Expenses'!K60</f>
        <v>0</v>
      </c>
      <c r="F29" s="1585">
        <f>'Part V-Revenues &amp; Expenses'!L60</f>
        <v>4</v>
      </c>
      <c r="G29" s="1585">
        <f>'Part V-Revenues &amp; Expenses'!M60</f>
        <v>3</v>
      </c>
      <c r="H29" s="1585">
        <f>'Part V-Revenues &amp; Expenses'!N60</f>
        <v>0</v>
      </c>
      <c r="I29" s="1585">
        <f>'Part V-Revenues &amp; Expenses'!O60</f>
        <v>0</v>
      </c>
      <c r="J29" s="1586">
        <f>'Part V-Revenues &amp; Expenses'!P60</f>
        <v>7</v>
      </c>
      <c r="K29" s="432"/>
      <c r="S29" s="432"/>
    </row>
    <row r="30" spans="1:19" ht="13.15" customHeight="1">
      <c r="C30" s="736" t="s">
        <v>3678</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3679</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30</v>
      </c>
      <c r="G32" s="1579">
        <f>'Part V-Revenues &amp; Expenses'!M63</f>
        <v>26</v>
      </c>
      <c r="H32" s="1579">
        <f>'Part V-Revenues &amp; Expenses'!N63</f>
        <v>0</v>
      </c>
      <c r="I32" s="1579">
        <f>'Part V-Revenues &amp; Expenses'!O63</f>
        <v>0</v>
      </c>
      <c r="J32" s="1588">
        <f>'Part V-Revenues &amp; Expenses'!P63</f>
        <v>56</v>
      </c>
      <c r="K32" s="432"/>
      <c r="S32" s="432"/>
    </row>
    <row r="33" spans="1:12" s="432" customFormat="1" ht="13.15" customHeight="1" thickBot="1">
      <c r="K33" s="1492"/>
    </row>
    <row r="34" spans="1:12" s="432" customFormat="1" ht="14.25" customHeight="1" thickBot="1">
      <c r="A34" s="1492"/>
      <c r="B34" s="4842" t="s">
        <v>6170</v>
      </c>
      <c r="E34" s="4843" t="s">
        <v>6066</v>
      </c>
      <c r="F34" s="4844"/>
      <c r="G34" s="4844"/>
      <c r="H34" s="4844"/>
      <c r="I34" s="4844"/>
      <c r="J34" s="4844"/>
      <c r="K34" s="4844"/>
      <c r="L34" s="4845"/>
    </row>
    <row r="35" spans="1:12" s="432" customFormat="1" ht="14.25" customHeight="1">
      <c r="A35" s="1492"/>
      <c r="B35" s="4842"/>
      <c r="C35" s="4846" t="s">
        <v>6171</v>
      </c>
      <c r="D35" s="4842" t="s">
        <v>6172</v>
      </c>
      <c r="E35" s="4847" t="s">
        <v>6069</v>
      </c>
      <c r="F35" s="4848"/>
      <c r="G35" s="4851" t="s">
        <v>1275</v>
      </c>
      <c r="H35" s="4853" t="s">
        <v>6065</v>
      </c>
      <c r="I35" s="4854"/>
      <c r="J35" s="4854"/>
      <c r="K35" s="4854"/>
      <c r="L35" s="4855"/>
    </row>
    <row r="36" spans="1:12" s="432" customFormat="1" ht="23.25" customHeight="1">
      <c r="A36" s="4846" t="s">
        <v>975</v>
      </c>
      <c r="B36" s="4842"/>
      <c r="C36" s="4846"/>
      <c r="D36" s="4842"/>
      <c r="E36" s="4849"/>
      <c r="F36" s="4850"/>
      <c r="G36" s="4852"/>
      <c r="H36" s="4856" t="s">
        <v>6067</v>
      </c>
      <c r="I36" s="4857"/>
      <c r="J36" s="4860" t="s">
        <v>1275</v>
      </c>
      <c r="K36" s="4857" t="s">
        <v>6068</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40</v>
      </c>
      <c r="B39" s="1572">
        <f>'Part V-Revenues &amp; Expenses'!E18</f>
        <v>1</v>
      </c>
      <c r="C39" s="1573" t="str">
        <f>_xlfn.CONCAT('Part V-Revenues &amp; Expenses'!C18," / ",'Part V-Revenues &amp; Expenses'!D18)</f>
        <v>1 / 1</v>
      </c>
      <c r="D39" s="1572">
        <f>'Part V-Revenues &amp; Expenses'!F18</f>
        <v>672</v>
      </c>
      <c r="E39" s="4866">
        <f>'Part V-Revenues &amp; Expenses'!H18</f>
        <v>705</v>
      </c>
      <c r="F39" s="4867"/>
      <c r="G39" s="439"/>
      <c r="H39" s="4836"/>
      <c r="I39" s="4837"/>
      <c r="J39" s="4837"/>
      <c r="K39" s="4837"/>
      <c r="L39" s="4838"/>
    </row>
    <row r="40" spans="1:12" s="432" customFormat="1" ht="13.15" customHeight="1">
      <c r="A40" s="1574">
        <f>'Part V-Revenues &amp; Expenses'!B19</f>
        <v>40</v>
      </c>
      <c r="B40" s="1575">
        <f>'Part V-Revenues &amp; Expenses'!E19</f>
        <v>3</v>
      </c>
      <c r="C40" s="1576" t="str">
        <f>_xlfn.CONCAT('Part V-Revenues &amp; Expenses'!C19," / ",'Part V-Revenues &amp; Expenses'!D19)</f>
        <v>1 / 1</v>
      </c>
      <c r="D40" s="1575">
        <f>'Part V-Revenues &amp; Expenses'!F19</f>
        <v>674</v>
      </c>
      <c r="E40" s="4834">
        <f>'Part V-Revenues &amp; Expenses'!H19</f>
        <v>704</v>
      </c>
      <c r="F40" s="4835"/>
      <c r="G40" s="439"/>
      <c r="H40" s="4831"/>
      <c r="I40" s="4832"/>
      <c r="J40" s="4832"/>
      <c r="K40" s="4832"/>
      <c r="L40" s="4833"/>
    </row>
    <row r="41" spans="1:12" s="432" customFormat="1" ht="13.15" customHeight="1">
      <c r="A41" s="1574">
        <f>'Part V-Revenues &amp; Expenses'!B20</f>
        <v>40</v>
      </c>
      <c r="B41" s="1575">
        <f>'Part V-Revenues &amp; Expenses'!E20</f>
        <v>1</v>
      </c>
      <c r="C41" s="1576" t="str">
        <f>_xlfn.CONCAT('Part V-Revenues &amp; Expenses'!C20," / ",'Part V-Revenues &amp; Expenses'!D20)</f>
        <v>2 / 1</v>
      </c>
      <c r="D41" s="1575">
        <f>'Part V-Revenues &amp; Expenses'!F20</f>
        <v>952</v>
      </c>
      <c r="E41" s="4834">
        <f>'Part V-Revenues &amp; Expenses'!H20</f>
        <v>835</v>
      </c>
      <c r="F41" s="4835"/>
      <c r="G41" s="439"/>
      <c r="H41" s="4831"/>
      <c r="I41" s="4832"/>
      <c r="J41" s="4832"/>
      <c r="K41" s="4832"/>
      <c r="L41" s="4833"/>
    </row>
    <row r="42" spans="1:12" s="432" customFormat="1" ht="13.15" customHeight="1">
      <c r="A42" s="1574">
        <f>'Part V-Revenues &amp; Expenses'!B21</f>
        <v>40</v>
      </c>
      <c r="B42" s="1575">
        <f>'Part V-Revenues &amp; Expenses'!E21</f>
        <v>2</v>
      </c>
      <c r="C42" s="1576" t="str">
        <f>_xlfn.CONCAT('Part V-Revenues &amp; Expenses'!C21," / ",'Part V-Revenues &amp; Expenses'!D21)</f>
        <v>2 / 2</v>
      </c>
      <c r="D42" s="1575">
        <f>'Part V-Revenues &amp; Expenses'!F21</f>
        <v>916</v>
      </c>
      <c r="E42" s="4834">
        <f>'Part V-Revenues &amp; Expenses'!H21</f>
        <v>834</v>
      </c>
      <c r="F42" s="4835"/>
      <c r="G42" s="439"/>
      <c r="H42" s="4831"/>
      <c r="I42" s="4832"/>
      <c r="J42" s="4832"/>
      <c r="K42" s="4832"/>
      <c r="L42" s="4833"/>
    </row>
    <row r="43" spans="1:12" s="432" customFormat="1" ht="13.15" customHeight="1">
      <c r="A43" s="1574">
        <f>'Part V-Revenues &amp; Expenses'!B22</f>
        <v>50</v>
      </c>
      <c r="B43" s="1575">
        <f>'Part V-Revenues &amp; Expenses'!E22</f>
        <v>1</v>
      </c>
      <c r="C43" s="1576" t="str">
        <f>_xlfn.CONCAT('Part V-Revenues &amp; Expenses'!C22," / ",'Part V-Revenues &amp; Expenses'!D22)</f>
        <v>1 / 1</v>
      </c>
      <c r="D43" s="1575">
        <f>'Part V-Revenues &amp; Expenses'!F22</f>
        <v>672</v>
      </c>
      <c r="E43" s="4834">
        <f>'Part V-Revenues &amp; Expenses'!H22</f>
        <v>835</v>
      </c>
      <c r="F43" s="4835"/>
      <c r="G43" s="439"/>
      <c r="H43" s="4831"/>
      <c r="I43" s="4832"/>
      <c r="J43" s="4832"/>
      <c r="K43" s="4832"/>
      <c r="L43" s="4833"/>
    </row>
    <row r="44" spans="1:12" s="432" customFormat="1" ht="13.15" customHeight="1">
      <c r="A44" s="1574">
        <f>'Part V-Revenues &amp; Expenses'!B23</f>
        <v>50</v>
      </c>
      <c r="B44" s="1575">
        <f>'Part V-Revenues &amp; Expenses'!E23</f>
        <v>6</v>
      </c>
      <c r="C44" s="1576" t="str">
        <f>_xlfn.CONCAT('Part V-Revenues &amp; Expenses'!C23," / ",'Part V-Revenues &amp; Expenses'!D23)</f>
        <v>1 / 1</v>
      </c>
      <c r="D44" s="1575">
        <f>'Part V-Revenues &amp; Expenses'!F23</f>
        <v>674</v>
      </c>
      <c r="E44" s="4834">
        <f>'Part V-Revenues &amp; Expenses'!H23</f>
        <v>834</v>
      </c>
      <c r="F44" s="4835"/>
      <c r="G44" s="439"/>
      <c r="H44" s="4831"/>
      <c r="I44" s="4832"/>
      <c r="J44" s="4832"/>
      <c r="K44" s="4832"/>
      <c r="L44" s="4833"/>
    </row>
    <row r="45" spans="1:12" s="432" customFormat="1" ht="13.15" customHeight="1">
      <c r="A45" s="1574">
        <f>'Part V-Revenues &amp; Expenses'!B24</f>
        <v>50</v>
      </c>
      <c r="B45" s="1575">
        <f>'Part V-Revenues &amp; Expenses'!E24</f>
        <v>1</v>
      </c>
      <c r="C45" s="1576" t="str">
        <f>_xlfn.CONCAT('Part V-Revenues &amp; Expenses'!C24," / ",'Part V-Revenues &amp; Expenses'!D24)</f>
        <v>2 / 2</v>
      </c>
      <c r="D45" s="1575">
        <f>'Part V-Revenues &amp; Expenses'!F24</f>
        <v>952</v>
      </c>
      <c r="E45" s="4834">
        <f>'Part V-Revenues &amp; Expenses'!H24</f>
        <v>1040</v>
      </c>
      <c r="F45" s="4835"/>
      <c r="G45" s="439"/>
      <c r="H45" s="4831"/>
      <c r="I45" s="4832"/>
      <c r="J45" s="4832"/>
      <c r="K45" s="4832"/>
      <c r="L45" s="4833"/>
    </row>
    <row r="46" spans="1:12" s="432" customFormat="1" ht="13.15" customHeight="1">
      <c r="A46" s="1574">
        <f>'Part V-Revenues &amp; Expenses'!B25</f>
        <v>50</v>
      </c>
      <c r="B46" s="1575">
        <f>'Part V-Revenues &amp; Expenses'!E25</f>
        <v>3</v>
      </c>
      <c r="C46" s="1576" t="str">
        <f>_xlfn.CONCAT('Part V-Revenues &amp; Expenses'!C25," / ",'Part V-Revenues &amp; Expenses'!D25)</f>
        <v>2 / 2</v>
      </c>
      <c r="D46" s="1575">
        <f>'Part V-Revenues &amp; Expenses'!F25</f>
        <v>916</v>
      </c>
      <c r="E46" s="4834">
        <f>'Part V-Revenues &amp; Expenses'!H25</f>
        <v>1014</v>
      </c>
      <c r="F46" s="4835"/>
      <c r="G46" s="439"/>
      <c r="H46" s="4831"/>
      <c r="I46" s="4832"/>
      <c r="J46" s="4832"/>
      <c r="K46" s="4832"/>
      <c r="L46" s="4833"/>
    </row>
    <row r="47" spans="1:12" s="432" customFormat="1" ht="13.15" customHeight="1">
      <c r="A47" s="1574">
        <f>'Part V-Revenues &amp; Expenses'!B26</f>
        <v>60</v>
      </c>
      <c r="B47" s="1575">
        <f>'Part V-Revenues &amp; Expenses'!E26</f>
        <v>1</v>
      </c>
      <c r="C47" s="1576" t="str">
        <f>_xlfn.CONCAT('Part V-Revenues &amp; Expenses'!C26," / ",'Part V-Revenues &amp; Expenses'!D26)</f>
        <v>1 / 1</v>
      </c>
      <c r="D47" s="1575">
        <f>'Part V-Revenues &amp; Expenses'!F26</f>
        <v>672</v>
      </c>
      <c r="E47" s="4834">
        <f>'Part V-Revenues &amp; Expenses'!H26</f>
        <v>985</v>
      </c>
      <c r="F47" s="4835"/>
      <c r="G47" s="439"/>
      <c r="H47" s="4831"/>
      <c r="I47" s="4832"/>
      <c r="J47" s="4832"/>
      <c r="K47" s="4832"/>
      <c r="L47" s="4833"/>
    </row>
    <row r="48" spans="1:12" s="432" customFormat="1" ht="13.15" customHeight="1">
      <c r="A48" s="1574">
        <f>'Part V-Revenues &amp; Expenses'!B27</f>
        <v>60</v>
      </c>
      <c r="B48" s="1575">
        <f>'Part V-Revenues &amp; Expenses'!E27</f>
        <v>15</v>
      </c>
      <c r="C48" s="1576" t="str">
        <f>_xlfn.CONCAT('Part V-Revenues &amp; Expenses'!C27," / ",'Part V-Revenues &amp; Expenses'!D27)</f>
        <v>1 / 1</v>
      </c>
      <c r="D48" s="1575">
        <f>'Part V-Revenues &amp; Expenses'!F27</f>
        <v>674</v>
      </c>
      <c r="E48" s="4834">
        <f>'Part V-Revenues &amp; Expenses'!H27</f>
        <v>984</v>
      </c>
      <c r="F48" s="4835"/>
      <c r="G48" s="439"/>
      <c r="H48" s="4831"/>
      <c r="I48" s="4832"/>
      <c r="J48" s="4832"/>
      <c r="K48" s="4832"/>
      <c r="L48" s="4833"/>
    </row>
    <row r="49" spans="1:13" s="432" customFormat="1" ht="13.15" customHeight="1">
      <c r="A49" s="1574">
        <f>'Part V-Revenues &amp; Expenses'!B28</f>
        <v>60</v>
      </c>
      <c r="B49" s="1575">
        <f>'Part V-Revenues &amp; Expenses'!E28</f>
        <v>1</v>
      </c>
      <c r="C49" s="1576" t="str">
        <f>_xlfn.CONCAT('Part V-Revenues &amp; Expenses'!C28," / ",'Part V-Revenues &amp; Expenses'!D28)</f>
        <v>2 / 2</v>
      </c>
      <c r="D49" s="1575">
        <f>'Part V-Revenues &amp; Expenses'!F28</f>
        <v>952</v>
      </c>
      <c r="E49" s="4834">
        <f>'Part V-Revenues &amp; Expenses'!H28</f>
        <v>1190</v>
      </c>
      <c r="F49" s="4835"/>
      <c r="G49" s="439"/>
      <c r="H49" s="4831"/>
      <c r="I49" s="4832"/>
      <c r="J49" s="4832"/>
      <c r="K49" s="4832"/>
      <c r="L49" s="4833"/>
    </row>
    <row r="50" spans="1:13" s="432" customFormat="1" ht="13.15" customHeight="1">
      <c r="A50" s="1574">
        <f>'Part V-Revenues &amp; Expenses'!B29</f>
        <v>60</v>
      </c>
      <c r="B50" s="1575">
        <f>'Part V-Revenues &amp; Expenses'!E29</f>
        <v>15</v>
      </c>
      <c r="C50" s="1576" t="str">
        <f>_xlfn.CONCAT('Part V-Revenues &amp; Expenses'!C29," / ",'Part V-Revenues &amp; Expenses'!D29)</f>
        <v>2 / 2</v>
      </c>
      <c r="D50" s="1575">
        <f>'Part V-Revenues &amp; Expenses'!F29</f>
        <v>916</v>
      </c>
      <c r="E50" s="4834">
        <f>'Part V-Revenues &amp; Expenses'!H29</f>
        <v>1189</v>
      </c>
      <c r="F50" s="4835"/>
      <c r="G50" s="439"/>
      <c r="H50" s="4831"/>
      <c r="I50" s="4832"/>
      <c r="J50" s="4832"/>
      <c r="K50" s="4832"/>
      <c r="L50" s="4833"/>
    </row>
    <row r="51" spans="1:13" s="432" customFormat="1" ht="13.15" customHeight="1">
      <c r="A51" s="1574">
        <f>'Part V-Revenues &amp; Expenses'!B30</f>
        <v>80</v>
      </c>
      <c r="B51" s="1575">
        <f>'Part V-Revenues &amp; Expenses'!E30</f>
        <v>1</v>
      </c>
      <c r="C51" s="1576" t="str">
        <f>_xlfn.CONCAT('Part V-Revenues &amp; Expenses'!C30," / ",'Part V-Revenues &amp; Expenses'!D30)</f>
        <v>1 / 1</v>
      </c>
      <c r="D51" s="1575">
        <f>'Part V-Revenues &amp; Expenses'!F30</f>
        <v>672</v>
      </c>
      <c r="E51" s="4834">
        <f>'Part V-Revenues &amp; Expenses'!H30</f>
        <v>1060</v>
      </c>
      <c r="F51" s="4835"/>
      <c r="G51" s="439"/>
      <c r="H51" s="4831"/>
      <c r="I51" s="4832"/>
      <c r="J51" s="4832"/>
      <c r="K51" s="4832"/>
      <c r="L51" s="4833"/>
    </row>
    <row r="52" spans="1:13" s="432" customFormat="1" ht="13.15" customHeight="1">
      <c r="A52" s="1574">
        <f>'Part V-Revenues &amp; Expenses'!B31</f>
        <v>80</v>
      </c>
      <c r="B52" s="1575">
        <f>'Part V-Revenues &amp; Expenses'!E31</f>
        <v>2</v>
      </c>
      <c r="C52" s="1576" t="str">
        <f>_xlfn.CONCAT('Part V-Revenues &amp; Expenses'!C31," / ",'Part V-Revenues &amp; Expenses'!D31)</f>
        <v>1 / 1</v>
      </c>
      <c r="D52" s="1575">
        <f>'Part V-Revenues &amp; Expenses'!F31</f>
        <v>674</v>
      </c>
      <c r="E52" s="4834">
        <f>'Part V-Revenues &amp; Expenses'!H31</f>
        <v>1059</v>
      </c>
      <c r="F52" s="4835"/>
      <c r="G52" s="439"/>
      <c r="H52" s="4831"/>
      <c r="I52" s="4832"/>
      <c r="J52" s="4832"/>
      <c r="K52" s="4832"/>
      <c r="L52" s="4833"/>
    </row>
    <row r="53" spans="1:13" s="432" customFormat="1" ht="13.15" customHeight="1">
      <c r="A53" s="1574">
        <f>'Part V-Revenues &amp; Expenses'!B32</f>
        <v>80</v>
      </c>
      <c r="B53" s="1575">
        <f>'Part V-Revenues &amp; Expenses'!E32</f>
        <v>1</v>
      </c>
      <c r="C53" s="1576" t="str">
        <f>_xlfn.CONCAT('Part V-Revenues &amp; Expenses'!C32," / ",'Part V-Revenues &amp; Expenses'!D32)</f>
        <v>2 / 2</v>
      </c>
      <c r="D53" s="1575">
        <f>'Part V-Revenues &amp; Expenses'!F32</f>
        <v>952</v>
      </c>
      <c r="E53" s="4834">
        <f>'Part V-Revenues &amp; Expenses'!H32</f>
        <v>1290</v>
      </c>
      <c r="F53" s="4835"/>
      <c r="G53" s="439"/>
      <c r="H53" s="4831"/>
      <c r="I53" s="4832"/>
      <c r="J53" s="4832"/>
      <c r="K53" s="4832"/>
      <c r="L53" s="4833"/>
    </row>
    <row r="54" spans="1:13" s="432" customFormat="1" ht="13.15" customHeight="1">
      <c r="A54" s="1574">
        <f>'Part V-Revenues &amp; Expenses'!B33</f>
        <v>80</v>
      </c>
      <c r="B54" s="1575">
        <f>'Part V-Revenues &amp; Expenses'!E33</f>
        <v>2</v>
      </c>
      <c r="C54" s="1576" t="str">
        <f>_xlfn.CONCAT('Part V-Revenues &amp; Expenses'!C33," / ",'Part V-Revenues &amp; Expenses'!D33)</f>
        <v>2 / 2</v>
      </c>
      <c r="D54" s="1575">
        <f>'Part V-Revenues &amp; Expenses'!F33</f>
        <v>916</v>
      </c>
      <c r="E54" s="4834">
        <f>'Part V-Revenues &amp; Expenses'!H33</f>
        <v>1289</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3478</v>
      </c>
      <c r="C1" s="4726"/>
      <c r="D1" s="4726"/>
      <c r="E1" s="4726"/>
      <c r="F1" s="4726"/>
      <c r="G1" s="4726"/>
      <c r="H1" s="4726"/>
      <c r="I1" s="4726"/>
    </row>
    <row r="2" spans="2:13" ht="15">
      <c r="B2" s="1040" t="s">
        <v>3466</v>
      </c>
      <c r="C2" s="616"/>
      <c r="D2" s="616"/>
      <c r="E2" s="616"/>
      <c r="F2" s="616"/>
      <c r="G2" s="616"/>
      <c r="H2" s="616"/>
      <c r="I2" s="616"/>
    </row>
    <row r="3" spans="2:13" ht="14.25">
      <c r="B3" s="1041" t="s">
        <v>3473</v>
      </c>
      <c r="C3" s="616"/>
      <c r="D3" s="616"/>
      <c r="E3" s="616"/>
      <c r="F3" s="616"/>
      <c r="G3" s="616"/>
      <c r="H3" s="616"/>
      <c r="I3" s="616"/>
    </row>
    <row r="4" spans="2:13">
      <c r="B4" s="4878" t="s">
        <v>2888</v>
      </c>
      <c r="C4" s="4878"/>
      <c r="D4" s="4878"/>
      <c r="E4" s="4883" t="s">
        <v>2889</v>
      </c>
      <c r="F4" s="4885"/>
      <c r="G4" s="4883" t="s">
        <v>574</v>
      </c>
      <c r="H4" s="4884"/>
      <c r="I4" s="4885"/>
      <c r="J4" s="1036" t="s">
        <v>2737</v>
      </c>
      <c r="K4" s="1036"/>
      <c r="L4" s="1036"/>
      <c r="M4" s="1036"/>
    </row>
    <row r="5" spans="2:13">
      <c r="B5" s="4879">
        <f>'Closing term sheet'!C8</f>
        <v>0</v>
      </c>
      <c r="C5" s="4880"/>
      <c r="D5" s="4880"/>
      <c r="E5" s="4889"/>
      <c r="F5" s="4890"/>
      <c r="G5" s="4886" t="str">
        <f>'Closing term sheet'!C28</f>
        <v>Peaks of Douglas</v>
      </c>
      <c r="H5" s="4887"/>
      <c r="I5" s="4888"/>
    </row>
    <row r="6" spans="2:13" ht="4.5" customHeight="1">
      <c r="D6" s="1042"/>
      <c r="E6" s="1042"/>
      <c r="F6" s="1042"/>
      <c r="G6" s="1042"/>
      <c r="H6" s="1042"/>
      <c r="I6" s="1042"/>
    </row>
    <row r="7" spans="2:13">
      <c r="B7" s="4874" t="s">
        <v>2890</v>
      </c>
      <c r="C7" s="4874"/>
      <c r="H7" s="4881">
        <f>'Preview term'!E9</f>
        <v>0</v>
      </c>
      <c r="I7" s="4882"/>
    </row>
    <row r="8" spans="2:13" ht="4.5" customHeight="1"/>
    <row r="9" spans="2:13">
      <c r="B9" s="432" t="s">
        <v>2891</v>
      </c>
      <c r="E9" s="560" t="s">
        <v>3468</v>
      </c>
      <c r="I9" s="1043" t="str">
        <f>'Closing term sheet'!D12</f>
        <v>&lt;&lt;Select&gt;&gt;</v>
      </c>
    </row>
    <row r="10" spans="2:13" ht="7.5" customHeight="1"/>
    <row r="11" spans="2:13" ht="14.25">
      <c r="B11" s="605" t="s">
        <v>3465</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3469</v>
      </c>
      <c r="E16" s="523" t="s">
        <v>3056</v>
      </c>
      <c r="I16" s="1050"/>
    </row>
    <row r="17" spans="2:9" ht="7.5" customHeight="1">
      <c r="B17" s="1047"/>
      <c r="I17" s="1049"/>
    </row>
    <row r="18" spans="2:9">
      <c r="B18" s="1047" t="s">
        <v>2894</v>
      </c>
      <c r="I18" s="1052" t="s">
        <v>1646</v>
      </c>
    </row>
    <row r="19" spans="2:9">
      <c r="B19" s="1051" t="s">
        <v>3470</v>
      </c>
      <c r="I19" s="1053"/>
    </row>
    <row r="20" spans="2:9" ht="7.5" customHeight="1">
      <c r="B20" s="1047"/>
      <c r="I20" s="1053"/>
    </row>
    <row r="21" spans="2:9">
      <c r="B21" s="1047" t="s">
        <v>3467</v>
      </c>
      <c r="I21" s="1050"/>
    </row>
    <row r="22" spans="2:9">
      <c r="B22" s="1051" t="s">
        <v>3471</v>
      </c>
      <c r="I22" s="1053"/>
    </row>
    <row r="23" spans="2:9" ht="3" customHeight="1">
      <c r="B23" s="1054"/>
      <c r="C23" s="1055"/>
      <c r="D23" s="1055"/>
      <c r="E23" s="1055"/>
      <c r="F23" s="1055"/>
      <c r="G23" s="1055"/>
      <c r="H23" s="1055"/>
      <c r="I23" s="1056"/>
    </row>
    <row r="24" spans="2:9" ht="7.5" customHeight="1"/>
    <row r="25" spans="2:9" ht="15" customHeight="1">
      <c r="B25" s="605" t="s">
        <v>3472</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3474</v>
      </c>
    </row>
    <row r="34" spans="2:9" ht="3" customHeight="1">
      <c r="B34" s="1044"/>
      <c r="C34" s="1045"/>
      <c r="D34" s="1045"/>
      <c r="E34" s="1045"/>
      <c r="F34" s="1045"/>
      <c r="G34" s="1045"/>
      <c r="H34" s="1045"/>
      <c r="I34" s="1057"/>
    </row>
    <row r="35" spans="2:9">
      <c r="B35" s="1047" t="s">
        <v>3477</v>
      </c>
      <c r="F35" s="736"/>
      <c r="H35" s="4826" t="s">
        <v>3486</v>
      </c>
      <c r="I35" s="4891"/>
    </row>
    <row r="36" spans="2:9">
      <c r="B36" s="1059" t="s">
        <v>3485</v>
      </c>
      <c r="C36" s="523"/>
      <c r="D36" s="523"/>
      <c r="F36" s="1258"/>
      <c r="G36" s="617"/>
      <c r="H36" s="4826"/>
      <c r="I36" s="4891"/>
    </row>
    <row r="37" spans="2:9">
      <c r="B37" s="1059" t="s">
        <v>3483</v>
      </c>
      <c r="D37" s="523"/>
      <c r="F37" s="1259"/>
      <c r="G37" s="617"/>
      <c r="H37" s="4826"/>
      <c r="I37" s="4891"/>
    </row>
    <row r="38" spans="2:9">
      <c r="B38" s="1059" t="s">
        <v>3484</v>
      </c>
      <c r="F38" s="1259"/>
      <c r="G38" s="617"/>
      <c r="H38" s="617"/>
      <c r="I38" s="1060"/>
    </row>
    <row r="39" spans="2:9" ht="12.75" customHeight="1">
      <c r="B39" s="1059" t="s">
        <v>3482</v>
      </c>
      <c r="F39" s="1259"/>
      <c r="G39" s="617"/>
      <c r="H39" s="617"/>
      <c r="I39" s="1060"/>
    </row>
    <row r="40" spans="2:9">
      <c r="B40" s="1061" t="s">
        <v>3481</v>
      </c>
      <c r="E40" s="614"/>
      <c r="F40" s="1259"/>
      <c r="G40" s="614"/>
      <c r="H40" s="1257"/>
      <c r="I40" s="1049"/>
    </row>
    <row r="41" spans="2:9">
      <c r="B41" s="1061" t="s">
        <v>3480</v>
      </c>
      <c r="F41" s="1259"/>
      <c r="I41" s="1049"/>
    </row>
    <row r="42" spans="2:9">
      <c r="B42" s="1061" t="s">
        <v>3479</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3476</v>
      </c>
    </row>
    <row r="46" spans="2:9" ht="3" customHeight="1">
      <c r="B46" s="1044"/>
      <c r="C46" s="1045"/>
      <c r="D46" s="1045"/>
      <c r="E46" s="1045"/>
      <c r="F46" s="1045"/>
      <c r="G46" s="1045"/>
      <c r="H46" s="1045"/>
      <c r="I46" s="1057"/>
    </row>
    <row r="47" spans="2:9">
      <c r="B47" s="1047" t="s">
        <v>3475</v>
      </c>
      <c r="D47" s="1063"/>
      <c r="E47" s="1064" t="e">
        <f>'Sensitivity Analysis Reversed'!H7</f>
        <v>#REF!</v>
      </c>
      <c r="F47" s="439" t="s">
        <v>3487</v>
      </c>
      <c r="I47" s="1049"/>
    </row>
    <row r="48" spans="2:9">
      <c r="B48" s="1051" t="s">
        <v>2903</v>
      </c>
      <c r="C48" s="523"/>
      <c r="D48" s="523" t="s">
        <v>2904</v>
      </c>
      <c r="F48" s="4898">
        <f>'Closing term sheet'!$C$30</f>
        <v>0</v>
      </c>
      <c r="G48" s="4899"/>
      <c r="H48" s="4899"/>
      <c r="I48" s="4900"/>
    </row>
    <row r="49" spans="2:9">
      <c r="B49" s="1051" t="s">
        <v>2905</v>
      </c>
      <c r="D49" s="523" t="s">
        <v>2906</v>
      </c>
      <c r="F49" s="4901"/>
      <c r="G49" s="4902"/>
      <c r="H49" s="4902"/>
      <c r="I49" s="4903"/>
    </row>
    <row r="50" spans="2:9">
      <c r="B50" s="1051" t="s">
        <v>2907</v>
      </c>
      <c r="F50" s="1042"/>
      <c r="G50" s="1042"/>
      <c r="H50" s="1042"/>
      <c r="I50" s="1065"/>
    </row>
    <row r="51" spans="2:9" ht="7.5" customHeight="1">
      <c r="B51" s="1047"/>
      <c r="I51" s="1049"/>
    </row>
    <row r="52" spans="2:9">
      <c r="B52" s="1066" t="s">
        <v>3488</v>
      </c>
      <c r="C52" s="4871" t="str">
        <f>'Part I-Project Identification'!F26</f>
        <v>Douglasville</v>
      </c>
      <c r="D52" s="4872"/>
      <c r="E52" s="610" t="s">
        <v>3489</v>
      </c>
      <c r="F52" s="1043" t="s">
        <v>791</v>
      </c>
      <c r="G52" s="610" t="s">
        <v>3490</v>
      </c>
      <c r="H52" s="1067" t="e">
        <f>'Part I-Project Identification'!#REF!</f>
        <v>#REF!</v>
      </c>
      <c r="I52" s="1049"/>
    </row>
    <row r="53" spans="2:9">
      <c r="B53" s="1066" t="s">
        <v>3652</v>
      </c>
      <c r="D53" s="1068" t="e">
        <f>VLOOKUP("='Part I-Project Information'!$J$39",'DCA Underwriting Assumptions'!$G$141:$O$300,9)</f>
        <v>#N/A</v>
      </c>
      <c r="I53" s="1049"/>
    </row>
    <row r="54" spans="2:9">
      <c r="B54" s="1066" t="s">
        <v>3653</v>
      </c>
      <c r="I54" s="1049"/>
    </row>
    <row r="55" spans="2:9">
      <c r="B55" s="1061" t="s">
        <v>3654</v>
      </c>
      <c r="D55" s="1058" t="e">
        <f>'Closing term sheet'!$D$33</f>
        <v>#VALUE!</v>
      </c>
      <c r="E55" s="1062"/>
      <c r="F55" s="560" t="s">
        <v>2908</v>
      </c>
      <c r="I55" s="1049"/>
    </row>
    <row r="56" spans="2:9">
      <c r="B56" s="1061" t="s">
        <v>3656</v>
      </c>
      <c r="D56" s="1069">
        <f>'Closing term sheet'!$D$63</f>
        <v>12300000</v>
      </c>
      <c r="E56" s="1070"/>
      <c r="F56" s="560" t="s">
        <v>2909</v>
      </c>
      <c r="I56" s="1049"/>
    </row>
    <row r="57" spans="2:9">
      <c r="B57" s="1059" t="s">
        <v>3655</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2911</v>
      </c>
      <c r="C61" s="4774"/>
      <c r="D61" s="4774"/>
      <c r="E61" s="4774"/>
      <c r="F61" s="4774"/>
      <c r="G61" s="4774"/>
      <c r="H61" s="4774"/>
      <c r="I61" s="4877"/>
    </row>
    <row r="62" spans="2:9" ht="7.5" customHeight="1">
      <c r="B62" s="4873"/>
      <c r="C62" s="4773"/>
      <c r="D62" s="4773"/>
      <c r="G62" s="1072"/>
      <c r="I62" s="1049"/>
    </row>
    <row r="63" spans="2:9">
      <c r="B63" s="1066" t="s">
        <v>2913</v>
      </c>
      <c r="D63" s="1058">
        <v>4</v>
      </c>
      <c r="G63" s="4874" t="s">
        <v>2912</v>
      </c>
      <c r="H63" s="4874"/>
      <c r="I63" s="4875"/>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2924</v>
      </c>
      <c r="C81" s="4774"/>
      <c r="D81" s="4774"/>
      <c r="E81" s="4774"/>
      <c r="F81" s="4774"/>
      <c r="G81" s="4774"/>
      <c r="H81" s="4774"/>
      <c r="I81" s="4877"/>
    </row>
    <row r="82" spans="2:9">
      <c r="B82" s="1047"/>
      <c r="I82" s="1049"/>
    </row>
    <row r="83" spans="2:9">
      <c r="B83" s="1047" t="s">
        <v>2925</v>
      </c>
      <c r="I83" s="1049"/>
    </row>
    <row r="84" spans="2:9">
      <c r="B84" s="1047"/>
      <c r="C84" s="432" t="s">
        <v>2926</v>
      </c>
      <c r="F84" s="4895">
        <f>'Closing term sheet'!D63</f>
        <v>12300000</v>
      </c>
      <c r="G84" s="4895"/>
      <c r="I84" s="1049"/>
    </row>
    <row r="85" spans="2:9">
      <c r="B85" s="1047"/>
      <c r="C85" s="432" t="s">
        <v>2927</v>
      </c>
      <c r="F85" s="4870" t="e">
        <f>'Part II-Sources of Funds'!I47+'Part II-Sources of Funds'!L47</f>
        <v>#N/A</v>
      </c>
      <c r="G85" s="4870"/>
      <c r="I85" s="1049"/>
    </row>
    <row r="86" spans="2:9">
      <c r="B86" s="1047"/>
      <c r="C86" s="432" t="s">
        <v>2928</v>
      </c>
      <c r="F86" s="4869"/>
      <c r="G86" s="4869"/>
      <c r="I86" s="1049"/>
    </row>
    <row r="87" spans="2:9">
      <c r="B87" s="1047"/>
      <c r="C87" s="523" t="s">
        <v>2929</v>
      </c>
      <c r="F87" s="4870">
        <v>11000</v>
      </c>
      <c r="G87" s="4870"/>
      <c r="I87" s="1049"/>
    </row>
    <row r="88" spans="2:9">
      <c r="B88" s="1047"/>
      <c r="C88" s="432" t="s">
        <v>2930</v>
      </c>
      <c r="F88" s="4897"/>
      <c r="G88" s="4897"/>
      <c r="I88" s="1049"/>
    </row>
    <row r="89" spans="2:9">
      <c r="B89" s="1047"/>
      <c r="C89" s="560" t="s">
        <v>2931</v>
      </c>
      <c r="F89" s="4893" t="e">
        <f>SUM(F84:G88)</f>
        <v>#N/A</v>
      </c>
      <c r="G89" s="4893"/>
      <c r="I89" s="1049"/>
    </row>
    <row r="90" spans="2:9">
      <c r="B90" s="1047"/>
      <c r="F90" s="4894"/>
      <c r="G90" s="4894"/>
      <c r="I90" s="1049"/>
    </row>
    <row r="91" spans="2:9">
      <c r="B91" s="1047" t="s">
        <v>2932</v>
      </c>
      <c r="I91" s="1049"/>
    </row>
    <row r="92" spans="2:9">
      <c r="B92" s="1047"/>
      <c r="C92" s="432" t="s">
        <v>2933</v>
      </c>
      <c r="F92" s="4895"/>
      <c r="G92" s="4895"/>
      <c r="I92" s="1049"/>
    </row>
    <row r="93" spans="2:9">
      <c r="B93" s="1047"/>
      <c r="C93" s="432" t="s">
        <v>2934</v>
      </c>
      <c r="F93" s="4896"/>
      <c r="G93" s="4896"/>
      <c r="I93" s="1049"/>
    </row>
    <row r="94" spans="2:9">
      <c r="B94" s="1047"/>
      <c r="C94" s="432" t="s">
        <v>2935</v>
      </c>
      <c r="F94" s="4892" t="s">
        <v>2812</v>
      </c>
      <c r="G94" s="4892"/>
      <c r="I94" s="1049"/>
    </row>
    <row r="95" spans="2:9">
      <c r="B95" s="1047"/>
      <c r="C95" s="560" t="s">
        <v>2936</v>
      </c>
      <c r="F95" s="4893">
        <f>+SUM(F92:G94)</f>
        <v>0</v>
      </c>
      <c r="G95" s="4893"/>
      <c r="I95" s="1049"/>
    </row>
    <row r="96" spans="2:9">
      <c r="B96" s="1047"/>
      <c r="I96" s="1049"/>
    </row>
    <row r="97" spans="2:9">
      <c r="B97" s="1047" t="s">
        <v>2937</v>
      </c>
      <c r="I97" s="1049"/>
    </row>
    <row r="98" spans="2:9">
      <c r="B98" s="1047"/>
      <c r="C98" s="432" t="s">
        <v>2938</v>
      </c>
      <c r="F98" s="4895"/>
      <c r="G98" s="4895"/>
      <c r="I98" s="1049"/>
    </row>
    <row r="99" spans="2:9">
      <c r="B99" s="1047"/>
      <c r="C99" s="432" t="s">
        <v>2939</v>
      </c>
      <c r="F99" s="4896"/>
      <c r="G99" s="4896"/>
      <c r="I99" s="1049"/>
    </row>
    <row r="100" spans="2:9">
      <c r="B100" s="1047"/>
      <c r="C100" s="432" t="s">
        <v>2940</v>
      </c>
      <c r="F100" s="4897"/>
      <c r="G100" s="4897"/>
      <c r="I100" s="1049"/>
    </row>
    <row r="101" spans="2:9">
      <c r="B101" s="1047"/>
      <c r="C101" s="560" t="s">
        <v>2941</v>
      </c>
      <c r="F101" s="4893">
        <f>+SUM(F98:G100)</f>
        <v>0</v>
      </c>
      <c r="G101" s="4893"/>
      <c r="I101" s="1049"/>
    </row>
    <row r="102" spans="2:9">
      <c r="B102" s="1047"/>
      <c r="I102" s="1049"/>
    </row>
    <row r="103" spans="2:9">
      <c r="B103" s="1066" t="s">
        <v>2942</v>
      </c>
      <c r="F103" s="4892">
        <f>'Part II-Sources of Funds'!I48+'Part II-Sources of Funds'!I49</f>
        <v>0</v>
      </c>
      <c r="G103" s="4892"/>
      <c r="I103" s="1049"/>
    </row>
    <row r="104" spans="2:9">
      <c r="B104" s="1047"/>
      <c r="I104" s="1076" t="s">
        <v>2943</v>
      </c>
    </row>
    <row r="105" spans="2:9">
      <c r="B105" s="1047" t="s">
        <v>2944</v>
      </c>
      <c r="F105" s="4892" t="e">
        <f>+F103+F101+F95+F89</f>
        <v>#N/A</v>
      </c>
      <c r="G105" s="4892"/>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24" t="s">
        <v>6616</v>
      </c>
      <c r="R11" s="4924"/>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3140</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06" t="s">
        <v>3906</v>
      </c>
      <c r="R13" s="4906"/>
      <c r="S13" s="144"/>
      <c r="T13" s="144"/>
      <c r="U13" s="144"/>
      <c r="AA13" s="68"/>
      <c r="AB13" s="68"/>
    </row>
    <row r="14" spans="1:28" s="145" customFormat="1" ht="12.75" hidden="1" customHeight="1">
      <c r="A14" s="147"/>
      <c r="B14" s="147"/>
      <c r="C14" s="147"/>
      <c r="K14" s="236" t="s">
        <v>3907</v>
      </c>
      <c r="L14" s="236"/>
      <c r="N14" s="234"/>
      <c r="O14" s="147"/>
      <c r="P14" s="144"/>
      <c r="Q14" s="4904">
        <v>0.2</v>
      </c>
      <c r="R14" s="4905"/>
      <c r="S14" s="144"/>
      <c r="T14" s="144"/>
      <c r="U14" s="144"/>
      <c r="AA14" s="68"/>
      <c r="AB14" s="68"/>
    </row>
    <row r="15" spans="1:28" s="145" customFormat="1" ht="12.75" hidden="1" customHeight="1">
      <c r="A15" s="147"/>
      <c r="B15" s="147"/>
      <c r="C15" s="147"/>
      <c r="K15" s="236" t="s">
        <v>3908</v>
      </c>
      <c r="L15" s="236"/>
      <c r="N15" s="234"/>
      <c r="O15" s="147"/>
      <c r="P15" s="144"/>
      <c r="Q15" s="4927">
        <v>0.15</v>
      </c>
      <c r="R15" s="4928"/>
      <c r="S15" s="144"/>
      <c r="T15" s="144"/>
      <c r="U15" s="144"/>
      <c r="AA15" s="68"/>
      <c r="AB15" s="68"/>
    </row>
    <row r="16" spans="1:28" s="145" customFormat="1" ht="12.75" hidden="1" customHeight="1">
      <c r="A16" s="147"/>
      <c r="B16" s="147"/>
      <c r="C16" s="147"/>
      <c r="K16" s="236" t="s">
        <v>3909</v>
      </c>
      <c r="L16" s="236"/>
      <c r="N16" s="234"/>
      <c r="O16" s="147"/>
      <c r="P16" s="144"/>
      <c r="Q16" s="4927">
        <v>0.15</v>
      </c>
      <c r="R16" s="4928"/>
      <c r="S16" s="144"/>
      <c r="T16" s="144"/>
      <c r="U16" s="144"/>
      <c r="AA16" s="68"/>
      <c r="AB16" s="68"/>
    </row>
    <row r="17" spans="1:28" s="145" customFormat="1" ht="12.75" hidden="1" customHeight="1">
      <c r="A17" s="147"/>
      <c r="B17" s="147"/>
      <c r="C17" s="147"/>
      <c r="K17" s="236" t="s">
        <v>3910</v>
      </c>
      <c r="L17" s="236"/>
      <c r="N17" s="234"/>
      <c r="O17" s="147"/>
      <c r="P17" s="144"/>
      <c r="Q17" s="4927">
        <v>0.1</v>
      </c>
      <c r="R17" s="4928"/>
      <c r="S17" s="144"/>
      <c r="T17" s="144"/>
      <c r="U17" s="144"/>
      <c r="AA17" s="68"/>
      <c r="AB17" s="68"/>
    </row>
    <row r="18" spans="1:28" s="145" customFormat="1" ht="12.75" hidden="1" customHeight="1">
      <c r="A18" s="147"/>
      <c r="B18" s="147"/>
      <c r="C18" s="147"/>
      <c r="K18" s="236" t="s">
        <v>3911</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3313</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3287</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1820</v>
      </c>
      <c r="C36" s="147"/>
      <c r="D36" s="144"/>
      <c r="E36" s="144"/>
      <c r="F36" s="147" t="s">
        <v>1124</v>
      </c>
      <c r="G36" s="147"/>
      <c r="H36" s="144"/>
      <c r="I36" s="144"/>
      <c r="J36" s="147" t="s">
        <v>3314</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3314</v>
      </c>
      <c r="K37" s="147"/>
      <c r="L37" s="147"/>
      <c r="M37" s="147"/>
      <c r="N37" s="147"/>
      <c r="O37" s="147"/>
      <c r="P37" s="144"/>
      <c r="Q37" s="836" t="s">
        <v>906</v>
      </c>
      <c r="R37" s="2006">
        <v>0.1</v>
      </c>
      <c r="S37" s="236"/>
      <c r="T37" s="236"/>
      <c r="U37" s="236"/>
      <c r="AA37" s="68"/>
      <c r="AB37" s="68"/>
    </row>
    <row r="38" spans="1:28" s="145" customFormat="1" ht="11.65" customHeight="1">
      <c r="A38" s="147"/>
      <c r="B38" s="147" t="s">
        <v>1888</v>
      </c>
      <c r="C38" s="147"/>
      <c r="D38" s="144"/>
      <c r="E38" s="144"/>
      <c r="F38" s="147" t="s">
        <v>1610</v>
      </c>
      <c r="G38" s="147"/>
      <c r="H38" s="144"/>
      <c r="I38" s="144"/>
      <c r="J38" s="147" t="s">
        <v>3315</v>
      </c>
      <c r="K38" s="147"/>
      <c r="L38" s="147"/>
      <c r="M38" s="147"/>
      <c r="N38" s="147"/>
      <c r="O38" s="147"/>
      <c r="P38" s="144"/>
      <c r="Q38" s="235" t="s">
        <v>1610</v>
      </c>
      <c r="R38" s="2006">
        <v>0.06</v>
      </c>
      <c r="S38" s="236"/>
      <c r="T38" s="236"/>
      <c r="U38" s="236"/>
      <c r="AA38" s="68"/>
      <c r="AB38" s="68"/>
    </row>
    <row r="39" spans="1:28" s="145" customFormat="1" ht="11.65" customHeight="1">
      <c r="A39" s="147"/>
      <c r="B39" s="147" t="s">
        <v>1889</v>
      </c>
      <c r="C39" s="147"/>
      <c r="D39" s="144"/>
      <c r="E39" s="144"/>
      <c r="F39" s="147" t="s">
        <v>1610</v>
      </c>
      <c r="G39" s="147"/>
      <c r="H39" s="144"/>
      <c r="I39" s="144"/>
      <c r="J39" s="147" t="s">
        <v>3315</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3315</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3281</v>
      </c>
      <c r="C42" s="147"/>
      <c r="D42" s="147"/>
      <c r="E42" s="144"/>
      <c r="F42" s="147" t="s">
        <v>3082</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3322</v>
      </c>
      <c r="G44" s="147"/>
      <c r="H44" s="144"/>
      <c r="I44" s="144"/>
      <c r="J44" s="147" t="s">
        <v>3318</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3319</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3320</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3321</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3316</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2446</v>
      </c>
      <c r="I62" s="144"/>
      <c r="J62" s="147" t="s">
        <v>1432</v>
      </c>
      <c r="K62" s="147" t="s">
        <v>3296</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3411</v>
      </c>
      <c r="I64" s="144"/>
      <c r="J64" s="147" t="s">
        <v>3777</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14">
        <v>75</v>
      </c>
      <c r="R65" s="4915"/>
      <c r="S65" s="236"/>
      <c r="T65" s="236"/>
      <c r="U65" s="236"/>
      <c r="AA65" s="68"/>
      <c r="AB65" s="68"/>
    </row>
    <row r="66" spans="1:28" ht="11.25" customHeight="1">
      <c r="B66" s="147" t="s">
        <v>1725</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3914</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2119</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3161</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2187</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2188</v>
      </c>
      <c r="K84" s="147"/>
      <c r="L84" s="147"/>
      <c r="M84" s="147"/>
      <c r="N84" s="147"/>
      <c r="O84" s="147"/>
      <c r="P84" s="144"/>
      <c r="Q84" s="4918" t="s">
        <v>2189</v>
      </c>
      <c r="R84" s="4919"/>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3305</v>
      </c>
      <c r="I107" s="144"/>
      <c r="J107" s="147" t="s">
        <v>3306</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6758</v>
      </c>
      <c r="J108" s="147" t="s">
        <v>6513</v>
      </c>
      <c r="K108" s="147"/>
      <c r="L108" s="147"/>
      <c r="M108" s="147"/>
      <c r="O108" s="147" t="s">
        <v>6507</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2509</v>
      </c>
      <c r="I113" s="144"/>
      <c r="J113" s="225" t="s">
        <v>2444</v>
      </c>
      <c r="K113" s="147"/>
      <c r="L113" s="147"/>
      <c r="M113" s="147"/>
      <c r="O113" s="147"/>
      <c r="P113" s="144"/>
      <c r="Q113" s="4952" t="s">
        <v>6759</v>
      </c>
      <c r="R113" s="4952"/>
      <c r="S113" s="230"/>
      <c r="T113" s="230"/>
      <c r="U113" s="144"/>
      <c r="V113" s="322"/>
      <c r="W113" s="322"/>
      <c r="X113" s="322"/>
      <c r="AA113" s="68"/>
      <c r="AB113" s="68"/>
    </row>
    <row r="114" spans="1:28" ht="12.75" customHeight="1">
      <c r="G114" s="2009"/>
      <c r="H114" s="147" t="s">
        <v>2391</v>
      </c>
      <c r="J114" s="4963">
        <v>0.35</v>
      </c>
      <c r="K114" s="4963"/>
      <c r="L114" s="147"/>
      <c r="M114" s="147"/>
      <c r="N114" s="147"/>
      <c r="O114" s="147"/>
      <c r="P114" s="144"/>
      <c r="Q114" s="4937">
        <v>1105000</v>
      </c>
      <c r="R114" s="4937"/>
    </row>
    <row r="115" spans="1:28" ht="11.25" customHeight="1">
      <c r="G115" s="147"/>
      <c r="H115" s="147" t="s">
        <v>6099</v>
      </c>
      <c r="I115" s="144"/>
      <c r="J115" s="4964">
        <v>0.35</v>
      </c>
      <c r="K115" s="4964"/>
      <c r="L115" s="147"/>
      <c r="M115" s="147"/>
      <c r="N115" s="147"/>
      <c r="O115" s="147"/>
      <c r="P115" s="144"/>
      <c r="Q115" s="4910">
        <v>1225000</v>
      </c>
      <c r="R115" s="4910"/>
    </row>
    <row r="116" spans="1:28" ht="11.25" customHeight="1">
      <c r="A116" s="229"/>
      <c r="G116" s="147"/>
      <c r="H116" s="147" t="s">
        <v>3020</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2217</v>
      </c>
      <c r="G119" s="147" t="s">
        <v>2443</v>
      </c>
      <c r="I119" s="144"/>
      <c r="J119" s="147" t="s">
        <v>3312</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6755</v>
      </c>
      <c r="B125" s="4968"/>
      <c r="C125" s="2002"/>
      <c r="D125" s="4970"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6753</v>
      </c>
      <c r="J127" s="142" t="s">
        <v>748</v>
      </c>
      <c r="K127" s="142"/>
      <c r="L127" s="223"/>
    </row>
    <row r="128" spans="1:28" ht="13.5">
      <c r="C128" s="715" t="s">
        <v>751</v>
      </c>
      <c r="D128" s="1304" t="s">
        <v>2994</v>
      </c>
      <c r="F128" s="715" t="s">
        <v>6751</v>
      </c>
      <c r="H128" s="4966"/>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2995</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3400</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3301</v>
      </c>
      <c r="O140" s="434" t="s">
        <v>3491</v>
      </c>
      <c r="P140" s="433" t="s">
        <v>2212</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3492</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3493</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3494</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2399</v>
      </c>
      <c r="K144" s="788" t="s">
        <v>6725</v>
      </c>
      <c r="L144" s="789" t="s">
        <v>399</v>
      </c>
      <c r="M144" s="1961" t="s">
        <v>1122</v>
      </c>
      <c r="N144" s="789" t="s">
        <v>1657</v>
      </c>
      <c r="O144" s="998" t="s">
        <v>3495</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3496</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61" t="s">
        <v>2391</v>
      </c>
      <c r="N146" s="789" t="s">
        <v>159</v>
      </c>
      <c r="O146" s="998" t="s">
        <v>3497</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6726</v>
      </c>
      <c r="L147" s="789" t="s">
        <v>399</v>
      </c>
      <c r="M147" s="1961" t="s">
        <v>1122</v>
      </c>
      <c r="N147" s="789" t="s">
        <v>1131</v>
      </c>
      <c r="O147" s="998" t="s">
        <v>3498</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6726</v>
      </c>
      <c r="L148" s="789" t="s">
        <v>399</v>
      </c>
      <c r="M148" s="1961" t="s">
        <v>1122</v>
      </c>
      <c r="N148" s="789" t="s">
        <v>1131</v>
      </c>
      <c r="O148" s="998" t="s">
        <v>3499</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3500</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3501</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6727</v>
      </c>
      <c r="L151" s="789" t="s">
        <v>399</v>
      </c>
      <c r="M151" s="1961" t="s">
        <v>1122</v>
      </c>
      <c r="N151" s="789" t="s">
        <v>1242</v>
      </c>
      <c r="O151" s="998" t="s">
        <v>3502</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3503</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3504</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3505</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3506</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3507</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6728</v>
      </c>
      <c r="L157" s="789" t="s">
        <v>399</v>
      </c>
      <c r="M157" s="1961" t="s">
        <v>2391</v>
      </c>
      <c r="N157" s="789" t="s">
        <v>1252</v>
      </c>
      <c r="O157" s="998" t="s">
        <v>3508</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3509</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3510</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3511</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3512</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6726</v>
      </c>
      <c r="L162" s="789" t="s">
        <v>399</v>
      </c>
      <c r="M162" s="1961" t="s">
        <v>1122</v>
      </c>
      <c r="N162" s="789" t="s">
        <v>1131</v>
      </c>
      <c r="O162" s="998" t="s">
        <v>3513</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3514</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3515</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3516</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6729</v>
      </c>
      <c r="L166" s="789" t="s">
        <v>399</v>
      </c>
      <c r="M166" s="1961" t="s">
        <v>2391</v>
      </c>
      <c r="N166" s="789" t="s">
        <v>154</v>
      </c>
      <c r="O166" s="998" t="s">
        <v>3517</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3518</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6726</v>
      </c>
      <c r="L168" s="789" t="s">
        <v>399</v>
      </c>
      <c r="M168" s="1961" t="s">
        <v>1122</v>
      </c>
      <c r="N168" s="789" t="s">
        <v>1131</v>
      </c>
      <c r="O168" s="998" t="s">
        <v>3519</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61" t="s">
        <v>1122</v>
      </c>
      <c r="N169" s="789" t="s">
        <v>159</v>
      </c>
      <c r="O169" s="998" t="s">
        <v>3520</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3521</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6726</v>
      </c>
      <c r="L171" s="789" t="s">
        <v>399</v>
      </c>
      <c r="M171" s="1961" t="s">
        <v>1122</v>
      </c>
      <c r="N171" s="789" t="s">
        <v>1131</v>
      </c>
      <c r="O171" s="998" t="s">
        <v>3522</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3523</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6726</v>
      </c>
      <c r="L173" s="789" t="s">
        <v>399</v>
      </c>
      <c r="M173" s="1961" t="s">
        <v>1122</v>
      </c>
      <c r="N173" s="789" t="s">
        <v>1131</v>
      </c>
      <c r="O173" s="998" t="s">
        <v>3524</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3525</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61" t="s">
        <v>2391</v>
      </c>
      <c r="N175" s="789" t="s">
        <v>1657</v>
      </c>
      <c r="O175" s="998" t="s">
        <v>3526</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6728</v>
      </c>
      <c r="L176" s="789" t="s">
        <v>399</v>
      </c>
      <c r="M176" s="1961" t="s">
        <v>2391</v>
      </c>
      <c r="N176" s="789" t="s">
        <v>1252</v>
      </c>
      <c r="O176" s="998" t="s">
        <v>3527</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3528</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6726</v>
      </c>
      <c r="L178" s="789" t="s">
        <v>399</v>
      </c>
      <c r="M178" s="1961" t="s">
        <v>1122</v>
      </c>
      <c r="N178" s="789" t="s">
        <v>1131</v>
      </c>
      <c r="O178" s="998" t="s">
        <v>3529</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6727</v>
      </c>
      <c r="L179" s="789" t="s">
        <v>399</v>
      </c>
      <c r="M179" s="1961" t="s">
        <v>2391</v>
      </c>
      <c r="N179" s="789" t="s">
        <v>1242</v>
      </c>
      <c r="O179" s="998" t="s">
        <v>3530</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3531</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3532</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6726</v>
      </c>
      <c r="L182" s="789" t="s">
        <v>399</v>
      </c>
      <c r="M182" s="1961" t="s">
        <v>1122</v>
      </c>
      <c r="N182" s="789" t="s">
        <v>1131</v>
      </c>
      <c r="O182" s="998" t="s">
        <v>3533</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3534</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6726</v>
      </c>
      <c r="L184" s="789" t="s">
        <v>399</v>
      </c>
      <c r="M184" s="1961" t="s">
        <v>1122</v>
      </c>
      <c r="N184" s="789" t="s">
        <v>1131</v>
      </c>
      <c r="O184" s="998" t="s">
        <v>3535</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61" t="s">
        <v>2391</v>
      </c>
      <c r="N185" s="789" t="s">
        <v>1242</v>
      </c>
      <c r="O185" s="998" t="s">
        <v>3536</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61" t="s">
        <v>2391</v>
      </c>
      <c r="N186" s="789" t="s">
        <v>1657</v>
      </c>
      <c r="O186" s="998" t="s">
        <v>3537</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3538</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6726</v>
      </c>
      <c r="L188" s="789" t="s">
        <v>399</v>
      </c>
      <c r="M188" s="1961" t="s">
        <v>1122</v>
      </c>
      <c r="N188" s="789" t="s">
        <v>1131</v>
      </c>
      <c r="O188" s="998" t="s">
        <v>3539</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61" t="s">
        <v>2391</v>
      </c>
      <c r="N189" s="789" t="s">
        <v>1657</v>
      </c>
      <c r="O189" s="998" t="s">
        <v>3540</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3541</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3542</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3543</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61" t="s">
        <v>2391</v>
      </c>
      <c r="N193" s="789" t="s">
        <v>1252</v>
      </c>
      <c r="O193" s="998" t="s">
        <v>3544</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61" t="s">
        <v>2391</v>
      </c>
      <c r="N194" s="789" t="s">
        <v>1248</v>
      </c>
      <c r="O194" s="998" t="s">
        <v>3545</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3546</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6726</v>
      </c>
      <c r="L196" s="789" t="s">
        <v>399</v>
      </c>
      <c r="M196" s="1961" t="s">
        <v>1122</v>
      </c>
      <c r="N196" s="789" t="s">
        <v>1131</v>
      </c>
      <c r="O196" s="998" t="s">
        <v>3547</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61" t="s">
        <v>1122</v>
      </c>
      <c r="N197" s="789" t="s">
        <v>1131</v>
      </c>
      <c r="O197" s="998" t="s">
        <v>3548</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6726</v>
      </c>
      <c r="L198" s="789" t="s">
        <v>399</v>
      </c>
      <c r="M198" s="1961" t="s">
        <v>1122</v>
      </c>
      <c r="N198" s="789" t="s">
        <v>1131</v>
      </c>
      <c r="O198" s="998" t="s">
        <v>3549</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3550</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6726</v>
      </c>
      <c r="L200" s="789" t="s">
        <v>399</v>
      </c>
      <c r="M200" s="1961" t="s">
        <v>1122</v>
      </c>
      <c r="N200" s="789" t="s">
        <v>1131</v>
      </c>
      <c r="O200" s="998" t="s">
        <v>3551</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3552</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3553</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3554</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3555</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3556</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61" t="s">
        <v>2391</v>
      </c>
      <c r="N206" s="789" t="s">
        <v>159</v>
      </c>
      <c r="O206" s="998" t="s">
        <v>3557</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6726</v>
      </c>
      <c r="L207" s="789" t="s">
        <v>399</v>
      </c>
      <c r="M207" s="1961" t="s">
        <v>1122</v>
      </c>
      <c r="N207" s="789" t="s">
        <v>1131</v>
      </c>
      <c r="O207" s="998" t="s">
        <v>3558</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3559</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3560</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3561</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3562</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6729</v>
      </c>
      <c r="L212" s="789" t="s">
        <v>399</v>
      </c>
      <c r="M212" s="1961" t="s">
        <v>2391</v>
      </c>
      <c r="N212" s="789" t="s">
        <v>154</v>
      </c>
      <c r="O212" s="998" t="s">
        <v>3563</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3564</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6726</v>
      </c>
      <c r="L214" s="789" t="s">
        <v>399</v>
      </c>
      <c r="M214" s="1961" t="s">
        <v>1122</v>
      </c>
      <c r="N214" s="789" t="s">
        <v>1131</v>
      </c>
      <c r="O214" s="998" t="s">
        <v>3565</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6726</v>
      </c>
      <c r="L215" s="789" t="s">
        <v>399</v>
      </c>
      <c r="M215" s="1961" t="s">
        <v>1122</v>
      </c>
      <c r="N215" s="789" t="s">
        <v>1131</v>
      </c>
      <c r="O215" s="998" t="s">
        <v>3566</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6730</v>
      </c>
      <c r="L216" s="789" t="s">
        <v>399</v>
      </c>
      <c r="M216" s="1961" t="s">
        <v>1122</v>
      </c>
      <c r="N216" s="789" t="s">
        <v>1242</v>
      </c>
      <c r="O216" s="998" t="s">
        <v>3567</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3568</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61" t="s">
        <v>2391</v>
      </c>
      <c r="N218" s="789" t="s">
        <v>1131</v>
      </c>
      <c r="O218" s="998" t="s">
        <v>3569</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6726</v>
      </c>
      <c r="L219" s="789" t="s">
        <v>399</v>
      </c>
      <c r="M219" s="1961" t="s">
        <v>1122</v>
      </c>
      <c r="N219" s="789" t="s">
        <v>1131</v>
      </c>
      <c r="O219" s="998" t="s">
        <v>3570</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61" t="s">
        <v>2391</v>
      </c>
      <c r="N220" s="789" t="s">
        <v>1577</v>
      </c>
      <c r="O220" s="998" t="s">
        <v>3571</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61" t="s">
        <v>2391</v>
      </c>
      <c r="N221" s="789" t="s">
        <v>1252</v>
      </c>
      <c r="O221" s="998" t="s">
        <v>3572</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61" t="s">
        <v>2391</v>
      </c>
      <c r="N222" s="789" t="s">
        <v>1252</v>
      </c>
      <c r="O222" s="998" t="s">
        <v>3573</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61" t="s">
        <v>2391</v>
      </c>
      <c r="N223" s="789" t="s">
        <v>1242</v>
      </c>
      <c r="O223" s="998" t="s">
        <v>3574</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6727</v>
      </c>
      <c r="L224" s="789" t="s">
        <v>399</v>
      </c>
      <c r="M224" s="1961" t="s">
        <v>2391</v>
      </c>
      <c r="N224" s="789" t="s">
        <v>1242</v>
      </c>
      <c r="O224" s="998" t="s">
        <v>3575</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61" t="s">
        <v>2391</v>
      </c>
      <c r="N225" s="789" t="s">
        <v>1131</v>
      </c>
      <c r="O225" s="998" t="s">
        <v>3576</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61" t="s">
        <v>2391</v>
      </c>
      <c r="N226" s="789" t="s">
        <v>1577</v>
      </c>
      <c r="O226" s="998" t="s">
        <v>3577</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61" t="s">
        <v>2391</v>
      </c>
      <c r="N227" s="789" t="s">
        <v>1242</v>
      </c>
      <c r="O227" s="998" t="s">
        <v>3578</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61" t="s">
        <v>2391</v>
      </c>
      <c r="N228" s="789" t="s">
        <v>1657</v>
      </c>
      <c r="O228" s="998" t="s">
        <v>3579</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6731</v>
      </c>
      <c r="L229" s="789" t="s">
        <v>399</v>
      </c>
      <c r="M229" s="1961" t="s">
        <v>1122</v>
      </c>
      <c r="N229" s="789" t="s">
        <v>1248</v>
      </c>
      <c r="O229" s="998" t="s">
        <v>3580</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3230</v>
      </c>
      <c r="L230" s="789" t="s">
        <v>399</v>
      </c>
      <c r="M230" s="1961" t="s">
        <v>2391</v>
      </c>
      <c r="N230" s="789" t="s">
        <v>1252</v>
      </c>
      <c r="O230" s="998" t="s">
        <v>3581</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3582</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61" t="s">
        <v>1122</v>
      </c>
      <c r="N232" s="789" t="s">
        <v>1577</v>
      </c>
      <c r="O232" s="998" t="s">
        <v>3583</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61" t="s">
        <v>2391</v>
      </c>
      <c r="N233" s="789" t="s">
        <v>1131</v>
      </c>
      <c r="O233" s="998" t="s">
        <v>3584</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61" t="s">
        <v>2391</v>
      </c>
      <c r="N234" s="789" t="s">
        <v>1242</v>
      </c>
      <c r="O234" s="998" t="s">
        <v>3585</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61" t="s">
        <v>2391</v>
      </c>
      <c r="N235" s="789" t="s">
        <v>159</v>
      </c>
      <c r="O235" s="998" t="s">
        <v>3586</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6729</v>
      </c>
      <c r="L236" s="789" t="s">
        <v>399</v>
      </c>
      <c r="M236" s="1961" t="s">
        <v>2391</v>
      </c>
      <c r="N236" s="789" t="s">
        <v>154</v>
      </c>
      <c r="O236" s="998" t="s">
        <v>3587</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6728</v>
      </c>
      <c r="L237" s="789" t="s">
        <v>399</v>
      </c>
      <c r="M237" s="1961" t="s">
        <v>2391</v>
      </c>
      <c r="N237" s="789" t="s">
        <v>1252</v>
      </c>
      <c r="O237" s="998" t="s">
        <v>3588</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61" t="s">
        <v>2391</v>
      </c>
      <c r="N238" s="789" t="s">
        <v>1248</v>
      </c>
      <c r="O238" s="998" t="s">
        <v>3589</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61" t="s">
        <v>2391</v>
      </c>
      <c r="N239" s="789" t="s">
        <v>1131</v>
      </c>
      <c r="O239" s="998" t="s">
        <v>3590</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3591</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3592</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61" t="s">
        <v>2391</v>
      </c>
      <c r="N242" s="789" t="s">
        <v>1131</v>
      </c>
      <c r="O242" s="998" t="s">
        <v>3593</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3594</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3229</v>
      </c>
      <c r="L244" s="789" t="s">
        <v>399</v>
      </c>
      <c r="M244" s="1961" t="s">
        <v>2391</v>
      </c>
      <c r="N244" s="789" t="s">
        <v>1131</v>
      </c>
      <c r="O244" s="998" t="s">
        <v>3595</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61" t="s">
        <v>2391</v>
      </c>
      <c r="N245" s="789" t="s">
        <v>1131</v>
      </c>
      <c r="O245" s="998" t="s">
        <v>3596</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6729</v>
      </c>
      <c r="L246" s="789" t="s">
        <v>399</v>
      </c>
      <c r="M246" s="1961" t="s">
        <v>1122</v>
      </c>
      <c r="N246" s="789" t="s">
        <v>154</v>
      </c>
      <c r="O246" s="998" t="s">
        <v>3597</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6726</v>
      </c>
      <c r="L247" s="789" t="s">
        <v>399</v>
      </c>
      <c r="M247" s="1961" t="s">
        <v>1122</v>
      </c>
      <c r="N247" s="789" t="s">
        <v>1131</v>
      </c>
      <c r="O247" s="998" t="s">
        <v>3598</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61" t="s">
        <v>2391</v>
      </c>
      <c r="N248" s="789" t="s">
        <v>159</v>
      </c>
      <c r="O248" s="998" t="s">
        <v>3599</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61" t="s">
        <v>2391</v>
      </c>
      <c r="N249" s="789" t="s">
        <v>159</v>
      </c>
      <c r="O249" s="998" t="s">
        <v>3600</v>
      </c>
      <c r="P249" s="241" t="s">
        <v>2148</v>
      </c>
      <c r="Q249" s="241"/>
      <c r="R249" s="147"/>
      <c r="S249" s="236"/>
      <c r="T249" s="392" t="s">
        <v>3778</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6726</v>
      </c>
      <c r="L250" s="789" t="s">
        <v>399</v>
      </c>
      <c r="M250" s="1961" t="s">
        <v>1122</v>
      </c>
      <c r="N250" s="789" t="s">
        <v>1131</v>
      </c>
      <c r="O250" s="998" t="s">
        <v>3601</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6732</v>
      </c>
      <c r="L251" s="789" t="s">
        <v>399</v>
      </c>
      <c r="M251" s="1961" t="s">
        <v>2391</v>
      </c>
      <c r="N251" s="789" t="s">
        <v>1242</v>
      </c>
      <c r="O251" s="998" t="s">
        <v>3602</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6726</v>
      </c>
      <c r="L252" s="789" t="s">
        <v>399</v>
      </c>
      <c r="M252" s="1961" t="s">
        <v>1122</v>
      </c>
      <c r="N252" s="789" t="s">
        <v>1131</v>
      </c>
      <c r="O252" s="998" t="s">
        <v>3603</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61" t="s">
        <v>2391</v>
      </c>
      <c r="N253" s="789" t="s">
        <v>1577</v>
      </c>
      <c r="O253" s="998" t="s">
        <v>3604</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6726</v>
      </c>
      <c r="L254" s="789" t="s">
        <v>399</v>
      </c>
      <c r="M254" s="1961" t="s">
        <v>1122</v>
      </c>
      <c r="N254" s="789" t="s">
        <v>1131</v>
      </c>
      <c r="O254" s="998" t="s">
        <v>3605</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61" t="s">
        <v>2391</v>
      </c>
      <c r="N255" s="789" t="s">
        <v>1131</v>
      </c>
      <c r="O255" s="998" t="s">
        <v>3606</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61" t="s">
        <v>2391</v>
      </c>
      <c r="N256" s="789" t="s">
        <v>1242</v>
      </c>
      <c r="O256" s="998" t="s">
        <v>3607</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61" t="s">
        <v>2391</v>
      </c>
      <c r="N257" s="789" t="s">
        <v>1131</v>
      </c>
      <c r="O257" s="998" t="s">
        <v>3608</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3609</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3610</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3611</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6728</v>
      </c>
      <c r="L261" s="789" t="s">
        <v>399</v>
      </c>
      <c r="M261" s="1961" t="s">
        <v>1122</v>
      </c>
      <c r="N261" s="789" t="s">
        <v>1252</v>
      </c>
      <c r="O261" s="998" t="s">
        <v>3612</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6726</v>
      </c>
      <c r="L262" s="789" t="s">
        <v>399</v>
      </c>
      <c r="M262" s="1961" t="s">
        <v>1122</v>
      </c>
      <c r="N262" s="789" t="s">
        <v>1131</v>
      </c>
      <c r="O262" s="998" t="s">
        <v>3613</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61" t="s">
        <v>2391</v>
      </c>
      <c r="N263" s="789" t="s">
        <v>154</v>
      </c>
      <c r="O263" s="998" t="s">
        <v>3614</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61" t="s">
        <v>2391</v>
      </c>
      <c r="N264" s="789" t="s">
        <v>1248</v>
      </c>
      <c r="O264" s="998" t="s">
        <v>3615</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3616</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61" t="s">
        <v>2391</v>
      </c>
      <c r="N266" s="789" t="s">
        <v>1657</v>
      </c>
      <c r="O266" s="998" t="s">
        <v>3617</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6726</v>
      </c>
      <c r="L267" s="789" t="s">
        <v>399</v>
      </c>
      <c r="M267" s="1961" t="s">
        <v>1122</v>
      </c>
      <c r="N267" s="789" t="s">
        <v>1131</v>
      </c>
      <c r="O267" s="998" t="s">
        <v>3618</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61" t="s">
        <v>2391</v>
      </c>
      <c r="N268" s="789" t="s">
        <v>159</v>
      </c>
      <c r="O268" s="998" t="s">
        <v>3619</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6733</v>
      </c>
      <c r="L269" s="789" t="s">
        <v>398</v>
      </c>
      <c r="M269" s="1961" t="s">
        <v>2391</v>
      </c>
      <c r="N269" s="789" t="s">
        <v>154</v>
      </c>
      <c r="O269" s="998" t="s">
        <v>3620</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61" t="s">
        <v>2391</v>
      </c>
      <c r="N270" s="789" t="s">
        <v>1657</v>
      </c>
      <c r="O270" s="998" t="s">
        <v>3621</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6734</v>
      </c>
      <c r="L271" s="789" t="s">
        <v>398</v>
      </c>
      <c r="M271" s="1961" t="s">
        <v>2391</v>
      </c>
      <c r="N271" s="789" t="s">
        <v>154</v>
      </c>
      <c r="O271" s="998" t="s">
        <v>3622</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61" t="s">
        <v>2391</v>
      </c>
      <c r="N272" s="789" t="s">
        <v>159</v>
      </c>
      <c r="O272" s="998" t="s">
        <v>3623</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61" t="s">
        <v>2391</v>
      </c>
      <c r="N273" s="789" t="s">
        <v>1248</v>
      </c>
      <c r="O273" s="998" t="s">
        <v>3624</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61" t="s">
        <v>2391</v>
      </c>
      <c r="N274" s="789" t="s">
        <v>154</v>
      </c>
      <c r="O274" s="998" t="s">
        <v>3625</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61" t="s">
        <v>2391</v>
      </c>
      <c r="N275" s="789" t="s">
        <v>1657</v>
      </c>
      <c r="O275" s="998" t="s">
        <v>3626</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3627</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61" t="s">
        <v>2391</v>
      </c>
      <c r="N277" s="789" t="s">
        <v>1577</v>
      </c>
      <c r="O277" s="998" t="s">
        <v>3628</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61" t="s">
        <v>2391</v>
      </c>
      <c r="N278" s="789" t="s">
        <v>1657</v>
      </c>
      <c r="O278" s="998" t="s">
        <v>3629</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61" t="s">
        <v>2391</v>
      </c>
      <c r="N279" s="789" t="s">
        <v>1248</v>
      </c>
      <c r="O279" s="998" t="s">
        <v>3630</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61" t="s">
        <v>2391</v>
      </c>
      <c r="N280" s="789" t="s">
        <v>159</v>
      </c>
      <c r="O280" s="998" t="s">
        <v>3631</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61" t="s">
        <v>2391</v>
      </c>
      <c r="N281" s="789" t="s">
        <v>1242</v>
      </c>
      <c r="O281" s="998" t="s">
        <v>3632</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61" t="s">
        <v>2391</v>
      </c>
      <c r="N282" s="789" t="s">
        <v>1131</v>
      </c>
      <c r="O282" s="998" t="s">
        <v>3633</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61" t="s">
        <v>2391</v>
      </c>
      <c r="N283" s="789" t="s">
        <v>1657</v>
      </c>
      <c r="O283" s="998" t="s">
        <v>3634</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6727</v>
      </c>
      <c r="L284" s="789" t="s">
        <v>399</v>
      </c>
      <c r="M284" s="1961" t="s">
        <v>2391</v>
      </c>
      <c r="N284" s="789" t="s">
        <v>1242</v>
      </c>
      <c r="O284" s="998" t="s">
        <v>3635</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61" t="s">
        <v>2391</v>
      </c>
      <c r="N285" s="789" t="s">
        <v>159</v>
      </c>
      <c r="O285" s="998" t="s">
        <v>3636</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61" t="s">
        <v>2391</v>
      </c>
      <c r="N286" s="789" t="s">
        <v>1131</v>
      </c>
      <c r="O286" s="998" t="s">
        <v>3637</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61" t="s">
        <v>2391</v>
      </c>
      <c r="N287" s="789" t="s">
        <v>1424</v>
      </c>
      <c r="O287" s="998" t="s">
        <v>3638</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6726</v>
      </c>
      <c r="L288" s="789" t="s">
        <v>399</v>
      </c>
      <c r="M288" s="1961" t="s">
        <v>1122</v>
      </c>
      <c r="N288" s="789" t="s">
        <v>1131</v>
      </c>
      <c r="O288" s="998" t="s">
        <v>3639</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61" t="s">
        <v>2391</v>
      </c>
      <c r="N289" s="789" t="s">
        <v>1577</v>
      </c>
      <c r="O289" s="998" t="s">
        <v>3640</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3641</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3642</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3643</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3644</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61" t="s">
        <v>2391</v>
      </c>
      <c r="N294" s="789" t="s">
        <v>1242</v>
      </c>
      <c r="O294" s="998" t="s">
        <v>3645</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61" t="s">
        <v>2391</v>
      </c>
      <c r="N295" s="789" t="s">
        <v>159</v>
      </c>
      <c r="O295" s="998" t="s">
        <v>3646</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61" t="s">
        <v>1122</v>
      </c>
      <c r="N296" s="789" t="s">
        <v>1424</v>
      </c>
      <c r="O296" s="998" t="s">
        <v>3647</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61" t="s">
        <v>2391</v>
      </c>
      <c r="N297" s="789" t="s">
        <v>1657</v>
      </c>
      <c r="O297" s="998" t="s">
        <v>3648</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61" t="s">
        <v>2391</v>
      </c>
      <c r="N298" s="789" t="s">
        <v>1252</v>
      </c>
      <c r="O298" s="998" t="s">
        <v>3649</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61" t="s">
        <v>2391</v>
      </c>
      <c r="N299" s="789" t="s">
        <v>1242</v>
      </c>
      <c r="O299" s="998" t="s">
        <v>3650</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61" t="s">
        <v>2391</v>
      </c>
      <c r="N300" s="789" t="s">
        <v>1657</v>
      </c>
      <c r="O300" s="998" t="s">
        <v>3651</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53">
        <v>2019</v>
      </c>
      <c r="D302" s="4969"/>
      <c r="E302" s="4969"/>
      <c r="F302" s="4969"/>
      <c r="G302" s="4953">
        <v>2020</v>
      </c>
      <c r="H302" s="4953"/>
      <c r="I302" s="4953"/>
      <c r="J302" s="4953"/>
      <c r="L302" s="4954" t="s">
        <v>4056</v>
      </c>
      <c r="M302" s="4955"/>
      <c r="N302" s="4955"/>
      <c r="O302" s="4956"/>
      <c r="P302" s="241" t="s">
        <v>740</v>
      </c>
      <c r="Q302" s="241"/>
      <c r="R302" s="147"/>
      <c r="S302" s="236"/>
      <c r="T302" s="236" t="s">
        <v>643</v>
      </c>
      <c r="U302" s="236" t="s">
        <v>2019</v>
      </c>
      <c r="W302" s="44" t="s">
        <v>1361</v>
      </c>
      <c r="X302" s="44" t="s">
        <v>3017</v>
      </c>
      <c r="AA302"/>
      <c r="AB302"/>
      <c r="AC302" s="380"/>
      <c r="AD302" s="68"/>
    </row>
    <row r="303" spans="3:30" ht="10.5" customHeight="1">
      <c r="C303" s="4945" t="s">
        <v>3960</v>
      </c>
      <c r="D303" s="4948" t="s">
        <v>3961</v>
      </c>
      <c r="E303" s="4948" t="s">
        <v>3962</v>
      </c>
      <c r="F303" s="4948" t="s">
        <v>3963</v>
      </c>
      <c r="G303" s="4945" t="s">
        <v>3960</v>
      </c>
      <c r="H303" s="4948" t="s">
        <v>3961</v>
      </c>
      <c r="I303" s="4948" t="s">
        <v>3962</v>
      </c>
      <c r="J303" s="4948" t="s">
        <v>3963</v>
      </c>
      <c r="L303" s="4945" t="s">
        <v>3960</v>
      </c>
      <c r="M303" s="4948" t="s">
        <v>3961</v>
      </c>
      <c r="N303" s="4948" t="s">
        <v>3962</v>
      </c>
      <c r="O303" s="4948" t="s">
        <v>3963</v>
      </c>
      <c r="P303" s="241" t="s">
        <v>2226</v>
      </c>
      <c r="Q303" s="241"/>
      <c r="R303" s="147"/>
      <c r="S303" s="236"/>
      <c r="T303" s="392" t="s">
        <v>148</v>
      </c>
      <c r="U303" s="392" t="s">
        <v>1737</v>
      </c>
      <c r="W303" s="44" t="s">
        <v>1479</v>
      </c>
      <c r="X303" s="44" t="s">
        <v>3017</v>
      </c>
      <c r="AA303"/>
      <c r="AB303"/>
      <c r="AC303" s="68"/>
      <c r="AD303" s="68"/>
    </row>
    <row r="304" spans="3:30" ht="10.5" customHeight="1">
      <c r="C304" s="4946"/>
      <c r="D304" s="4949"/>
      <c r="E304" s="4949"/>
      <c r="F304" s="4949"/>
      <c r="G304" s="4946"/>
      <c r="H304" s="4949"/>
      <c r="I304" s="4949"/>
      <c r="J304" s="4949"/>
      <c r="L304" s="4946"/>
      <c r="M304" s="4949"/>
      <c r="N304" s="4949"/>
      <c r="O304" s="4949"/>
      <c r="P304" s="241" t="s">
        <v>2227</v>
      </c>
      <c r="Q304" s="241"/>
      <c r="R304" s="147"/>
      <c r="S304" s="236"/>
      <c r="T304" s="392" t="s">
        <v>189</v>
      </c>
      <c r="U304" s="392" t="s">
        <v>585</v>
      </c>
      <c r="W304" s="44" t="s">
        <v>1966</v>
      </c>
      <c r="X304" s="44" t="s">
        <v>3017</v>
      </c>
      <c r="AA304"/>
      <c r="AB304"/>
      <c r="AC304" s="380"/>
      <c r="AD304" s="68"/>
    </row>
    <row r="305" spans="3:30" ht="10.5" customHeight="1">
      <c r="C305" s="4946"/>
      <c r="D305" s="4949"/>
      <c r="E305" s="4949"/>
      <c r="F305" s="4949"/>
      <c r="G305" s="4946"/>
      <c r="H305" s="4949"/>
      <c r="I305" s="4949"/>
      <c r="J305" s="4949"/>
      <c r="L305" s="4946"/>
      <c r="M305" s="4949"/>
      <c r="N305" s="4949"/>
      <c r="O305" s="4949"/>
      <c r="P305" s="241" t="s">
        <v>2229</v>
      </c>
      <c r="Q305" s="241"/>
      <c r="R305" s="147"/>
      <c r="S305" s="236"/>
      <c r="T305" s="392" t="s">
        <v>2364</v>
      </c>
      <c r="U305" s="392" t="s">
        <v>1863</v>
      </c>
      <c r="W305" s="44" t="s">
        <v>1968</v>
      </c>
      <c r="X305" s="44" t="s">
        <v>3017</v>
      </c>
      <c r="AA305"/>
      <c r="AB305"/>
      <c r="AC305" s="380"/>
      <c r="AD305" s="68"/>
    </row>
    <row r="306" spans="3:30" ht="10.5" customHeight="1">
      <c r="C306" s="4946"/>
      <c r="D306" s="4949"/>
      <c r="E306" s="4949"/>
      <c r="F306" s="4949"/>
      <c r="G306" s="4946"/>
      <c r="H306" s="4949"/>
      <c r="I306" s="4949"/>
      <c r="J306" s="4949"/>
      <c r="L306" s="4946"/>
      <c r="M306" s="4949"/>
      <c r="N306" s="4949"/>
      <c r="O306" s="4949"/>
      <c r="P306" s="241" t="s">
        <v>2231</v>
      </c>
      <c r="Q306" s="241"/>
      <c r="R306" s="147"/>
      <c r="S306" s="236"/>
      <c r="T306" s="392" t="s">
        <v>737</v>
      </c>
      <c r="U306" s="392" t="s">
        <v>100</v>
      </c>
      <c r="W306" s="44" t="s">
        <v>1352</v>
      </c>
      <c r="X306" s="44" t="s">
        <v>3017</v>
      </c>
      <c r="AA306"/>
      <c r="AB306"/>
      <c r="AC306" s="380"/>
      <c r="AD306" s="68"/>
    </row>
    <row r="307" spans="3:30" ht="10.5" customHeight="1">
      <c r="C307" s="4946"/>
      <c r="D307" s="4949"/>
      <c r="E307" s="4949"/>
      <c r="F307" s="4949"/>
      <c r="G307" s="4946"/>
      <c r="H307" s="4949"/>
      <c r="I307" s="4949"/>
      <c r="J307" s="4949"/>
      <c r="L307" s="4946"/>
      <c r="M307" s="4949"/>
      <c r="N307" s="4949"/>
      <c r="O307" s="4949"/>
      <c r="P307" s="241" t="s">
        <v>2232</v>
      </c>
      <c r="Q307" s="241"/>
      <c r="R307" s="147"/>
      <c r="S307" s="236"/>
      <c r="T307" s="392" t="s">
        <v>739</v>
      </c>
      <c r="U307" s="392" t="s">
        <v>116</v>
      </c>
      <c r="W307" s="44" t="s">
        <v>1453</v>
      </c>
      <c r="X307" s="44" t="s">
        <v>3017</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1782</v>
      </c>
      <c r="Q311" s="241"/>
      <c r="R311" s="147"/>
      <c r="S311" s="236"/>
      <c r="T311" s="392" t="s">
        <v>2230</v>
      </c>
      <c r="U311" s="392" t="s">
        <v>1040</v>
      </c>
      <c r="W311" s="44" t="s">
        <v>1038</v>
      </c>
      <c r="X311" s="44" t="s">
        <v>3017</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1783</v>
      </c>
      <c r="Q312" s="241"/>
      <c r="R312" s="147"/>
      <c r="S312" s="236"/>
      <c r="T312" s="392" t="s">
        <v>2365</v>
      </c>
      <c r="U312" s="392" t="s">
        <v>620</v>
      </c>
      <c r="W312" s="44" t="s">
        <v>3015</v>
      </c>
      <c r="X312" s="44" t="s">
        <v>3017</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1785</v>
      </c>
      <c r="Q313" s="241"/>
      <c r="R313" s="147"/>
      <c r="S313" s="236"/>
      <c r="T313" s="436" t="s">
        <v>360</v>
      </c>
      <c r="U313" s="392" t="s">
        <v>2292</v>
      </c>
      <c r="W313" s="44" t="s">
        <v>1989</v>
      </c>
      <c r="X313" s="44" t="s">
        <v>3017</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1786</v>
      </c>
      <c r="Q314" s="241"/>
      <c r="R314" s="147"/>
      <c r="S314" s="236"/>
      <c r="T314" s="392" t="s">
        <v>362</v>
      </c>
      <c r="U314" s="392" t="s">
        <v>2012</v>
      </c>
      <c r="W314" s="44" t="s">
        <v>1422</v>
      </c>
      <c r="X314" s="44" t="s">
        <v>3017</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1787</v>
      </c>
      <c r="Q315" s="241"/>
      <c r="R315" s="147"/>
      <c r="S315" s="236"/>
      <c r="T315" s="392" t="s">
        <v>43</v>
      </c>
      <c r="U315" s="392" t="s">
        <v>892</v>
      </c>
      <c r="W315" s="44" t="s">
        <v>58</v>
      </c>
      <c r="X315" s="44" t="s">
        <v>3017</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1789</v>
      </c>
      <c r="Q316" s="241"/>
      <c r="R316" s="147"/>
      <c r="S316" s="236"/>
      <c r="T316" s="392" t="s">
        <v>45</v>
      </c>
      <c r="U316" s="392" t="s">
        <v>585</v>
      </c>
      <c r="W316" s="44" t="s">
        <v>62</v>
      </c>
      <c r="X316" s="44" t="s">
        <v>3017</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1784</v>
      </c>
      <c r="U318" s="236" t="s">
        <v>815</v>
      </c>
      <c r="W318" s="44" t="s">
        <v>723</v>
      </c>
      <c r="X318" s="44" t="s">
        <v>3017</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2310</v>
      </c>
      <c r="Q321" s="241"/>
      <c r="R321" s="147"/>
      <c r="S321" s="236"/>
      <c r="T321" s="392" t="s">
        <v>1788</v>
      </c>
      <c r="U321" s="392" t="s">
        <v>1363</v>
      </c>
      <c r="W321" s="44" t="s">
        <v>2095</v>
      </c>
      <c r="X321" s="44" t="s">
        <v>3017</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2312</v>
      </c>
      <c r="Q322" s="241"/>
      <c r="R322" s="147"/>
      <c r="S322" s="236"/>
      <c r="T322" s="392" t="s">
        <v>1790</v>
      </c>
      <c r="U322" s="392" t="s">
        <v>1363</v>
      </c>
      <c r="W322" s="44" t="s">
        <v>2318</v>
      </c>
      <c r="X322" s="44" t="s">
        <v>3017</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2008</v>
      </c>
      <c r="X323" s="44" t="s">
        <v>3017</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1690</v>
      </c>
      <c r="Q325" s="241"/>
      <c r="R325" s="147"/>
      <c r="S325" s="236"/>
      <c r="T325" s="392" t="s">
        <v>2533</v>
      </c>
      <c r="U325" s="392" t="s">
        <v>152</v>
      </c>
      <c r="W325" s="44" t="s">
        <v>2224</v>
      </c>
      <c r="X325" s="44" t="s">
        <v>3017</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1692</v>
      </c>
      <c r="Q326" s="241"/>
      <c r="R326" s="147"/>
      <c r="S326" s="236"/>
      <c r="T326" s="392" t="s">
        <v>2534</v>
      </c>
      <c r="U326" s="392" t="s">
        <v>303</v>
      </c>
      <c r="W326" s="44" t="s">
        <v>758</v>
      </c>
      <c r="X326" s="44" t="s">
        <v>3017</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1751</v>
      </c>
      <c r="Q327" s="241"/>
      <c r="R327" s="147"/>
      <c r="S327" s="236"/>
      <c r="T327" s="392" t="s">
        <v>1072</v>
      </c>
      <c r="U327" s="392" t="s">
        <v>1363</v>
      </c>
      <c r="W327" s="44" t="s">
        <v>161</v>
      </c>
      <c r="X327" s="44" t="s">
        <v>3017</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1753</v>
      </c>
      <c r="Q328" s="241"/>
      <c r="R328" s="147"/>
      <c r="S328" s="236"/>
      <c r="T328" s="392" t="s">
        <v>1074</v>
      </c>
      <c r="U328" s="392" t="s">
        <v>616</v>
      </c>
      <c r="W328" s="44" t="s">
        <v>1248</v>
      </c>
      <c r="X328" s="44" t="s">
        <v>3017</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1754</v>
      </c>
      <c r="Q329" s="241"/>
      <c r="R329" s="147"/>
      <c r="S329" s="236"/>
      <c r="T329" s="392" t="s">
        <v>2367</v>
      </c>
      <c r="U329" s="392" t="s">
        <v>2014</v>
      </c>
      <c r="W329" s="44" t="s">
        <v>1007</v>
      </c>
      <c r="X329" s="44" t="s">
        <v>3017</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1756</v>
      </c>
      <c r="Q330" s="241"/>
      <c r="R330" s="147"/>
      <c r="S330" s="236"/>
      <c r="T330" s="392" t="s">
        <v>2368</v>
      </c>
      <c r="U330" s="392" t="s">
        <v>2328</v>
      </c>
      <c r="W330" s="44" t="s">
        <v>1849</v>
      </c>
      <c r="X330" s="44" t="s">
        <v>3017</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1758</v>
      </c>
      <c r="Q331" s="241"/>
      <c r="R331" s="147"/>
      <c r="S331" s="236"/>
      <c r="T331" s="392" t="s">
        <v>1076</v>
      </c>
      <c r="U331" s="392" t="s">
        <v>1132</v>
      </c>
      <c r="W331" s="44" t="s">
        <v>1748</v>
      </c>
      <c r="X331" s="44" t="s">
        <v>3017</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1792</v>
      </c>
      <c r="Q332" s="241"/>
      <c r="R332" s="147"/>
      <c r="S332" s="236"/>
      <c r="T332" s="392" t="s">
        <v>2311</v>
      </c>
      <c r="U332" s="392" t="s">
        <v>192</v>
      </c>
      <c r="W332" s="44" t="s">
        <v>2333</v>
      </c>
      <c r="X332" s="44" t="s">
        <v>3017</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1794</v>
      </c>
      <c r="Q333" s="241"/>
      <c r="R333" s="147"/>
      <c r="S333" s="236"/>
      <c r="T333" s="236" t="s">
        <v>429</v>
      </c>
      <c r="U333" s="236" t="s">
        <v>1036</v>
      </c>
      <c r="W333" s="44" t="s">
        <v>1087</v>
      </c>
      <c r="X333" s="44" t="s">
        <v>3017</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1795</v>
      </c>
      <c r="Q334" s="241"/>
      <c r="R334" s="147"/>
      <c r="S334" s="236"/>
      <c r="T334" s="236" t="s">
        <v>3779</v>
      </c>
      <c r="U334" s="236" t="s">
        <v>618</v>
      </c>
      <c r="W334" s="44" t="s">
        <v>2314</v>
      </c>
      <c r="X334" s="44" t="s">
        <v>3017</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1797</v>
      </c>
      <c r="Q335" s="241"/>
      <c r="R335" s="147"/>
      <c r="S335" s="236"/>
      <c r="T335" s="236" t="s">
        <v>289</v>
      </c>
      <c r="U335" s="236" t="s">
        <v>1254</v>
      </c>
      <c r="W335" s="44" t="s">
        <v>759</v>
      </c>
      <c r="X335" s="44" t="s">
        <v>3017</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1799</v>
      </c>
      <c r="Q336" s="241"/>
      <c r="R336" s="147"/>
      <c r="S336" s="236"/>
      <c r="T336" s="392" t="s">
        <v>1691</v>
      </c>
      <c r="U336" s="392" t="s">
        <v>820</v>
      </c>
      <c r="W336" s="44" t="s">
        <v>1950</v>
      </c>
      <c r="X336" s="44" t="s">
        <v>3017</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1693</v>
      </c>
      <c r="U337" s="392" t="s">
        <v>1046</v>
      </c>
      <c r="W337" s="44" t="s">
        <v>880</v>
      </c>
      <c r="X337" s="44" t="s">
        <v>3017</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1752</v>
      </c>
      <c r="U338" s="236" t="s">
        <v>2292</v>
      </c>
      <c r="W338" s="44" t="s">
        <v>2302</v>
      </c>
      <c r="X338" s="44" t="s">
        <v>3017</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2286</v>
      </c>
      <c r="W339" s="44" t="s">
        <v>1765</v>
      </c>
      <c r="X339" s="44" t="s">
        <v>3017</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1755</v>
      </c>
      <c r="U340" s="392" t="s">
        <v>616</v>
      </c>
      <c r="W340" s="44" t="s">
        <v>1332</v>
      </c>
      <c r="X340" s="44" t="s">
        <v>3017</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2103</v>
      </c>
      <c r="Q341" s="241"/>
      <c r="R341" s="147"/>
      <c r="S341" s="236"/>
      <c r="T341" s="392" t="s">
        <v>1757</v>
      </c>
      <c r="U341" s="392" t="s">
        <v>1236</v>
      </c>
      <c r="W341" s="44" t="s">
        <v>2085</v>
      </c>
      <c r="X341" s="44" t="s">
        <v>3017</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2105</v>
      </c>
      <c r="Q342" s="241"/>
      <c r="R342" s="147"/>
      <c r="S342" s="236"/>
      <c r="T342" s="392" t="s">
        <v>2535</v>
      </c>
      <c r="U342" s="392" t="s">
        <v>192</v>
      </c>
      <c r="W342" s="44" t="s">
        <v>2087</v>
      </c>
      <c r="X342" s="44" t="s">
        <v>3017</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1759</v>
      </c>
      <c r="U343" s="392" t="s">
        <v>1239</v>
      </c>
      <c r="W343" s="44" t="s">
        <v>1051</v>
      </c>
      <c r="X343" s="44" t="s">
        <v>3017</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1793</v>
      </c>
      <c r="U344" s="392" t="s">
        <v>305</v>
      </c>
      <c r="W344" s="44" t="s">
        <v>1971</v>
      </c>
      <c r="X344" s="44" t="s">
        <v>3017</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1972</v>
      </c>
      <c r="X345" s="44" t="s">
        <v>3017</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1796</v>
      </c>
      <c r="U346" s="392" t="s">
        <v>2379</v>
      </c>
      <c r="W346" s="44" t="s">
        <v>1973</v>
      </c>
      <c r="X346" s="44" t="s">
        <v>3017</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2200</v>
      </c>
      <c r="Q347" s="241"/>
      <c r="R347" s="147"/>
      <c r="S347" s="236"/>
      <c r="T347" s="392" t="s">
        <v>1798</v>
      </c>
      <c r="U347" s="392" t="s">
        <v>1236</v>
      </c>
      <c r="W347" s="44" t="s">
        <v>2151</v>
      </c>
      <c r="X347" s="44" t="s">
        <v>3017</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2074</v>
      </c>
      <c r="U348" s="392" t="s">
        <v>2325</v>
      </c>
      <c r="W348" s="44" t="s">
        <v>2153</v>
      </c>
      <c r="X348" s="44" t="s">
        <v>3017</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2369</v>
      </c>
      <c r="U349" s="392" t="s">
        <v>2014</v>
      </c>
      <c r="W349" s="44" t="s">
        <v>2088</v>
      </c>
      <c r="X349" s="44" t="s">
        <v>3017</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2371</v>
      </c>
      <c r="U353" s="392" t="s">
        <v>1861</v>
      </c>
      <c r="W353" s="44" t="s">
        <v>1574</v>
      </c>
      <c r="X353" s="44" t="s">
        <v>3017</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2104</v>
      </c>
      <c r="U355" s="392" t="s">
        <v>611</v>
      </c>
      <c r="W355" s="44" t="s">
        <v>1577</v>
      </c>
      <c r="X355" s="44" t="s">
        <v>3017</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2106</v>
      </c>
      <c r="U356" s="392" t="s">
        <v>1237</v>
      </c>
      <c r="W356" s="44" t="s">
        <v>1580</v>
      </c>
      <c r="X356" s="44" t="s">
        <v>3017</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2201</v>
      </c>
      <c r="U360" s="392" t="s">
        <v>150</v>
      </c>
      <c r="W360" s="44" t="s">
        <v>1589</v>
      </c>
      <c r="X360" s="44" t="s">
        <v>3017</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2180</v>
      </c>
      <c r="U363" s="392" t="s">
        <v>2284</v>
      </c>
      <c r="W363" s="44" t="s">
        <v>100</v>
      </c>
      <c r="X363" s="44" t="s">
        <v>3017</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2197</v>
      </c>
      <c r="X371" s="44" t="s">
        <v>3017</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2072</v>
      </c>
      <c r="W372" s="44" t="s">
        <v>777</v>
      </c>
      <c r="X372" s="44" t="s">
        <v>3017</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2265</v>
      </c>
      <c r="U373" s="392" t="s">
        <v>1739</v>
      </c>
      <c r="W373" s="44" t="s">
        <v>779</v>
      </c>
      <c r="X373" s="44" t="s">
        <v>3017</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2021</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2025</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1862</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2209</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1739</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2014</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1771</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2074</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2111</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1857</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1859</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1803</v>
      </c>
      <c r="Q403" s="241"/>
      <c r="R403" s="147"/>
      <c r="S403" s="236"/>
      <c r="T403" s="392" t="s">
        <v>1561</v>
      </c>
      <c r="U403" s="392" t="s">
        <v>2325</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2005</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1858</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2141</v>
      </c>
      <c r="Q411" s="241"/>
      <c r="R411" s="147"/>
      <c r="S411" s="236"/>
      <c r="T411" s="236" t="s">
        <v>2539</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2142</v>
      </c>
      <c r="Q412" s="241"/>
      <c r="R412" s="147"/>
      <c r="S412" s="236"/>
      <c r="T412" s="392" t="s">
        <v>969</v>
      </c>
      <c r="U412" s="392" t="s">
        <v>1771</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2123</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2124</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2126</v>
      </c>
      <c r="Q415" s="241"/>
      <c r="R415" s="147"/>
      <c r="S415" s="236"/>
      <c r="T415" s="236" t="s">
        <v>391</v>
      </c>
      <c r="U415" s="236" t="s">
        <v>2010</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1804</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1960</v>
      </c>
      <c r="Q418" s="241"/>
      <c r="R418" s="147"/>
      <c r="S418" s="236"/>
      <c r="T418" s="392" t="s">
        <v>2006</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1834</v>
      </c>
      <c r="Q419" s="241"/>
      <c r="R419" s="147"/>
      <c r="S419" s="236"/>
      <c r="T419" s="392" t="s">
        <v>1534</v>
      </c>
      <c r="U419" s="392" t="s">
        <v>1775</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1836</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2143</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2540</v>
      </c>
      <c r="U425" s="392" t="s">
        <v>2027</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2125</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2077</v>
      </c>
      <c r="Q427" s="241"/>
      <c r="R427" s="147"/>
      <c r="S427" s="236"/>
      <c r="T427" s="392" t="s">
        <v>2127</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2012</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2171</v>
      </c>
      <c r="Q431" s="241"/>
      <c r="R431" s="147"/>
      <c r="S431" s="236"/>
      <c r="T431" s="236" t="s">
        <v>986</v>
      </c>
      <c r="U431" s="236" t="s">
        <v>2286</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1833</v>
      </c>
      <c r="U432" s="392" t="s">
        <v>2209</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1835</v>
      </c>
      <c r="U434" s="392" t="s">
        <v>2209</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1850</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1851</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1779</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2078</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2220</v>
      </c>
      <c r="Q442" s="241"/>
      <c r="R442" s="147"/>
      <c r="S442" s="236"/>
      <c r="T442" s="392" t="s">
        <v>1630</v>
      </c>
      <c r="U442" s="392" t="s">
        <v>1862</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2038</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2039</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2170</v>
      </c>
      <c r="U445" s="392" t="s">
        <v>2286</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2172</v>
      </c>
      <c r="U446" s="392" t="s">
        <v>2021</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2157</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1852</v>
      </c>
      <c r="U454" s="392" t="s">
        <v>1861</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1775</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2221</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2019</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2156</v>
      </c>
      <c r="U467" s="392" t="s">
        <v>2384</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2158</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1859</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1861</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1862</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1739</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1861</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2017</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1739</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2294</v>
      </c>
      <c r="U487" s="392" t="s">
        <v>1769</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2144</v>
      </c>
      <c r="Q490" s="241"/>
      <c r="R490" s="147"/>
      <c r="S490" s="236"/>
      <c r="T490" s="392" t="s">
        <v>172</v>
      </c>
      <c r="U490" s="392" t="s">
        <v>2377</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2025</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1739</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2015</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2209</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3344</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1925</v>
      </c>
      <c r="Q505" s="241"/>
      <c r="R505" s="147"/>
      <c r="S505" s="236"/>
      <c r="T505" s="392" t="s">
        <v>2145</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2543</v>
      </c>
      <c r="U507" s="392" t="s">
        <v>2025</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1942</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1944</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2161</v>
      </c>
      <c r="Q519" s="241"/>
      <c r="R519" s="147"/>
      <c r="S519" s="236"/>
      <c r="T519" s="392" t="s">
        <v>1926</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1862</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2108</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2075</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2102</v>
      </c>
      <c r="Q526" s="241"/>
      <c r="R526" s="147"/>
      <c r="S526" s="236"/>
      <c r="T526" s="392" t="s">
        <v>132</v>
      </c>
      <c r="U526" s="392" t="s">
        <v>2328</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1943</v>
      </c>
      <c r="U531" s="236" t="s">
        <v>2292</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1694</v>
      </c>
      <c r="Q536" s="241"/>
      <c r="R536" s="147"/>
      <c r="S536" s="236"/>
      <c r="T536" s="392" t="s">
        <v>2109</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1696</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1698</v>
      </c>
      <c r="Q538" s="241"/>
      <c r="R538" s="147"/>
      <c r="S538" s="236"/>
      <c r="T538" s="392" t="s">
        <v>2076</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1699</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1701</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1703</v>
      </c>
      <c r="Q541" s="241"/>
      <c r="R541" s="147"/>
      <c r="S541" s="236"/>
      <c r="T541" s="392" t="s">
        <v>372</v>
      </c>
      <c r="U541" s="392" t="s">
        <v>2382</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1705</v>
      </c>
      <c r="Q542" s="241"/>
      <c r="R542" s="147"/>
      <c r="S542" s="236"/>
      <c r="T542" s="392" t="s">
        <v>374</v>
      </c>
      <c r="U542" s="392" t="s">
        <v>2010</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1707</v>
      </c>
      <c r="Q543" s="241"/>
      <c r="R543" s="147"/>
      <c r="S543" s="236"/>
      <c r="T543" s="392" t="s">
        <v>376</v>
      </c>
      <c r="U543" s="392" t="s">
        <v>2328</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1708</v>
      </c>
      <c r="Q544" s="241"/>
      <c r="R544" s="147"/>
      <c r="S544" s="236"/>
      <c r="T544" s="392" t="s">
        <v>2382</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2100</v>
      </c>
      <c r="Q549" s="241"/>
      <c r="R549" s="147"/>
      <c r="S549" s="236"/>
      <c r="T549" s="236" t="s">
        <v>1688</v>
      </c>
      <c r="U549" s="236" t="s">
        <v>2383</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1695</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1697</v>
      </c>
      <c r="U551" s="392" t="s">
        <v>2072</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1700</v>
      </c>
      <c r="U552" s="392" t="s">
        <v>2072</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1901</v>
      </c>
      <c r="Q553" s="241"/>
      <c r="R553" s="147"/>
      <c r="S553" s="236"/>
      <c r="T553" s="392" t="s">
        <v>1702</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1704</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1706</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1806</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1965</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1967</v>
      </c>
      <c r="Q559" s="241"/>
      <c r="R559" s="147"/>
      <c r="S559" s="236"/>
      <c r="T559" s="392" t="s">
        <v>2384</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1969</v>
      </c>
      <c r="Q560" s="241"/>
      <c r="R560" s="147"/>
      <c r="S560" s="236"/>
      <c r="T560" s="236" t="s">
        <v>1531</v>
      </c>
      <c r="U560" s="236" t="s">
        <v>2010</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2017</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2099</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2101</v>
      </c>
      <c r="U563" s="392" t="s">
        <v>2014</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1899</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1734</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1966</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1968</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1900</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1735</v>
      </c>
      <c r="U583" s="236" t="s">
        <v>1811</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1811</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1988</v>
      </c>
      <c r="Q585" s="241"/>
      <c r="R585" s="147"/>
      <c r="S585" s="236"/>
      <c r="T585" s="392" t="s">
        <v>1566</v>
      </c>
      <c r="U585" s="392" t="s">
        <v>2019</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1990</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1992</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1994</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1996</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1870</v>
      </c>
      <c r="Q591" s="241"/>
      <c r="R591" s="147"/>
      <c r="S591" s="236"/>
      <c r="T591" s="392" t="s">
        <v>964</v>
      </c>
      <c r="U591" s="392" t="s">
        <v>2211</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2207</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1777</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1987</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1989</v>
      </c>
      <c r="U605" s="392" t="s">
        <v>2025</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1991</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2092</v>
      </c>
      <c r="Q607" s="241"/>
      <c r="R607" s="147"/>
      <c r="S607" s="236"/>
      <c r="T607" s="392" t="s">
        <v>1993</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2094</v>
      </c>
      <c r="Q608" s="241"/>
      <c r="R608" s="147"/>
      <c r="S608" s="236"/>
      <c r="T608" s="392" t="s">
        <v>1995</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2317</v>
      </c>
      <c r="Q610" s="241"/>
      <c r="R610" s="147"/>
      <c r="S610" s="236"/>
      <c r="T610" s="392" t="s">
        <v>1416</v>
      </c>
      <c r="U610" s="392" t="s">
        <v>2027</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2007</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2017</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1811</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2194</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2322</v>
      </c>
      <c r="Q625" s="241"/>
      <c r="R625" s="147"/>
      <c r="S625" s="236"/>
      <c r="T625" s="392" t="s">
        <v>2093</v>
      </c>
      <c r="U625" s="392" t="s">
        <v>2010</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1855</v>
      </c>
      <c r="Q626" s="241"/>
      <c r="R626" s="147"/>
      <c r="S626" s="236"/>
      <c r="T626" s="392" t="s">
        <v>2095</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2318</v>
      </c>
      <c r="U628" s="236" t="s">
        <v>1861</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2008</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1848</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1742</v>
      </c>
      <c r="Q637" s="241"/>
      <c r="R637" s="147"/>
      <c r="S637" s="236"/>
      <c r="T637" s="392" t="s">
        <v>1226</v>
      </c>
      <c r="U637" s="392" t="s">
        <v>1769</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1743</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1745</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1747</v>
      </c>
      <c r="Q640" s="241"/>
      <c r="R640" s="147"/>
      <c r="S640" s="236"/>
      <c r="T640" s="392" t="s">
        <v>2548</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1749</v>
      </c>
      <c r="Q641" s="241"/>
      <c r="R641" s="147"/>
      <c r="S641" s="236"/>
      <c r="T641" s="392" t="s">
        <v>2549</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2010</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2315</v>
      </c>
      <c r="Q647" s="241"/>
      <c r="R647" s="147"/>
      <c r="S647" s="236"/>
      <c r="T647" s="392" t="s">
        <v>2550</v>
      </c>
      <c r="U647" s="392" t="s">
        <v>1811</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1948</v>
      </c>
      <c r="Q650" s="241"/>
      <c r="R650" s="147"/>
      <c r="S650" s="236"/>
      <c r="T650" s="392" t="s">
        <v>1228</v>
      </c>
      <c r="U650" s="392" t="s">
        <v>2023</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1949</v>
      </c>
      <c r="Q651" s="241"/>
      <c r="R651" s="147"/>
      <c r="S651" s="236"/>
      <c r="T651" s="392" t="s">
        <v>1230</v>
      </c>
      <c r="U651" s="392" t="s">
        <v>2328</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1849</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1744</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2301</v>
      </c>
      <c r="Q657" s="241"/>
      <c r="R657" s="147"/>
      <c r="S657" s="236"/>
      <c r="T657" s="236" t="s">
        <v>1746</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2303</v>
      </c>
      <c r="Q658" s="241"/>
      <c r="R658" s="147"/>
      <c r="S658" s="236"/>
      <c r="T658" s="236" t="s">
        <v>1748</v>
      </c>
      <c r="U658" s="236" t="s">
        <v>2289</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2304</v>
      </c>
      <c r="Q659" s="241"/>
      <c r="R659" s="147"/>
      <c r="S659" s="236"/>
      <c r="T659" s="392" t="s">
        <v>1750</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1761</v>
      </c>
      <c r="Q660" s="241"/>
      <c r="R660" s="147"/>
      <c r="S660" s="236"/>
      <c r="T660" s="392" t="s">
        <v>472</v>
      </c>
      <c r="U660" s="392" t="s">
        <v>1862</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1762</v>
      </c>
      <c r="Q661" s="241"/>
      <c r="R661" s="147"/>
      <c r="S661" s="236"/>
      <c r="T661" s="392" t="s">
        <v>2333</v>
      </c>
      <c r="U661" s="392" t="s">
        <v>1773</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1764</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2128</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2084</v>
      </c>
      <c r="Q669" s="241"/>
      <c r="R669" s="147"/>
      <c r="S669" s="236"/>
      <c r="T669" s="392" t="s">
        <v>2551</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2086</v>
      </c>
      <c r="Q670" s="241"/>
      <c r="R670" s="147"/>
      <c r="S670" s="236"/>
      <c r="T670" s="392" t="s">
        <v>1950</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2072</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1896</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1827</v>
      </c>
      <c r="Q674" s="241"/>
      <c r="R674" s="147"/>
      <c r="S674" s="236"/>
      <c r="T674" s="392" t="s">
        <v>2302</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1829</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1831</v>
      </c>
      <c r="Q676" s="241"/>
      <c r="R676" s="147"/>
      <c r="S676" s="236"/>
      <c r="T676" s="392" t="s">
        <v>1760</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1763</v>
      </c>
      <c r="U677" s="392" t="s">
        <v>2072</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1765</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1945</v>
      </c>
      <c r="Q679" s="241"/>
      <c r="R679" s="147"/>
      <c r="S679" s="236"/>
      <c r="T679" s="392" t="s">
        <v>598</v>
      </c>
      <c r="U679" s="392" t="s">
        <v>2211</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1970</v>
      </c>
      <c r="Q680" s="754"/>
      <c r="R680" s="754"/>
      <c r="S680" s="755"/>
      <c r="T680" s="392" t="s">
        <v>760</v>
      </c>
      <c r="U680" s="392" t="s">
        <v>2014</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1771</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1859</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2129</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2072</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2083</v>
      </c>
      <c r="U686" s="236" t="s">
        <v>1777</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2085</v>
      </c>
      <c r="U687" s="392" t="s">
        <v>2010</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2087</v>
      </c>
      <c r="U688" s="392" t="s">
        <v>2211</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2021</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1897</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1828</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1830</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1832</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2553</v>
      </c>
      <c r="U696" s="236" t="s">
        <v>1771</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1946</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1971</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1859</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1972</v>
      </c>
      <c r="U701" s="392" t="s">
        <v>1859</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1973</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2151</v>
      </c>
      <c r="U703" s="392" t="s">
        <v>1737</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2152</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2153</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2154</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2155</v>
      </c>
      <c r="U707" s="392" t="s">
        <v>2207</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2088</v>
      </c>
      <c r="U708" s="392" t="s">
        <v>2015</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2209</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1810</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2072</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1810</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1769</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1862</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1739</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2211</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2207</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1863</v>
      </c>
      <c r="AA744"/>
      <c r="AB744"/>
      <c r="AC744" s="380"/>
      <c r="AD744" s="68"/>
    </row>
    <row r="745" spans="3:30" ht="13.5">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1775</v>
      </c>
      <c r="AA746"/>
      <c r="AB746"/>
      <c r="AC746" s="68"/>
      <c r="AD746" s="68"/>
    </row>
    <row r="747" spans="3:30" ht="13.5">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1739</v>
      </c>
      <c r="AA759"/>
      <c r="AB759"/>
      <c r="AC759" s="68"/>
      <c r="AD759" s="68"/>
    </row>
    <row r="760" spans="3:30" ht="13.5">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2021</v>
      </c>
      <c r="AA760"/>
      <c r="AB760"/>
      <c r="AC760" s="68"/>
      <c r="AD760" s="68"/>
    </row>
    <row r="761" spans="3:30" ht="13.5">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2195</v>
      </c>
      <c r="U762" s="236" t="s">
        <v>625</v>
      </c>
      <c r="AA762"/>
      <c r="AB762"/>
      <c r="AC762" s="68"/>
      <c r="AD762" s="68"/>
    </row>
    <row r="763" spans="3:30" ht="13.5">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2196</v>
      </c>
      <c r="U763" s="236" t="s">
        <v>611</v>
      </c>
      <c r="AA763"/>
      <c r="AB763"/>
      <c r="AC763" s="68"/>
      <c r="AD763" s="68"/>
    </row>
    <row r="764" spans="3:30" ht="13.5">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2197</v>
      </c>
      <c r="U764" s="236" t="s">
        <v>315</v>
      </c>
      <c r="AA764"/>
      <c r="AB764"/>
      <c r="AC764" s="68"/>
      <c r="AD764" s="68"/>
    </row>
    <row r="765" spans="3:30" ht="13.5">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1859</v>
      </c>
      <c r="AA766"/>
      <c r="AB766"/>
      <c r="AC766" s="68"/>
      <c r="AD766" s="68"/>
    </row>
    <row r="767" spans="3:30" ht="13.5">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1771</v>
      </c>
      <c r="AA768"/>
      <c r="AB768"/>
      <c r="AC768" s="68"/>
      <c r="AD768" s="68"/>
    </row>
    <row r="769" spans="3:30" ht="13.5">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ht="13.5">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ht="13.5">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ht="13.5">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ht="13.5">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ht="13.5">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ht="13.5">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ht="13.5">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ht="13.5">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ht="13.5">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ht="13.5">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ht="13.5">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ht="13.5">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ht="13.5">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ht="13.5">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ht="13.5">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ht="13.5">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ht="13.5">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ht="13.5">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ht="13.5">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ht="13.5">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ht="13.5">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ht="13.5">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ht="13.5">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ht="13.5">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ht="13.5">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ht="13.5">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ht="13.5">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ht="13.5">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ht="13.5">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ht="13.5">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ht="13.5">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ht="13.5">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ht="13.5">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ht="13.5">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ht="13.5">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ht="13.5">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ht="13.5">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ht="13.5">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ht="13.5">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ht="13.5">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ht="13.5">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ht="13.5">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ht="13.5">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ht="13.5">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ht="13.5">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ht="13.5">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ht="13.5">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ht="13.5">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ht="13.5">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ht="13.5">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ht="13.5">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ht="13.5">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ht="13.5">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ht="13.5">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ht="13.5">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ht="13.5">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ht="13.5">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ht="13.5">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ht="13.5">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ht="13.5">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ht="13.5">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ht="13.5">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ht="13.5">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ht="13.5">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ht="13.5">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ht="13.5">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ht="13.5">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ht="13.5">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ht="13.5">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ht="13.5">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ht="13.5">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ht="13.5">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ht="13.5">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ht="13.5">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ht="13.5">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ht="13.5">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ht="13.5">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ht="13.5">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ht="13.5">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ht="13.5">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ht="13.5">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ht="13.5">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ht="13.5">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ht="13.5">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ht="13.5">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ht="13.5">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ht="13.5">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ht="13.5">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ht="13.5">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ht="13.5">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ht="13.5">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ht="13.5">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ht="13.5">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ht="13.5">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ht="13.5">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ht="13.5">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ht="13.5">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ht="13.5">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ht="13.5">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ht="13.5">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ht="13.5">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ht="13.5">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ht="13.5">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ht="13.5">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ht="13.5">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ht="13.5">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ht="13.5">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ht="13.5">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ht="13.5">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ht="13.5">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ht="13.5">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ht="13.5">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ht="13.5">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ht="13.5">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ht="13.5">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ht="13.5">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ht="13.5">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ht="13.5">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ht="13.5">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ht="13.5">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ht="13.5">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ht="13.5">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ht="13.5">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ht="13.5">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ht="13.5">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ht="13.5">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ht="13.5">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ht="13.5">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ht="13.5">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ht="13.5">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ht="13.5">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ht="13.5">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ht="13.5">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ht="13.5">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ht="13.5">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ht="13.5">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ht="13.5">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ht="13.5">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ht="13.5">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ht="13.5">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ht="13.5">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ht="13.5">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ht="13.5">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ht="13.5">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ht="13.5">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ht="13.5">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ht="13.5">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ht="13.5">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ht="13.5">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ht="13.5">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ht="13.5">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ht="13.5">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ht="13.5">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ht="13.5">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ht="13.5">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ht="13.5">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ht="13.5">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ht="13.5">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ht="13.5">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ht="13.5">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ht="13.5">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ht="13.5">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ht="13.5">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ht="13.5">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ht="13.5">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ht="13.5">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ht="13.5">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ht="13.5">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ht="13.5">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ht="13.5">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ht="13.5">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ht="13.5">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ht="13.5">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ht="13.5">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ht="13.5">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ht="13.5">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ht="13.5">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ht="13.5">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ht="13.5">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ht="13.5">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ht="13.5">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ht="13.5">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ht="13.5">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ht="13.5">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ht="13.5">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ht="13.5">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ht="13.5">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ht="13.5">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ht="13.5">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ht="13.5">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ht="13.5">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ht="13.5">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ht="13.5">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ht="13.5">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ht="13.5">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ht="13.5">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ht="13.5">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ht="13.5">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ht="13.5">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ht="13.5">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ht="13.5">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ht="13.5">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ht="13.5">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ht="13.5">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ht="13.5">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ht="13.5">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ht="13.5">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ht="13.5">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ht="13.5">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ht="13.5">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ht="13.5">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ht="13.5">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ht="13.5">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ht="13.5">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ht="13.5">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ht="13.5">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ht="13.5">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ht="13.5">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ht="13.5">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ht="13.5">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ht="13.5">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ht="13.5">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ht="13.5">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ht="13.5">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ht="13.5">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ht="13.5">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ht="13.5">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ht="13.5">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ht="13.5">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ht="13.5">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ht="13.5">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ht="13.5">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ht="13.5">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ht="13.5">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ht="13.5">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ht="13.5">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ht="13.5">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ht="13.5">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ht="13.5">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ht="13.5">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ht="13.5">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ht="13.5">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ht="13.5">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ht="13.5">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ht="13.5">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ht="13.5">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ht="13.5">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ht="13.5">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ht="13.5">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ht="13.5">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ht="13.5">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ht="13.5">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ht="13.5">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ht="13.5">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ht="13.5">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ht="13.5">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ht="13.5">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ht="13.5">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ht="13.5">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ht="13.5">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ht="13.5">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ht="13.5">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ht="13.5">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ht="13.5">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ht="13.5">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ht="13.5">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ht="13.5">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ht="13.5">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ht="13.5">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ht="13.5">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ht="13.5">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ht="13.5">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ht="13.5">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ht="13.5">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ht="13.5">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ht="13.5">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ht="13.5">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ht="13.5">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ht="13.5">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ht="13.5">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ht="13.5">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ht="13.5">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ht="13.5">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ht="13.5">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ht="13.5">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ht="13.5">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ht="13.5">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ht="13.5">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ht="13.5">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ht="13.5">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ht="13.5">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ht="13.5">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ht="13.5">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ht="13.5">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ht="13.5">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ht="13.5">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ht="13.5">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ht="13.5">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ht="13.5">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ht="13.5">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ht="13.5">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ht="13.5">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ht="13.5">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ht="13.5">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ht="13.5">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ht="13.5">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ht="13.5">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ht="13.5">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ht="13.5">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ht="13.5">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ht="13.5">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ht="13.5">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ht="13.5">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ht="13.5">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ht="13.5">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ht="13.5">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ht="13.5">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ht="13.5">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ht="13.5">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ht="13.5">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ht="13.5">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ht="13.5">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ht="13.5">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ht="13.5">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ht="13.5">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ht="13.5">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ht="13.5">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ht="13.5">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ht="13.5">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ht="13.5">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ht="13.5">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ht="13.5">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ht="13.5">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ht="13.5">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ht="13.5">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ht="13.5">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ht="13.5">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ht="13.5">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ht="13.5">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ht="13.5">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ht="13.5">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ht="13.5">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ht="13.5">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ht="13.5">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ht="13.5">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ht="13.5">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ht="13.5">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ht="13.5">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ht="13.5">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ht="13.5">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ht="13.5">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ht="13.5">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ht="13.5">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ht="13.5">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ht="13.5">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ht="13.5">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ht="13.5">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ht="13.5">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ht="13.5">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ht="13.5">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ht="13.5">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ht="13.5">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ht="13.5">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ht="13.5">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ht="13.5">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ht="13.5">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ht="13.5">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ht="13.5">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ht="13.5">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ht="13.5">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ht="13.5">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ht="13.5">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ht="13.5">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ht="13.5">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ht="13.5">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ht="13.5">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ht="13.5">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ht="13.5">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ht="13.5">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ht="13.5">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ht="13.5">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ht="13.5">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ht="13.5">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ht="13.5">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ht="13.5">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ht="13.5">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ht="13.5">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ht="13.5">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ht="13.5">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ht="13.5">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ht="13.5">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ht="13.5">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ht="13.5">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ht="13.5">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ht="13.5">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ht="13.5">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ht="13.5">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ht="13.5">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ht="13.5">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ht="13.5">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ht="13.5">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ht="13.5">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ht="13.5">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ht="13.5">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ht="13.5">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ht="13.5">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ht="13.5">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ht="13.5">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ht="13.5">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ht="13.5">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ht="13.5">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ht="13.5">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ht="13.5">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ht="13.5">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ht="13.5">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ht="13.5">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ht="13.5">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ht="13.5">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ht="13.5">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ht="13.5">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ht="13.5">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ht="13.5">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ht="13.5">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ht="13.5">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ht="13.5">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ht="13.5">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ht="13.5">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ht="13.5">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ht="13.5">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ht="13.5">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ht="13.5">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ht="13.5">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ht="13.5">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ht="13.5">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ht="13.5">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ht="13.5">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ht="13.5">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ht="13.5">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ht="13.5">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ht="13.5">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ht="13.5">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ht="13.5">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ht="13.5">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ht="13.5">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ht="13.5">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ht="13.5">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ht="13.5">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ht="13.5">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ht="13.5">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ht="13.5">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ht="13.5">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ht="13.5">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ht="13.5">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ht="13.5">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ht="13.5">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ht="13.5">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ht="13.5">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ht="13.5">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ht="13.5">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ht="13.5">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ht="13.5">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ht="13.5">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ht="13.5">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ht="13.5">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ht="13.5">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ht="13.5">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ht="13.5">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ht="13.5">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ht="13.5">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ht="13.5">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ht="13.5">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ht="13.5">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ht="13.5">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ht="13.5">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ht="13.5">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ht="13.5">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ht="13.5">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ht="13.5">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ht="13.5">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ht="13.5">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ht="13.5">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ht="13.5">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ht="13.5">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ht="13.5">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ht="13.5">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ht="13.5">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ht="13.5">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ht="13.5">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ht="13.5">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ht="13.5">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ht="13.5">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ht="13.5">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ht="13.5">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ht="13.5">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ht="13.5">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ht="13.5">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ht="13.5">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ht="13.5">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ht="13.5">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ht="13.5">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ht="13.5">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ht="13.5">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ht="13.5">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ht="13.5">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ht="13.5">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ht="13.5">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ht="13.5">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ht="13.5">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ht="13.5">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ht="13.5">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ht="13.5">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ht="13.5">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ht="13.5">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ht="13.5">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ht="13.5">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ht="13.5">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ht="13.5">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ht="13.5">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ht="13.5">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ht="13.5">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ht="13.5">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ht="13.5">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ht="13.5">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ht="13.5">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ht="13.5">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ht="13.5">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ht="13.5">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ht="13.5">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ht="13.5">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ht="13.5">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ht="13.5">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ht="13.5">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ht="13.5">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ht="13.5">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ht="13.5">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ht="13.5">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ht="13.5">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ht="13.5">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ht="13.5">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ht="13.5">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ht="13.5">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ht="13.5">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ht="13.5">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ht="13.5">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ht="13.5">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ht="13.5">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ht="13.5">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ht="13.5">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ht="13.5">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ht="13.5">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ht="13.5">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ht="13.5">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ht="13.5">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ht="13.5">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ht="13.5">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ht="13.5">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ht="13.5">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ht="13.5">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ht="13.5">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ht="13.5">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ht="13.5">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ht="13.5">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ht="13.5">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ht="13.5">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ht="13.5">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ht="13.5">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ht="13.5">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ht="13.5">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ht="13.5">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ht="13.5">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ht="13.5">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ht="13.5">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ht="13.5">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ht="13.5">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ht="13.5">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ht="13.5">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ht="13.5">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ht="13.5">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ht="13.5">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ht="13.5">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ht="13.5">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ht="13.5">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ht="13.5">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ht="13.5">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ht="13.5">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ht="13.5">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ht="13.5">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ht="13.5">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ht="13.5">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ht="13.5">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ht="13.5">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ht="13.5">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ht="13.5">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ht="13.5">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ht="13.5">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ht="13.5">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ht="13.5">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ht="13.5">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ht="13.5">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ht="13.5">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ht="13.5">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ht="13.5">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ht="13.5">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ht="13.5">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ht="13.5">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ht="13.5">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ht="13.5">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ht="13.5">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ht="13.5">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ht="13.5">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ht="13.5">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ht="13.5">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ht="13.5">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ht="13.5">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ht="13.5">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ht="13.5">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ht="13.5">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ht="13.5">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ht="13.5">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ht="13.5">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ht="13.5">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ht="13.5">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ht="13.5">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ht="13.5">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ht="13.5">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ht="13.5">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ht="13.5">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ht="13.5">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ht="13.5">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ht="13.5">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ht="13.5">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ht="13.5">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ht="13.5">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ht="13.5">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ht="13.5">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ht="13.5">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ht="13.5">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ht="13.5">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ht="13.5">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ht="13.5">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ht="13.5">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ht="13.5">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ht="13.5">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ht="13.5">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ht="13.5">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ht="13.5">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ht="13.5">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ht="13.5">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ht="13.5">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ht="13.5">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ht="13.5">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ht="13.5">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ht="13.5">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ht="13.5">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ht="13.5">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ht="13.5">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ht="13.5">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ht="13.5">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ht="13.5">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ht="13.5">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ht="13.5">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ht="13.5">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ht="13.5">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ht="13.5">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ht="13.5">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ht="13.5">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ht="13.5">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ht="13.5">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ht="13.5">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ht="13.5">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ht="13.5">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ht="13.5">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ht="13.5">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ht="13.5">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ht="13.5">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ht="13.5">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ht="13.5">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ht="13.5">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ht="13.5">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ht="13.5">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ht="13.5">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ht="13.5">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ht="13.5">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ht="13.5">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ht="13.5">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ht="13.5">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ht="13.5">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ht="13.5">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ht="13.5">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ht="13.5">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ht="13.5">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ht="13.5">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ht="13.5">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ht="13.5">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ht="13.5">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ht="13.5">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ht="13.5">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ht="13.5">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ht="13.5">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ht="13.5">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ht="13.5">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ht="13.5">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ht="13.5">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ht="13.5">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ht="13.5">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ht="13.5">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ht="13.5">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ht="13.5">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ht="13.5">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ht="13.5">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ht="13.5">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ht="13.5">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ht="13.5">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ht="13.5">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ht="13.5">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ht="13.5">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ht="13.5">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ht="13.5">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ht="13.5">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ht="13.5">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ht="13.5">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ht="13.5">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ht="13.5">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ht="13.5">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ht="13.5">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ht="13.5">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ht="13.5">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ht="13.5">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ht="13.5">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ht="13.5">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ht="13.5">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ht="13.5">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ht="13.5">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ht="13.5">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ht="13.5">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ht="13.5">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ht="13.5">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ht="13.5">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ht="13.5">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ht="13.5">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ht="13.5">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ht="13.5">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ht="13.5">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ht="13.5">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ht="13.5">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ht="13.5">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ht="13.5">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ht="13.5">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ht="13.5">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ht="13.5">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ht="13.5">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ht="13.5">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ht="13.5">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ht="13.5">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ht="13.5">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ht="13.5">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ht="13.5">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ht="13.5">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ht="13.5">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ht="13.5">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ht="13.5">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ht="13.5">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ht="13.5">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ht="13.5">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ht="13.5">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ht="13.5">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ht="13.5">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ht="13.5">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ht="13.5">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ht="13.5">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ht="13.5">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ht="13.5">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ht="13.5">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ht="13.5">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ht="13.5">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ht="13.5">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ht="13.5">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ht="13.5">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ht="13.5">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ht="13.5">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ht="13.5">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ht="13.5">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ht="13.5">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ht="13.5">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ht="13.5">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ht="13.5">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ht="13.5">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ht="13.5">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ht="13.5">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ht="13.5">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ht="13.5">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ht="13.5">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ht="13.5">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ht="13.5">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ht="13.5">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ht="13.5">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ht="13.5">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ht="13.5">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ht="13.5">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ht="13.5">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ht="13.5">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ht="13.5">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ht="13.5">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ht="13.5">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ht="13.5">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ht="13.5">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ht="13.5">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ht="13.5">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ht="13.5">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ht="13.5">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ht="13.5">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ht="13.5">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ht="13.5">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ht="13.5">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ht="13.5">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ht="13.5">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ht="13.5">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ht="13.5">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ht="13.5">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ht="13.5">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ht="13.5">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ht="13.5">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ht="13.5">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ht="13.5">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ht="13.5">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ht="13.5">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ht="13.5">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ht="13.5">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ht="13.5">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ht="13.5">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ht="13.5">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ht="13.5">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ht="13.5">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ht="13.5">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ht="13.5">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ht="13.5">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ht="13.5">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ht="13.5">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ht="13.5">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ht="13.5">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ht="13.5">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ht="13.5">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ht="13.5">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ht="13.5">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ht="13.5">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ht="13.5">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ht="13.5">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ht="13.5">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ht="13.5">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ht="13.5">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ht="13.5">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ht="13.5">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ht="13.5">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ht="13.5">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ht="13.5">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ht="13.5">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ht="13.5">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ht="13.5">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ht="13.5">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ht="13.5">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ht="13.5">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ht="13.5">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ht="13.5">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ht="13.5">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ht="13.5">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ht="13.5">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ht="13.5">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ht="13.5">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ht="13.5">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ht="13.5">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ht="13.5">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ht="13.5">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ht="13.5">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ht="13.5">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ht="13.5">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ht="13.5">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ht="13.5">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ht="13.5">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ht="13.5">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ht="13.5">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ht="13.5">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ht="13.5">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ht="13.5">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ht="13.5">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ht="13.5">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ht="13.5">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ht="13.5">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ht="13.5">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ht="13.5">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ht="13.5">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ht="13.5">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ht="13.5">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ht="13.5">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ht="13.5">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ht="13.5">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ht="13.5">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ht="13.5">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ht="13.5">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ht="13.5">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ht="13.5">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ht="13.5">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ht="13.5">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ht="13.5">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ht="13.5">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ht="13.5">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ht="13.5">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ht="13.5">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ht="13.5">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ht="13.5">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ht="13.5">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ht="13.5">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ht="13.5">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ht="13.5">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ht="13.5">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ht="13.5">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ht="13.5">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ht="13.5">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ht="13.5">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ht="13.5">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ht="13.5">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ht="13.5">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ht="13.5">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ht="13.5">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ht="13.5">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ht="13.5">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ht="13.5">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ht="13.5">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ht="13.5">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ht="13.5">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ht="13.5">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ht="13.5">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ht="13.5">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ht="13.5">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ht="13.5">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ht="13.5">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ht="13.5">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ht="13.5">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ht="13.5">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ht="13.5">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ht="13.5">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ht="13.5">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ht="13.5">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ht="13.5">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ht="13.5">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ht="13.5">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ht="13.5">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ht="13.5">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ht="13.5">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ht="13.5">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ht="13.5">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ht="13.5">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ht="13.5">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ht="13.5">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ht="13.5">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ht="13.5">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ht="13.5">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ht="13.5">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ht="13.5">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ht="13.5">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ht="13.5">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ht="13.5">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ht="13.5">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ht="13.5">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ht="13.5">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ht="13.5">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ht="13.5">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ht="13.5">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ht="13.5">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ht="13.5">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ht="13.5">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ht="13.5">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ht="13.5">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ht="13.5">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ht="13.5">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ht="13.5">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ht="13.5">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ht="13.5">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ht="13.5">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ht="13.5">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ht="13.5">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ht="13.5">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ht="13.5">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ht="13.5">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ht="13.5">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ht="13.5">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ht="13.5">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ht="13.5">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ht="13.5">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ht="13.5">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ht="13.5">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ht="13.5">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ht="13.5">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ht="13.5">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ht="13.5">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ht="13.5">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ht="13.5">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ht="13.5">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ht="13.5">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ht="13.5">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ht="13.5">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ht="13.5">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ht="13.5">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ht="13.5">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ht="13.5">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ht="13.5">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ht="13.5">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ht="13.5">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ht="13.5">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ht="13.5">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ht="13.5">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ht="13.5">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ht="13.5">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ht="13.5">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ht="13.5">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ht="13.5">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ht="13.5">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ht="13.5">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ht="13.5">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ht="13.5">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ht="13.5">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ht="13.5">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ht="13.5">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ht="13.5">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ht="13.5">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ht="13.5">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ht="13.5">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ht="13.5">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ht="13.5">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ht="13.5">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ht="13.5">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ht="13.5">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ht="13.5">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ht="13.5">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ht="13.5">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ht="13.5">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ht="13.5">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ht="13.5">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ht="13.5">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ht="13.5">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ht="13.5">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ht="13.5">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ht="13.5">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ht="13.5">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ht="13.5">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ht="13.5">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ht="13.5">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ht="13.5">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ht="13.5">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ht="13.5">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ht="13.5">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ht="13.5">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ht="13.5">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ht="13.5">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ht="13.5">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ht="13.5">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ht="13.5">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ht="13.5">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ht="13.5">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ht="13.5">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ht="13.5">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ht="13.5">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ht="13.5">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ht="13.5">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ht="13.5">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ht="13.5">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ht="13.5">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ht="13.5">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ht="13.5">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ht="13.5">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ht="13.5">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ht="13.5">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ht="13.5">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ht="13.5">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ht="13.5">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ht="13.5">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ht="13.5">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ht="13.5">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ht="13.5">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ht="13.5">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ht="13.5">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ht="13.5">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ht="13.5">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ht="13.5">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ht="13.5">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ht="13.5">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ht="13.5">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ht="13.5">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ht="13.5">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ht="13.5">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ht="13.5">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ht="13.5">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ht="13.5">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ht="13.5">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ht="13.5">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ht="13.5">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ht="13.5">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ht="13.5">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ht="13.5">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ht="13.5">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ht="13.5">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ht="13.5">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ht="13.5">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ht="13.5">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ht="13.5">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ht="13.5">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ht="13.5">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ht="13.5">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ht="13.5">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ht="13.5">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ht="13.5">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ht="13.5">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ht="13.5">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ht="13.5">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ht="13.5">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ht="13.5">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ht="13.5">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ht="13.5">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ht="13.5">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ht="13.5">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ht="13.5">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ht="13.5">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ht="13.5">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ht="13.5">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ht="13.5">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ht="13.5">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ht="13.5">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ht="13.5">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ht="13.5">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ht="13.5">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ht="13.5">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ht="13.5">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ht="13.5">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ht="13.5">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ht="13.5">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ht="13.5">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ht="13.5">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ht="13.5">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ht="13.5">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ht="13.5">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ht="13.5">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ht="13.5">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ht="13.5">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ht="13.5">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ht="13.5">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ht="13.5">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ht="13.5">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ht="13.5">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ht="13.5">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ht="13.5">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ht="13.5">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ht="13.5">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ht="13.5">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ht="13.5">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ht="13.5">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ht="13.5">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ht="13.5">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ht="13.5">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ht="13.5">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ht="13.5">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ht="13.5">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ht="13.5">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ht="13.5">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ht="13.5">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ht="13.5">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ht="13.5">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ht="13.5">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ht="13.5">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ht="13.5">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ht="13.5">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ht="13.5">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ht="13.5">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ht="13.5">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ht="13.5">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ht="13.5">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ht="13.5">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ht="13.5">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ht="13.5">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ht="13.5">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ht="13.5">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ht="13.5">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ht="13.5">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ht="13.5">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ht="13.5">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ht="13.5">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ht="13.5">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ht="13.5">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ht="13.5">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ht="13.5">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ht="13.5">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ht="13.5">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ht="13.5">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ht="13.5">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ht="13.5">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ht="13.5">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ht="13.5">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ht="13.5">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ht="13.5">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ht="13.5">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ht="13.5">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ht="13.5">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ht="13.5">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ht="13.5">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ht="13.5">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ht="13.5">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ht="13.5">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ht="13.5">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ht="13.5">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ht="13.5">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ht="13.5">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ht="13.5">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ht="13.5">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ht="13.5">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ht="13.5">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ht="13.5">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ht="13.5">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ht="13.5">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ht="13.5">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ht="13.5">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ht="13.5">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ht="13.5">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ht="13.5">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ht="13.5">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ht="13.5">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ht="13.5">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ht="13.5">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ht="13.5">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ht="13.5">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ht="13.5">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ht="13.5">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ht="13.5">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ht="13.5">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ht="13.5">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ht="13.5">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ht="13.5">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ht="13.5">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ht="13.5">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ht="13.5">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ht="13.5">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ht="13.5">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ht="13.5">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ht="13.5">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ht="13.5">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ht="13.5">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ht="13.5">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ht="13.5">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ht="13.5">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ht="13.5">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ht="13.5">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ht="13.5">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ht="13.5">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ht="13.5">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ht="13.5">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ht="13.5">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ht="13.5">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ht="13.5">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ht="13.5">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ht="13.5">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ht="13.5">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ht="13.5">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ht="13.5">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ht="13.5">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ht="13.5">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ht="13.5">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ht="13.5">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ht="13.5">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ht="13.5">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ht="13.5">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ht="13.5">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ht="13.5">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ht="13.5">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ht="13.5">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ht="13.5">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ht="13.5">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ht="13.5">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ht="13.5">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ht="13.5">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ht="13.5">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ht="13.5">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ht="13.5">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ht="13.5">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ht="13.5">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ht="13.5">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ht="13.5">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ht="13.5">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ht="13.5">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ht="13.5">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ht="13.5">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ht="13.5">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ht="13.5">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ht="13.5">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ht="13.5">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ht="13.5">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ht="13.5">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ht="13.5">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ht="13.5">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ht="13.5">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ht="13.5">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ht="13.5">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ht="13.5">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ht="13.5">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ht="13.5">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ht="13.5">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ht="13.5">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ht="13.5">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ht="13.5">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ht="13.5">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ht="13.5">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ht="13.5">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ht="13.5">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ht="13.5">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ht="13.5">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ht="13.5">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ht="13.5">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ht="13.5">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ht="13.5">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ht="13.5">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ht="13.5">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ht="13.5">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ht="13.5">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ht="13.5">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ht="13.5">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ht="13.5">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ht="13.5">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ht="13.5">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ht="13.5">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ht="13.5">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ht="13.5">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ht="13.5">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ht="13.5">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ht="13.5">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ht="13.5">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ht="13.5">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ht="13.5">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ht="13.5">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ht="13.5">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ht="13.5">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ht="13.5">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ht="13.5">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ht="13.5">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ht="13.5">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ht="13.5">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ht="13.5">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ht="13.5">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ht="13.5">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ht="13.5">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ht="13.5">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ht="13.5">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ht="13.5">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ht="13.5">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ht="13.5">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ht="13.5">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ht="13.5">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ht="13.5">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ht="13.5">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ht="13.5">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ht="13.5">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ht="13.5">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ht="13.5">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ht="13.5">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ht="13.5">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ht="13.5">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ht="13.5">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ht="13.5">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ht="13.5">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ht="13.5">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ht="13.5">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ht="13.5">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ht="13.5">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ht="13.5">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ht="13.5">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ht="13.5">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ht="13.5">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ht="13.5">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ht="13.5">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ht="13.5">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ht="13.5">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ht="13.5">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ht="13.5">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ht="13.5">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ht="13.5">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ht="13.5">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ht="13.5">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ht="13.5">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ht="13.5">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ht="13.5">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ht="13.5">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ht="13.5">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ht="13.5">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ht="13.5">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ht="13.5">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ht="13.5">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ht="13.5">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ht="13.5">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ht="13.5">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ht="13.5">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ht="13.5">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ht="13.5">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ht="13.5">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ht="13.5">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ht="13.5">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ht="13.5">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ht="13.5">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ht="13.5">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ht="13.5">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ht="13.5">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ht="13.5">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ht="13.5">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ht="13.5">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ht="13.5">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ht="13.5">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ht="13.5">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ht="13.5">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ht="13.5">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ht="13.5">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ht="13.5">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ht="13.5">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ht="13.5">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ht="13.5">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ht="13.5">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ht="13.5">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ht="13.5">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ht="13.5">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ht="13.5">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ht="13.5">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ht="13.5">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ht="13.5">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ht="13.5">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ht="13.5">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ht="13.5">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ht="13.5">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ht="13.5">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ht="13.5">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ht="13.5">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ht="13.5">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ht="13.5">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ht="13.5">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ht="13.5">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ht="13.5">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ht="13.5">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ht="13.5">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ht="13.5">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ht="13.5">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ht="13.5">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ht="13.5">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ht="13.5">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ht="13.5">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ht="13.5">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ht="13.5">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ht="13.5">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ht="13.5">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ht="13.5">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ht="13.5">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ht="13.5">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ht="13.5">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ht="13.5">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ht="13.5">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ht="13.5">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ht="13.5">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ht="13.5">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ht="13.5">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ht="13.5">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ht="13.5">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ht="13.5">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ht="13.5">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ht="13.5">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ht="13.5">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ht="13.5">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ht="13.5">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ht="13.5">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ht="13.5">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ht="13.5">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ht="13.5">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ht="13.5">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ht="13.5">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ht="13.5">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ht="13.5">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ht="13.5">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ht="13.5">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ht="13.5">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ht="13.5">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ht="13.5">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ht="13.5">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ht="13.5">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ht="13.5">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ht="13.5">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ht="13.5">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ht="13.5">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ht="13.5">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ht="13.5">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ht="13.5">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ht="13.5">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ht="13.5">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ht="13.5">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ht="13.5">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ht="13.5">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ht="13.5">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ht="13.5">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ht="13.5">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ht="13.5">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ht="13.5">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ht="13.5">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Douglasville, Peaks of Douglas,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6948</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6949</v>
      </c>
      <c r="H5" s="1819"/>
      <c r="I5" s="1819"/>
      <c r="J5" s="1819"/>
      <c r="K5" s="1819"/>
      <c r="L5" s="2615"/>
      <c r="M5" s="1819"/>
      <c r="N5" s="1819"/>
      <c r="O5" s="1819"/>
      <c r="P5" s="2620" t="s">
        <v>3288</v>
      </c>
    </row>
    <row r="6" spans="1:26" ht="14.25" customHeight="1">
      <c r="A6" s="2618"/>
      <c r="B6" s="2618"/>
      <c r="C6" s="2618"/>
      <c r="D6" s="2618"/>
      <c r="E6" s="2621"/>
      <c r="F6" s="2615"/>
      <c r="G6" s="2619" t="s">
        <v>6950</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2191</v>
      </c>
      <c r="C9" s="1819"/>
      <c r="D9" s="378"/>
      <c r="E9" s="1622"/>
      <c r="F9" s="2623" t="s">
        <v>3265</v>
      </c>
      <c r="G9" s="1819"/>
      <c r="H9" s="1819"/>
      <c r="I9" s="2543">
        <f>'Part III-A-Uses of Funds'!$J$191</f>
        <v>1135000</v>
      </c>
      <c r="J9" s="2543"/>
      <c r="K9" s="1819"/>
      <c r="L9" s="1819" t="s">
        <v>3266</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1890</v>
      </c>
      <c r="C11" s="1819"/>
      <c r="D11" s="1819"/>
      <c r="E11" s="1819"/>
      <c r="F11" s="2626" t="str">
        <f>'Part I-Project Identification'!F12</f>
        <v>9% Credit Competitive Round only</v>
      </c>
      <c r="G11" s="2626"/>
      <c r="H11" s="2626"/>
      <c r="I11" s="2627" t="s">
        <v>6951</v>
      </c>
      <c r="J11" s="2614" t="s">
        <v>6952</v>
      </c>
      <c r="K11" s="2614"/>
      <c r="L11" s="1622"/>
      <c r="M11" s="1819"/>
      <c r="N11" s="1819"/>
      <c r="O11" s="1819" t="str">
        <f>'Part I-Project Identification'!O12</f>
        <v>2023PA-009</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3671</v>
      </c>
      <c r="C13" s="1819"/>
      <c r="D13" s="2623"/>
      <c r="E13" s="1622"/>
      <c r="F13" s="1819"/>
      <c r="G13" s="1622"/>
      <c r="H13" s="1622"/>
      <c r="I13" s="1622"/>
      <c r="J13" s="1819"/>
      <c r="K13" s="1819"/>
      <c r="L13" s="2625"/>
      <c r="M13" s="1819"/>
      <c r="N13" s="1819"/>
      <c r="O13" s="1819"/>
      <c r="P13" s="1819"/>
    </row>
    <row r="14" spans="1:26">
      <c r="A14" s="1819"/>
      <c r="B14" s="1819" t="s">
        <v>3294</v>
      </c>
      <c r="C14" s="1819"/>
      <c r="D14" s="1819"/>
      <c r="E14" s="1819"/>
      <c r="F14" s="1819" t="str">
        <f>'Part I-Project Identification'!F15</f>
        <v>Landbridge Development, LLC</v>
      </c>
      <c r="G14" s="1819"/>
      <c r="H14" s="1819"/>
      <c r="I14" s="1819" t="s">
        <v>1670</v>
      </c>
      <c r="J14" s="1819" t="str">
        <f>'Part I-Project Identification'!J15</f>
        <v>D'Anne Hilsmier</v>
      </c>
      <c r="K14" s="1819"/>
      <c r="L14" s="1819"/>
      <c r="M14" s="2623" t="s">
        <v>1838</v>
      </c>
      <c r="N14" s="1819" t="str">
        <f>'Part I-Project Identification'!N15</f>
        <v>Application Manager</v>
      </c>
      <c r="O14" s="1819"/>
      <c r="P14" s="1819"/>
    </row>
    <row r="15" spans="1:26" s="1819" customFormat="1" ht="12.75" customHeight="1">
      <c r="B15" s="2623" t="s">
        <v>1599</v>
      </c>
      <c r="F15" s="2628">
        <f>'Part I-Project Identification'!F16</f>
        <v>7704810855</v>
      </c>
      <c r="G15" s="2628"/>
      <c r="H15" s="2628"/>
      <c r="I15" s="2623" t="s">
        <v>1598</v>
      </c>
      <c r="J15" s="2629">
        <f>'Part I-Project Identification'!J16</f>
        <v>103</v>
      </c>
      <c r="M15" s="2623" t="s">
        <v>1600</v>
      </c>
      <c r="N15" s="2628">
        <f>'Part I-Project Identification'!N16</f>
        <v>6786384181</v>
      </c>
      <c r="O15" s="2628"/>
      <c r="P15" s="2628"/>
      <c r="Q15" s="357"/>
      <c r="R15" s="357"/>
      <c r="S15" s="357"/>
      <c r="V15" s="2630"/>
      <c r="W15" s="2630"/>
      <c r="X15" s="2630"/>
      <c r="Z15" s="1622">
        <v>18</v>
      </c>
    </row>
    <row r="16" spans="1:26" s="1819" customFormat="1">
      <c r="B16" s="2623" t="s">
        <v>1841</v>
      </c>
      <c r="F16" s="2631" t="str">
        <f>'Part I-Project Identification'!F17</f>
        <v>d_anne@grhco.com</v>
      </c>
      <c r="G16" s="2631"/>
      <c r="H16" s="2631"/>
      <c r="I16" s="2631"/>
      <c r="J16" s="2631"/>
      <c r="K16" s="2631"/>
      <c r="L16" s="2631"/>
      <c r="M16" s="2623" t="s">
        <v>1837</v>
      </c>
      <c r="N16" s="2628">
        <f>'Part I-Project Identification'!N17</f>
        <v>7703109311</v>
      </c>
      <c r="O16" s="2628"/>
      <c r="P16" s="2628"/>
      <c r="Q16" s="357"/>
      <c r="R16" s="357"/>
      <c r="S16" s="357"/>
      <c r="U16" s="2630"/>
      <c r="V16" s="2630"/>
      <c r="W16" s="2630"/>
      <c r="X16" s="2630"/>
      <c r="Z16" s="1622">
        <v>19</v>
      </c>
    </row>
    <row r="17" spans="1:26">
      <c r="A17" s="2615"/>
      <c r="B17" s="2614" t="s">
        <v>3670</v>
      </c>
      <c r="C17" s="378"/>
      <c r="D17" s="1819"/>
      <c r="E17" s="1819"/>
      <c r="F17" s="1819"/>
      <c r="G17" s="1819"/>
      <c r="H17" s="1622"/>
      <c r="I17" s="1819"/>
      <c r="J17" s="378"/>
      <c r="K17" s="1819"/>
      <c r="L17" s="1819"/>
      <c r="M17" s="1819"/>
      <c r="N17" s="1819"/>
      <c r="O17" s="1819"/>
      <c r="P17" s="1622"/>
    </row>
    <row r="18" spans="1:26">
      <c r="A18" s="1819"/>
      <c r="B18" s="1819" t="s">
        <v>3294</v>
      </c>
      <c r="C18" s="1819"/>
      <c r="D18" s="1819"/>
      <c r="E18" s="1819"/>
      <c r="F18" s="1819" t="str">
        <f>'Part I-Project Identification'!F19</f>
        <v>Landbridge Development, LLC</v>
      </c>
      <c r="G18" s="1819"/>
      <c r="H18" s="1819"/>
      <c r="I18" s="1819" t="s">
        <v>1670</v>
      </c>
      <c r="J18" s="1819" t="str">
        <f>'Part I-Project Identification'!J19</f>
        <v>Gary Hammond</v>
      </c>
      <c r="K18" s="1819"/>
      <c r="L18" s="1819"/>
      <c r="M18" s="2623" t="s">
        <v>1838</v>
      </c>
      <c r="N18" s="1819" t="str">
        <f>'Part I-Project Identification'!N19</f>
        <v>Principal</v>
      </c>
      <c r="O18" s="1819"/>
      <c r="P18" s="1819"/>
    </row>
    <row r="19" spans="1:26" s="1819" customFormat="1" ht="12.75" customHeight="1">
      <c r="B19" s="2623" t="s">
        <v>1599</v>
      </c>
      <c r="F19" s="2628">
        <f>'Part I-Project Identification'!F20</f>
        <v>7704810855</v>
      </c>
      <c r="G19" s="2628"/>
      <c r="H19" s="2628"/>
      <c r="I19" s="2623" t="s">
        <v>1598</v>
      </c>
      <c r="J19" s="2629">
        <f>'Part I-Project Identification'!J20</f>
        <v>101</v>
      </c>
      <c r="M19" s="2623" t="s">
        <v>1600</v>
      </c>
      <c r="N19" s="2628">
        <f>'Part I-Project Identification'!N20</f>
        <v>7704810853</v>
      </c>
      <c r="O19" s="2628"/>
      <c r="P19" s="2628"/>
      <c r="Q19" s="357"/>
      <c r="R19" s="357"/>
      <c r="S19" s="357"/>
      <c r="V19" s="2630"/>
      <c r="W19" s="2630"/>
      <c r="X19" s="2630"/>
      <c r="Z19" s="1622">
        <v>18</v>
      </c>
    </row>
    <row r="20" spans="1:26" s="1819" customFormat="1">
      <c r="B20" s="2623" t="s">
        <v>1841</v>
      </c>
      <c r="F20" s="2631" t="str">
        <f>'Part I-Project Identification'!F21</f>
        <v>grh@grhco.com</v>
      </c>
      <c r="G20" s="2631"/>
      <c r="H20" s="2631"/>
      <c r="I20" s="2631"/>
      <c r="J20" s="2631"/>
      <c r="K20" s="2631"/>
      <c r="L20" s="2631"/>
      <c r="M20" s="2623" t="s">
        <v>1837</v>
      </c>
      <c r="N20" s="2628">
        <f>'Part I-Project Identification'!N21</f>
        <v>4045430855</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Peaks of Douglas</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Douglasville</v>
      </c>
      <c r="G25" s="1819"/>
      <c r="H25" s="1819"/>
      <c r="I25" s="2632" t="s">
        <v>576</v>
      </c>
      <c r="J25" s="1819" t="str">
        <f>'Part I-Project Identification'!J26</f>
        <v>Douglas</v>
      </c>
      <c r="K25" s="1819"/>
      <c r="L25" s="1819"/>
      <c r="M25" s="2623" t="s">
        <v>426</v>
      </c>
      <c r="N25" s="1819"/>
      <c r="O25" s="1819"/>
      <c r="P25" s="2545" t="str">
        <f>'Part I-Project Identification'!P26</f>
        <v>No</v>
      </c>
    </row>
    <row r="26" spans="1:26" ht="13.5">
      <c r="A26" s="2615"/>
      <c r="B26" s="1819" t="s">
        <v>3905</v>
      </c>
      <c r="C26" s="2633"/>
      <c r="D26" s="1681"/>
      <c r="E26" s="1681"/>
      <c r="F26" s="1819" t="str">
        <f>'Part I-Project Identification'!F27</f>
        <v>Unincorporated County</v>
      </c>
      <c r="G26" s="1819"/>
      <c r="H26" s="1819"/>
      <c r="I26" s="1622"/>
      <c r="J26" s="379" t="s">
        <v>6722</v>
      </c>
      <c r="K26" s="1622"/>
      <c r="L26" s="1819"/>
      <c r="M26" s="2623" t="s">
        <v>6665</v>
      </c>
      <c r="N26" s="1819"/>
      <c r="O26" s="2634">
        <f>'Part I-Project Identification'!O27</f>
        <v>10.79</v>
      </c>
      <c r="P26" s="2634"/>
    </row>
    <row r="27" spans="1:26">
      <c r="A27" s="2615"/>
      <c r="B27" s="1819" t="s">
        <v>1455</v>
      </c>
      <c r="C27" s="1819"/>
      <c r="D27" s="1819"/>
      <c r="E27" s="1819"/>
      <c r="F27" s="2623" t="str">
        <f>'Part I-Project Identification'!F28</f>
        <v>No</v>
      </c>
      <c r="G27" s="1819"/>
      <c r="H27" s="1819"/>
      <c r="I27" s="1622"/>
      <c r="J27" s="1622" t="s">
        <v>2498</v>
      </c>
      <c r="K27" s="1622" t="str">
        <f>IF(F27="Yes","Rural","Urban")</f>
        <v>Urban</v>
      </c>
      <c r="L27" s="1819"/>
      <c r="M27" s="2623" t="s">
        <v>2398</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6652</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6651</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3085</v>
      </c>
      <c r="M33" s="1819"/>
      <c r="N33" s="1819"/>
      <c r="O33" s="1819"/>
      <c r="P33" s="1681"/>
    </row>
    <row r="34" spans="1:17">
      <c r="A34" s="2615"/>
      <c r="B34" s="2614"/>
      <c r="C34" s="1819" t="s">
        <v>3931</v>
      </c>
      <c r="D34" s="1819"/>
      <c r="E34" s="1819"/>
      <c r="F34" s="1819"/>
      <c r="G34" s="1819"/>
      <c r="H34" s="1819"/>
      <c r="I34" s="1681"/>
      <c r="J34" s="2632" t="s">
        <v>2482</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5">
      <c r="A40" s="2639" t="str">
        <f>'Part I-Project Identification'!A41</f>
        <v>A pre-application was submitted in 2022 at Pre-App for this project and received a determination of "Qualified".  The same project team received a "Qualified" determination with a 2023 Pre-App for another project.  We have included these determinations and an updated performance workbook within the application.</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Peaks of Douglas, Douglasville, Douglas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2218</v>
      </c>
      <c r="D49" s="1819"/>
      <c r="E49" s="1622" t="str">
        <f>'Part II-Sources of Funds'!E6</f>
        <v>No</v>
      </c>
      <c r="F49" s="2619" t="s">
        <v>6078</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3875</v>
      </c>
      <c r="D50" s="1819"/>
      <c r="E50" s="1622" t="str">
        <f>'Part II-Sources of Funds'!E7</f>
        <v>No</v>
      </c>
      <c r="F50" s="2619" t="s">
        <v>6079</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6659</v>
      </c>
      <c r="D51" s="2641"/>
      <c r="E51" s="2641"/>
      <c r="F51" s="2641" t="s">
        <v>6662</v>
      </c>
      <c r="G51" s="2641"/>
      <c r="H51" s="2641" t="str">
        <f>'Part II-Sources of Funds'!H8</f>
        <v>Specify Other HOME Source here</v>
      </c>
      <c r="I51" s="2641"/>
      <c r="J51" s="2641"/>
      <c r="K51" s="2641"/>
      <c r="L51" s="1622" t="str">
        <f>'Part II-Sources of Funds'!L8</f>
        <v>No</v>
      </c>
      <c r="M51" s="2619" t="s">
        <v>6664</v>
      </c>
      <c r="N51" s="2641"/>
      <c r="O51" s="2641"/>
      <c r="P51" s="2639"/>
      <c r="Q51" s="2639"/>
    </row>
    <row r="52" spans="1:17" ht="13.5">
      <c r="A52" s="2615"/>
      <c r="B52" s="1622" t="str">
        <f>'Part II-Sources of Funds'!B9</f>
        <v>No</v>
      </c>
      <c r="C52" s="2641" t="s">
        <v>3299</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3876</v>
      </c>
      <c r="N52" s="2641"/>
      <c r="O52" s="2641"/>
      <c r="P52" s="2641"/>
      <c r="Q52" s="2639"/>
    </row>
    <row r="53" spans="1:17" ht="13.5">
      <c r="A53" s="2615"/>
      <c r="B53" s="1622" t="str">
        <f>'Part II-Sources of Funds'!B10</f>
        <v>No</v>
      </c>
      <c r="C53" s="2619" t="s">
        <v>2393</v>
      </c>
      <c r="D53" s="2641"/>
      <c r="E53" s="2641"/>
      <c r="F53" s="2641" t="str">
        <f>'Part II-Sources of Funds'!F10</f>
        <v>Specify Source/Administrator of Other FEDERAL Funding here</v>
      </c>
      <c r="G53" s="2641"/>
      <c r="H53" s="2641"/>
      <c r="I53" s="2641"/>
      <c r="J53" s="2641"/>
      <c r="K53" s="2641"/>
      <c r="L53" s="1622" t="str">
        <f>'Part II-Sources of Funds'!L10</f>
        <v>No</v>
      </c>
      <c r="M53" s="2619" t="s">
        <v>3191</v>
      </c>
      <c r="N53" s="2641"/>
      <c r="O53" s="2641"/>
      <c r="P53" s="2639"/>
      <c r="Q53" s="2639"/>
    </row>
    <row r="54" spans="1:17" ht="13.5">
      <c r="A54" s="2615"/>
      <c r="B54" s="1622" t="str">
        <f>'Part II-Sources of Funds'!B11</f>
        <v>No</v>
      </c>
      <c r="C54" s="2619" t="s">
        <v>2394</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2397</v>
      </c>
      <c r="N54" s="2641"/>
      <c r="O54" s="2641"/>
      <c r="P54" s="2641"/>
      <c r="Q54" s="2641"/>
    </row>
    <row r="55" spans="1:17" ht="13.5">
      <c r="A55" s="2615"/>
      <c r="B55" s="1622" t="str">
        <f>'Part II-Sources of Funds'!B12</f>
        <v>No</v>
      </c>
      <c r="C55" s="2619" t="s">
        <v>3192</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3218</v>
      </c>
      <c r="N55" s="2641"/>
      <c r="O55" s="2641"/>
      <c r="P55" s="2641"/>
      <c r="Q55" s="2641"/>
    </row>
    <row r="56" spans="1:17" ht="13.5">
      <c r="A56" s="2615"/>
      <c r="B56" s="1622" t="str">
        <f>'Part II-Sources of Funds'!B13</f>
        <v>No</v>
      </c>
      <c r="C56" s="2619" t="s">
        <v>6661</v>
      </c>
      <c r="D56" s="2641"/>
      <c r="E56" s="1622" t="str">
        <f>'Part II-Sources of Funds'!E13</f>
        <v>No</v>
      </c>
      <c r="F56" s="2619" t="s">
        <v>6663</v>
      </c>
      <c r="G56" s="2641"/>
      <c r="H56" s="2641" t="str">
        <f>'Part II-Sources of Funds'!H13</f>
        <v>Specify Other PBRA Source here</v>
      </c>
      <c r="I56" s="2641"/>
      <c r="J56" s="2641"/>
      <c r="K56" s="2641"/>
      <c r="L56" s="1622" t="str">
        <f>'Part II-Sources of Funds'!L13</f>
        <v>No</v>
      </c>
      <c r="M56" s="2641" t="s">
        <v>6077</v>
      </c>
      <c r="N56" s="2641"/>
      <c r="O56" s="2641"/>
      <c r="P56" s="2641"/>
      <c r="Q56" s="2641"/>
    </row>
    <row r="57" spans="1:17" ht="13.5">
      <c r="A57" s="2615"/>
      <c r="B57" s="1622" t="str">
        <f>'Part II-Sources of Funds'!B14</f>
        <v>No</v>
      </c>
      <c r="C57" s="2641" t="s">
        <v>2396</v>
      </c>
      <c r="D57" s="2641"/>
      <c r="E57" s="1622" t="str">
        <f>'Part II-Sources of Funds'!E14</f>
        <v>No</v>
      </c>
      <c r="F57" s="2619" t="s">
        <v>3298</v>
      </c>
      <c r="G57" s="2641"/>
      <c r="H57" s="2641"/>
      <c r="I57" s="2641"/>
      <c r="J57" s="2641"/>
      <c r="K57" s="2641"/>
      <c r="L57" s="1622" t="str">
        <f>'Part II-Sources of Funds'!L14</f>
        <v>No</v>
      </c>
      <c r="M57" s="2641" t="s">
        <v>6709</v>
      </c>
      <c r="N57" s="2641"/>
      <c r="O57" s="2641"/>
      <c r="P57" s="2641"/>
      <c r="Q57" s="2641"/>
    </row>
    <row r="58" spans="1:17" ht="13.5">
      <c r="A58" s="2615"/>
      <c r="B58" s="1622" t="str">
        <f>'Part II-Sources of Funds'!B15</f>
        <v>No</v>
      </c>
      <c r="C58" s="2641" t="s">
        <v>3217</v>
      </c>
      <c r="D58" s="2641"/>
      <c r="E58" s="1622" t="str">
        <f>'Part II-Sources of Funds'!E15</f>
        <v>No</v>
      </c>
      <c r="F58" s="2619" t="s">
        <v>6080</v>
      </c>
      <c r="G58" s="2641"/>
      <c r="H58" s="2641"/>
      <c r="I58" s="2641"/>
      <c r="J58" s="2641"/>
      <c r="K58" s="2641"/>
      <c r="L58" s="1622" t="str">
        <f>'Part II-Sources of Funds'!L15</f>
        <v>No</v>
      </c>
      <c r="M58" s="2644" t="s">
        <v>6081</v>
      </c>
      <c r="N58" s="2641"/>
      <c r="O58" s="2641"/>
      <c r="P58" s="2641"/>
      <c r="Q58" s="2641"/>
    </row>
    <row r="59" spans="1:17" ht="13.5">
      <c r="A59" s="2615"/>
      <c r="B59" s="1622" t="str">
        <f>'Part II-Sources of Funds'!B16</f>
        <v>No</v>
      </c>
      <c r="C59" s="2619" t="s">
        <v>1673</v>
      </c>
      <c r="D59" s="2641"/>
      <c r="E59" s="1622" t="str">
        <f>'Part II-Sources of Funds'!E16</f>
        <v>No</v>
      </c>
      <c r="F59" s="2619" t="s">
        <v>6498</v>
      </c>
      <c r="G59" s="2641"/>
      <c r="H59" s="2641"/>
      <c r="I59" s="2643">
        <f>'Part II-Sources of Funds'!I16</f>
        <v>0</v>
      </c>
      <c r="J59" s="359"/>
      <c r="K59" s="2641"/>
      <c r="L59" s="1622" t="str">
        <f>'Part II-Sources of Funds'!L16</f>
        <v>No</v>
      </c>
      <c r="M59" s="2644" t="s">
        <v>6076</v>
      </c>
      <c r="N59" s="2641"/>
      <c r="O59" s="2641"/>
      <c r="P59" s="2641"/>
      <c r="Q59" s="2641"/>
    </row>
    <row r="60" spans="1:17" ht="13.5">
      <c r="A60" s="2615"/>
      <c r="B60" s="2641" t="s">
        <v>3877</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2164</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1733</v>
      </c>
      <c r="C64" s="1819"/>
      <c r="D64" s="1819"/>
      <c r="E64" s="1819"/>
      <c r="F64" s="1819"/>
      <c r="G64" s="1819"/>
      <c r="H64" s="1819" t="s">
        <v>1220</v>
      </c>
      <c r="I64" s="1819"/>
      <c r="J64" s="1819"/>
      <c r="K64" s="1819"/>
      <c r="L64" s="1819" t="s">
        <v>3843</v>
      </c>
      <c r="M64" s="1819"/>
      <c r="N64" s="1819" t="s">
        <v>1410</v>
      </c>
      <c r="O64" s="1819"/>
      <c r="P64" s="1819" t="s">
        <v>1523</v>
      </c>
      <c r="Q64" s="1819"/>
    </row>
    <row r="65" spans="1:17" ht="25.5">
      <c r="A65" s="1819"/>
      <c r="B65" s="1819" t="s">
        <v>1486</v>
      </c>
      <c r="C65" s="1819"/>
      <c r="D65" s="1819"/>
      <c r="E65" s="1819"/>
      <c r="F65" s="1819"/>
      <c r="G65" s="1819"/>
      <c r="H65" s="2645" t="str">
        <f>'Part II-Sources of Funds'!H22</f>
        <v>Sterling Bank</v>
      </c>
      <c r="I65" s="2645"/>
      <c r="J65" s="2645"/>
      <c r="K65" s="2645"/>
      <c r="L65" s="2547">
        <f>'Part II-Sources of Funds'!L22</f>
        <v>12300000</v>
      </c>
      <c r="M65" s="2547"/>
      <c r="N65" s="2548">
        <f>'Part II-Sources of Funds'!N22</f>
        <v>7.7499999999999999E-2</v>
      </c>
      <c r="O65" s="2548"/>
      <c r="P65" s="2549">
        <f>'Part II-Sources of Funds'!P22</f>
        <v>24</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2046</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38.25">
      <c r="A71" s="1819"/>
      <c r="B71" s="1819" t="s">
        <v>746</v>
      </c>
      <c r="C71" s="1819"/>
      <c r="D71" s="1819"/>
      <c r="E71" s="1819"/>
      <c r="F71" s="2641"/>
      <c r="G71" s="2641"/>
      <c r="H71" s="2645" t="str">
        <f>'Part II-Sources of Funds'!H28</f>
        <v>Affordable Equity Partners</v>
      </c>
      <c r="I71" s="2645"/>
      <c r="J71" s="2645"/>
      <c r="K71" s="2645"/>
      <c r="L71" s="2547">
        <f>'Part II-Sources of Funds'!L28</f>
        <v>2593517</v>
      </c>
      <c r="M71" s="2547"/>
      <c r="N71" s="1819"/>
      <c r="O71" s="2641"/>
      <c r="P71" s="2641"/>
      <c r="Q71" s="1819"/>
    </row>
    <row r="72" spans="1:17" ht="38.25">
      <c r="A72" s="1819"/>
      <c r="B72" s="1819" t="s">
        <v>747</v>
      </c>
      <c r="C72" s="1819"/>
      <c r="D72" s="1819"/>
      <c r="E72" s="1819"/>
      <c r="F72" s="2641"/>
      <c r="G72" s="2641"/>
      <c r="H72" s="2645" t="str">
        <f>'Part II-Sources of Funds'!H29</f>
        <v>Affordable Equity Partners</v>
      </c>
      <c r="I72" s="2645"/>
      <c r="J72" s="2645"/>
      <c r="K72" s="2645"/>
      <c r="L72" s="2547">
        <f>'Part II-Sources of Funds'!L29</f>
        <v>1326552</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16220069</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16220068.920000002</v>
      </c>
      <c r="M77" s="2550"/>
      <c r="N77" s="2646"/>
      <c r="O77" s="2641"/>
      <c r="P77" s="2641"/>
      <c r="Q77" s="2641"/>
    </row>
    <row r="78" spans="1:17" ht="13.5">
      <c r="A78" s="1819"/>
      <c r="B78" s="2623" t="s">
        <v>2001</v>
      </c>
      <c r="C78" s="1819"/>
      <c r="D78" s="1819"/>
      <c r="E78" s="1819"/>
      <c r="F78" s="1819"/>
      <c r="G78" s="1819"/>
      <c r="H78" s="1819"/>
      <c r="I78" s="1819"/>
      <c r="J78" s="2641"/>
      <c r="K78" s="2641"/>
      <c r="L78" s="2647">
        <f>L76-L77</f>
        <v>7.9999998211860657E-2</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1947</v>
      </c>
      <c r="L81" s="1622" t="s">
        <v>1218</v>
      </c>
      <c r="M81" s="1622" t="s">
        <v>1223</v>
      </c>
      <c r="N81" s="2641"/>
      <c r="O81" s="2641"/>
      <c r="P81" s="2646" t="s">
        <v>31</v>
      </c>
      <c r="Q81" s="2646"/>
    </row>
    <row r="82" spans="1:17">
      <c r="A82" s="1819"/>
      <c r="B82" s="2623" t="s">
        <v>1733</v>
      </c>
      <c r="C82" s="1819"/>
      <c r="D82" s="1819"/>
      <c r="E82" s="1819" t="s">
        <v>1220</v>
      </c>
      <c r="F82" s="1819"/>
      <c r="G82" s="1819"/>
      <c r="H82" s="1819"/>
      <c r="I82" s="1819" t="s">
        <v>3842</v>
      </c>
      <c r="J82" s="1819"/>
      <c r="K82" s="1622" t="s">
        <v>1675</v>
      </c>
      <c r="L82" s="1622" t="s">
        <v>2045</v>
      </c>
      <c r="M82" s="1622" t="s">
        <v>2045</v>
      </c>
      <c r="N82" s="1819" t="s">
        <v>69</v>
      </c>
      <c r="O82" s="1819"/>
      <c r="P82" s="2646"/>
      <c r="Q82" s="2646"/>
    </row>
    <row r="83" spans="1:17" ht="51">
      <c r="A83" s="1819"/>
      <c r="B83" s="1819" t="s">
        <v>2401</v>
      </c>
      <c r="C83" s="1819"/>
      <c r="D83" s="1819"/>
      <c r="E83" s="2645" t="str">
        <f>'Part II-Sources of Funds'!E40</f>
        <v>BWE Freddie Mac 9% Forward</v>
      </c>
      <c r="F83" s="2645"/>
      <c r="G83" s="2645"/>
      <c r="H83" s="2645"/>
      <c r="I83" s="2648">
        <f>'Part II-Sources of Funds'!I40</f>
        <v>2600000</v>
      </c>
      <c r="J83" s="1819"/>
      <c r="K83" s="2649">
        <f>'Part II-Sources of Funds'!K40</f>
        <v>6.3E-2</v>
      </c>
      <c r="L83" s="1622">
        <f>'Part II-Sources of Funds'!L40</f>
        <v>15</v>
      </c>
      <c r="M83" s="1622">
        <f>'Part II-Sources of Funds'!M40</f>
        <v>35</v>
      </c>
      <c r="N83" s="1819" t="str">
        <f>'Part II-Sources of Funds'!N40</f>
        <v>Amortizing</v>
      </c>
      <c r="O83" s="1819"/>
      <c r="P83" s="2551">
        <f>'Part II-Sources of Funds'!P40</f>
        <v>184228.81698972473</v>
      </c>
      <c r="Q83" s="2551"/>
    </row>
    <row r="84" spans="1:17">
      <c r="A84" s="1819"/>
      <c r="B84" s="1819" t="s">
        <v>2402</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2403</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3942</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0.31816323822163239</v>
      </c>
      <c r="E88" s="2645" t="str">
        <f>'Part II-Sources of Funds'!E45</f>
        <v>Deferred Developer Fee</v>
      </c>
      <c r="F88" s="2645"/>
      <c r="G88" s="2645"/>
      <c r="H88" s="2645"/>
      <c r="I88" s="2648">
        <f>'Part II-Sources of Funds'!I45</f>
        <v>479472</v>
      </c>
      <c r="J88" s="1819"/>
      <c r="K88" s="2649">
        <f>'Part II-Sources of Funds'!K45</f>
        <v>0</v>
      </c>
      <c r="L88" s="1622">
        <f>'Part II-Sources of Funds'!L45</f>
        <v>0</v>
      </c>
      <c r="M88" s="1622">
        <f>'Part II-Sources of Funds'!M45</f>
        <v>0</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3404</v>
      </c>
      <c r="C90" s="1819"/>
      <c r="D90" s="2641"/>
      <c r="E90" s="2641" t="s">
        <v>3362</v>
      </c>
      <c r="F90" s="2653" t="e">
        <f>'Part II-Sources of Funds'!F47</f>
        <v>#N/A</v>
      </c>
      <c r="G90" s="2641"/>
      <c r="H90" s="2654" t="s">
        <v>3403</v>
      </c>
      <c r="I90" s="2653" t="e">
        <f>'Part II-Sources of Funds'!I47</f>
        <v>#N/A</v>
      </c>
      <c r="J90" s="2641"/>
      <c r="K90" s="2654" t="s">
        <v>3405</v>
      </c>
      <c r="L90" s="2655" t="e">
        <f>'Part II-Sources of Funds'!L47</f>
        <v>#N/A</v>
      </c>
      <c r="M90" s="2655"/>
      <c r="N90" s="2551" t="s">
        <v>3846</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2046</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38.25">
      <c r="A94" s="1819"/>
      <c r="B94" s="1819" t="s">
        <v>746</v>
      </c>
      <c r="C94" s="1819"/>
      <c r="D94" s="1819"/>
      <c r="E94" s="2645" t="str">
        <f>'Part II-Sources of Funds'!E51</f>
        <v>Affordable Equity Partners</v>
      </c>
      <c r="F94" s="2645"/>
      <c r="G94" s="2645"/>
      <c r="H94" s="2645"/>
      <c r="I94" s="2648">
        <f>'Part II-Sources of Funds'!I51</f>
        <v>9987001</v>
      </c>
      <c r="J94" s="1819"/>
      <c r="K94" s="2641"/>
      <c r="L94" s="2659">
        <f>'Part II-Sources of Funds'!L51</f>
        <v>9988000</v>
      </c>
      <c r="M94" s="2659"/>
      <c r="N94" s="2660">
        <f>I94-L94</f>
        <v>-999</v>
      </c>
      <c r="O94" s="2660"/>
      <c r="P94" s="2661">
        <f>I94/I104</f>
        <v>0.54951884196641487</v>
      </c>
      <c r="Q94" s="1819"/>
    </row>
    <row r="95" spans="1:17" ht="38.25">
      <c r="A95" s="1819"/>
      <c r="B95" s="1819" t="s">
        <v>747</v>
      </c>
      <c r="C95" s="1819"/>
      <c r="D95" s="1819"/>
      <c r="E95" s="2645" t="str">
        <f>'Part II-Sources of Funds'!E52</f>
        <v>Affordable Equity Partners</v>
      </c>
      <c r="F95" s="2645"/>
      <c r="G95" s="2645"/>
      <c r="H95" s="2645"/>
      <c r="I95" s="2648">
        <f>'Part II-Sources of Funds'!I52</f>
        <v>5107500</v>
      </c>
      <c r="J95" s="1819"/>
      <c r="K95" s="2641"/>
      <c r="L95" s="2659">
        <f>'Part II-Sources of Funds'!L52</f>
        <v>5107500</v>
      </c>
      <c r="M95" s="2659"/>
      <c r="N95" s="2660">
        <f>I95-L95</f>
        <v>0</v>
      </c>
      <c r="O95" s="2660"/>
      <c r="P95" s="2661">
        <f>I95/I104</f>
        <v>0.28103206211188564</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0.83055090407830057</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1731</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1732</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25.5">
      <c r="A102" s="1819"/>
      <c r="B102" s="1819" t="s">
        <v>690</v>
      </c>
      <c r="C102" s="2645" t="str">
        <f>'Part II-Sources of Funds'!C59</f>
        <v>GP Contribution</v>
      </c>
      <c r="D102" s="2645"/>
      <c r="E102" s="2645">
        <f>'Part II-Sources of Funds'!E59</f>
        <v>0</v>
      </c>
      <c r="F102" s="2645"/>
      <c r="G102" s="2645"/>
      <c r="H102" s="2645"/>
      <c r="I102" s="2648">
        <f>'Part II-Sources of Funds'!I59</f>
        <v>110</v>
      </c>
      <c r="J102" s="1819"/>
      <c r="K102" s="1819"/>
      <c r="L102" s="1622"/>
      <c r="M102" s="2645"/>
      <c r="N102" s="2645"/>
      <c r="O102" s="2645"/>
      <c r="P102" s="2645"/>
      <c r="Q102" s="1819"/>
    </row>
    <row r="103" spans="1:17" ht="13.5">
      <c r="A103" s="1819"/>
      <c r="B103" s="2623" t="s">
        <v>2047</v>
      </c>
      <c r="C103" s="1819"/>
      <c r="D103" s="1819"/>
      <c r="E103" s="1819"/>
      <c r="F103" s="1819"/>
      <c r="G103" s="1819"/>
      <c r="H103" s="2641"/>
      <c r="I103" s="2550">
        <f>SUM(I83:J88)+SUM(I92:J102)</f>
        <v>18174083</v>
      </c>
      <c r="J103" s="2550"/>
      <c r="K103" s="1819"/>
      <c r="L103" s="1622"/>
      <c r="M103" s="2645"/>
      <c r="N103" s="2645"/>
      <c r="O103" s="2645"/>
      <c r="P103" s="2645"/>
      <c r="Q103" s="1819"/>
    </row>
    <row r="104" spans="1:17" ht="13.5">
      <c r="A104" s="1819"/>
      <c r="B104" s="2623" t="s">
        <v>2048</v>
      </c>
      <c r="C104" s="1819"/>
      <c r="D104" s="1819"/>
      <c r="E104" s="1819"/>
      <c r="F104" s="1819"/>
      <c r="G104" s="1819"/>
      <c r="H104" s="2641"/>
      <c r="I104" s="2550">
        <f>'Part III-A-Uses of Funds'!$G$146</f>
        <v>18174082.920000002</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7.9999998211860657E-2</v>
      </c>
      <c r="J105" s="2647"/>
      <c r="K105" s="1819"/>
      <c r="L105" s="1622"/>
      <c r="M105" s="2645"/>
      <c r="N105" s="2645"/>
      <c r="O105" s="2645"/>
      <c r="P105" s="2645"/>
      <c r="Q105" s="1819"/>
    </row>
    <row r="106" spans="1:17">
      <c r="A106" s="1819" t="s">
        <v>3943</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Applicant has an equity commitment from Affordable Equity Partners which provides for the equity as listed above and a letter from Sterling Bank for a Construction and Permanent Loans in the amounts shown.  As is customary with any partnership an inital contribution will be made at closing by the GP/SLP representative of their partnership interests.  The DDF is under the 50% limit per the QAP and is repaid from cash flow in 15 years.
The Equity Check does not match because of the 0.01% to the General Partner.</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Peaks of Douglas,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1854</v>
      </c>
      <c r="C122" s="1819"/>
      <c r="D122" s="1819"/>
      <c r="E122" s="1819"/>
      <c r="F122" s="1819"/>
      <c r="G122" s="2547">
        <f>'Part III-A-Uses of Funds'!G9</f>
        <v>7500</v>
      </c>
      <c r="H122" s="2547"/>
      <c r="I122" s="1819"/>
      <c r="J122" s="2547">
        <f>'Part III-A-Uses of Funds'!J9</f>
        <v>7500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8600</v>
      </c>
      <c r="H123" s="2547"/>
      <c r="I123" s="1819"/>
      <c r="J123" s="2547">
        <f>'Part III-A-Uses of Funds'!J10</f>
        <v>8600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14400</v>
      </c>
      <c r="H124" s="2547"/>
      <c r="I124" s="1819"/>
      <c r="J124" s="2547">
        <f>'Part III-A-Uses of Funds'!J11</f>
        <v>14400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10250</v>
      </c>
      <c r="H125" s="2547"/>
      <c r="I125" s="1819"/>
      <c r="J125" s="2547">
        <f>'Part III-A-Uses of Funds'!J12</f>
        <v>10250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2300</v>
      </c>
      <c r="C126" s="1819"/>
      <c r="D126" s="1819"/>
      <c r="E126" s="1819"/>
      <c r="F126" s="1819"/>
      <c r="G126" s="2547">
        <f>'Part III-A-Uses of Funds'!G13</f>
        <v>17300</v>
      </c>
      <c r="H126" s="2547"/>
      <c r="I126" s="1819"/>
      <c r="J126" s="2547">
        <f>'Part III-A-Uses of Funds'!J13</f>
        <v>17300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5870</v>
      </c>
      <c r="H127" s="2547"/>
      <c r="I127" s="1819"/>
      <c r="J127" s="2547">
        <f>'Part III-A-Uses of Funds'!J14</f>
        <v>5870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6270</v>
      </c>
      <c r="C128" s="2667" t="str">
        <f>'Part III-A-Uses of Funds'!C15</f>
        <v>Engineer DD &amp; OPC</v>
      </c>
      <c r="D128" s="2667"/>
      <c r="E128" s="2667"/>
      <c r="F128" s="2667"/>
      <c r="G128" s="2547">
        <f>'Part III-A-Uses of Funds'!G15</f>
        <v>7500</v>
      </c>
      <c r="H128" s="2547"/>
      <c r="I128" s="1819"/>
      <c r="J128" s="2547">
        <f>'Part III-A-Uses of Funds'!J15</f>
        <v>7500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6271</v>
      </c>
      <c r="C129" s="2667" t="str">
        <f>'Part III-A-Uses of Funds'!C16</f>
        <v>Plan and Cost Review</v>
      </c>
      <c r="D129" s="2667"/>
      <c r="E129" s="2667"/>
      <c r="F129" s="2667"/>
      <c r="G129" s="2547">
        <f>'Part III-A-Uses of Funds'!G16</f>
        <v>5000</v>
      </c>
      <c r="H129" s="2547"/>
      <c r="I129" s="1819"/>
      <c r="J129" s="2547">
        <f>'Part III-A-Uses of Funds'!J16</f>
        <v>5000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6272</v>
      </c>
      <c r="C130" s="2667" t="str">
        <f>'Part III-A-Uses of Funds'!C17</f>
        <v>Traffic Study</v>
      </c>
      <c r="D130" s="2667"/>
      <c r="E130" s="2667"/>
      <c r="F130" s="2667"/>
      <c r="G130" s="2547">
        <f>'Part III-A-Uses of Funds'!G17</f>
        <v>8000</v>
      </c>
      <c r="H130" s="2547"/>
      <c r="I130" s="1819"/>
      <c r="J130" s="2547">
        <f>'Part III-A-Uses of Funds'!J17</f>
        <v>8000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84420</v>
      </c>
      <c r="H131" s="2547"/>
      <c r="I131" s="1819"/>
      <c r="J131" s="2547">
        <f>SUM(J122:J130)</f>
        <v>84420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2036</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2037</v>
      </c>
      <c r="C133" s="1819"/>
      <c r="D133" s="1819"/>
      <c r="E133" s="2670" t="s">
        <v>3219</v>
      </c>
      <c r="F133" s="2671">
        <f>IF('Part I-Project Identification'!$O$27="","",G133/'Part I-Project Identification'!$O$27)</f>
        <v>166867.46987951809</v>
      </c>
      <c r="G133" s="2547">
        <f>'Part III-A-Uses of Funds'!G20</f>
        <v>1800500</v>
      </c>
      <c r="H133" s="2547"/>
      <c r="I133" s="1819"/>
      <c r="J133" s="2545"/>
      <c r="K133" s="2547"/>
      <c r="L133" s="2545"/>
      <c r="M133" s="2545"/>
      <c r="N133" s="2547"/>
      <c r="O133" s="1819"/>
      <c r="P133" s="2545"/>
      <c r="Q133" s="2547"/>
      <c r="R133" s="1819"/>
      <c r="S133" s="2547">
        <f>'Part III-A-Uses of Funds'!S20</f>
        <v>1800500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1800500</v>
      </c>
      <c r="H137" s="2547"/>
      <c r="I137" s="1819"/>
      <c r="J137" s="2545"/>
      <c r="K137" s="2547"/>
      <c r="L137" s="2545"/>
      <c r="M137" s="2547">
        <f>SUM(M135:M136)</f>
        <v>0</v>
      </c>
      <c r="N137" s="2547"/>
      <c r="O137" s="1819"/>
      <c r="P137" s="2545"/>
      <c r="Q137" s="2547"/>
      <c r="R137" s="1819"/>
      <c r="S137" s="2547">
        <f>SUM(S133:S136)</f>
        <v>1800500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3219</v>
      </c>
      <c r="F139" s="2671">
        <f>IF('Part I-Project Identification'!$O$27="","",G139/'Part I-Project Identification'!$O$27)</f>
        <v>244256.62650602413</v>
      </c>
      <c r="G139" s="2547">
        <f>'Part III-A-Uses of Funds'!G26</f>
        <v>2635529</v>
      </c>
      <c r="H139" s="2547"/>
      <c r="I139" s="1819"/>
      <c r="J139" s="2547">
        <f>'Part III-A-Uses of Funds'!J26</f>
        <v>2503752</v>
      </c>
      <c r="K139" s="2547"/>
      <c r="L139" s="2545"/>
      <c r="M139" s="2547">
        <f>'Part III-A-Uses of Funds'!M26</f>
        <v>0</v>
      </c>
      <c r="N139" s="2547"/>
      <c r="O139" s="1819"/>
      <c r="P139" s="2547">
        <f>'Part III-A-Uses of Funds'!P26</f>
        <v>0</v>
      </c>
      <c r="Q139" s="2547"/>
      <c r="R139" s="1819"/>
      <c r="S139" s="2547">
        <f>'Part III-A-Uses of Funds'!S26</f>
        <v>131777</v>
      </c>
      <c r="T139" s="2547"/>
      <c r="U139" s="1819"/>
      <c r="V139" s="2665"/>
    </row>
    <row r="140" spans="1:22">
      <c r="A140" s="1819"/>
      <c r="B140" s="1819" t="s">
        <v>1057</v>
      </c>
      <c r="C140" s="1819"/>
      <c r="D140" s="1819"/>
      <c r="E140" s="1819"/>
      <c r="F140" s="1819"/>
      <c r="G140" s="2547">
        <f>'Part III-A-Uses of Funds'!G27</f>
        <v>83932</v>
      </c>
      <c r="H140" s="2547"/>
      <c r="I140" s="1819"/>
      <c r="J140" s="2547">
        <f>'Part III-A-Uses of Funds'!J27</f>
        <v>83932</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2719461</v>
      </c>
      <c r="H141" s="2547"/>
      <c r="I141" s="1819"/>
      <c r="J141" s="2547">
        <f>SUM(J139:J140)</f>
        <v>2587684</v>
      </c>
      <c r="K141" s="2547"/>
      <c r="L141" s="2545"/>
      <c r="M141" s="2547">
        <f>M139</f>
        <v>0</v>
      </c>
      <c r="N141" s="2547"/>
      <c r="O141" s="1819"/>
      <c r="P141" s="2547">
        <f>P139</f>
        <v>0</v>
      </c>
      <c r="Q141" s="2547"/>
      <c r="R141" s="1819"/>
      <c r="S141" s="2547">
        <f>SUM(S139:S140)</f>
        <v>131777</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7307466</v>
      </c>
      <c r="H143" s="2547"/>
      <c r="I143" s="1819"/>
      <c r="J143" s="2547">
        <f>'Part III-A-Uses of Funds'!J30</f>
        <v>7307466</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6087</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6085</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6086</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7307466</v>
      </c>
      <c r="H149" s="2547"/>
      <c r="I149" s="1819"/>
      <c r="J149" s="2547">
        <f>SUM(J143:J148)</f>
        <v>7307466</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2162</v>
      </c>
      <c r="C150" s="1819"/>
      <c r="D150" s="2626" t="s">
        <v>3223</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2163</v>
      </c>
      <c r="C151" s="1819"/>
      <c r="D151" s="2676">
        <f>'DCA Underwriting Assumptions'!$R$38</f>
        <v>0.06</v>
      </c>
      <c r="E151" s="2556">
        <f>ROUNDDOWN(D151*(G141+G149),0)</f>
        <v>601615</v>
      </c>
      <c r="F151" s="2676">
        <f>IF(($G$24+$G$32)=0,0,G151/($G$24+$G$32))</f>
        <v>0</v>
      </c>
      <c r="G151" s="2547">
        <f>'Part III-A-Uses of Funds'!G38</f>
        <v>601615</v>
      </c>
      <c r="H151" s="2547"/>
      <c r="I151" s="1819"/>
      <c r="J151" s="2547">
        <f>'Part III-A-Uses of Funds'!J38</f>
        <v>601615</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2474</v>
      </c>
      <c r="C152" s="1819"/>
      <c r="D152" s="2676">
        <f>'DCA Underwriting Assumptions'!$R$39</f>
        <v>0.02</v>
      </c>
      <c r="E152" s="2556">
        <f>ROUNDDOWN(D152*(G141+G149),0)</f>
        <v>200538</v>
      </c>
      <c r="F152" s="2676">
        <f>IF(($G$24+$G$32)=0,0,G152/($G$24+$G$32))</f>
        <v>0</v>
      </c>
      <c r="G152" s="2547">
        <f>'Part III-A-Uses of Funds'!G39</f>
        <v>200538</v>
      </c>
      <c r="H152" s="2547"/>
      <c r="I152" s="378"/>
      <c r="J152" s="2547">
        <f>'Part III-A-Uses of Funds'!J39</f>
        <v>200538</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2475</v>
      </c>
      <c r="C153" s="1819"/>
      <c r="D153" s="2676">
        <f>'DCA Underwriting Assumptions'!$R$40</f>
        <v>0.06</v>
      </c>
      <c r="E153" s="2556">
        <f>ROUNDDOWN(D153*(G141+G149),0)</f>
        <v>601615</v>
      </c>
      <c r="F153" s="2676">
        <f>IF(($G$24+$G$32)=0,0,G153/($G$24+$G$32))</f>
        <v>0</v>
      </c>
      <c r="G153" s="2547">
        <f>'Part III-A-Uses of Funds'!G40</f>
        <v>601615</v>
      </c>
      <c r="H153" s="2547"/>
      <c r="I153" s="378"/>
      <c r="J153" s="2547">
        <f>'Part III-A-Uses of Funds'!J40</f>
        <v>601615</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3224</v>
      </c>
      <c r="C154" s="1819"/>
      <c r="D154" s="2674">
        <f>SUM(D151:D153)</f>
        <v>0.14000000000000001</v>
      </c>
      <c r="E154" s="2677">
        <f>SUM(E151:E153)</f>
        <v>1403768</v>
      </c>
      <c r="F154" s="2669" t="s">
        <v>184</v>
      </c>
      <c r="G154" s="2547">
        <f>SUM(G151:G153)</f>
        <v>1403768</v>
      </c>
      <c r="H154" s="2547"/>
      <c r="I154" s="1819"/>
      <c r="J154" s="2547">
        <f>SUM(J151:J153)</f>
        <v>1403768</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6488</v>
      </c>
      <c r="D156" s="1819"/>
      <c r="E156" s="2615"/>
      <c r="F156" s="2615"/>
      <c r="G156" s="2679">
        <f>G141+G149+G154</f>
        <v>11430695</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6953</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6273</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6954</v>
      </c>
      <c r="C161" s="2681"/>
      <c r="D161" s="1819"/>
      <c r="E161" s="2616" t="s">
        <v>2477</v>
      </c>
      <c r="F161" s="2557">
        <f>C162/'Part V-Revenues &amp; Expenses'!$P$65</f>
        <v>204119.55357142858</v>
      </c>
      <c r="G161" s="2682" t="s">
        <v>6955</v>
      </c>
      <c r="H161" s="1819"/>
      <c r="I161" s="1819"/>
      <c r="J161" s="2558">
        <f>C162/'Part V-Revenues &amp; Expenses'!$P$67</f>
        <v>204119.55357142858</v>
      </c>
      <c r="K161" s="2558"/>
      <c r="L161" s="1819"/>
      <c r="M161" s="2683" t="s">
        <v>6474</v>
      </c>
      <c r="N161" s="2683"/>
      <c r="O161" s="1819"/>
      <c r="P161" s="2558">
        <f>C162/'Part V-Revenues &amp; Expenses'!$K$175</f>
        <v>205.68422283801777</v>
      </c>
      <c r="Q161" s="2558"/>
      <c r="R161" s="1819"/>
      <c r="S161" s="2684" t="s">
        <v>6476</v>
      </c>
      <c r="T161" s="2684"/>
      <c r="U161" s="1819"/>
      <c r="V161" s="2665"/>
    </row>
    <row r="162" spans="1:22" ht="13.5">
      <c r="A162" s="1819"/>
      <c r="B162" s="2685" t="s">
        <v>6487</v>
      </c>
      <c r="C162" s="2686">
        <f>G141+G149+G154+G159</f>
        <v>11430695</v>
      </c>
      <c r="D162" s="1819"/>
      <c r="E162" s="2616"/>
      <c r="F162" s="2557">
        <f>C162/'Part V-Revenues &amp; Expenses'!$P$166</f>
        <v>258.77694014307707</v>
      </c>
      <c r="G162" s="2684" t="s">
        <v>6956</v>
      </c>
      <c r="H162" s="1819"/>
      <c r="I162" s="1819"/>
      <c r="J162" s="2558">
        <f>C162/'Part V-Revenues &amp; Expenses'!$P$168</f>
        <v>258.77694014307707</v>
      </c>
      <c r="K162" s="2558"/>
      <c r="L162" s="1819"/>
      <c r="M162" s="2684" t="s">
        <v>6475</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6957</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6295</v>
      </c>
      <c r="C167" s="1819"/>
      <c r="D167" s="1819"/>
      <c r="E167" s="1819"/>
      <c r="F167" s="1320" t="s">
        <v>3409</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1820</v>
      </c>
      <c r="C168" s="378"/>
      <c r="D168" s="2670" t="s">
        <v>3408</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571534.75</v>
      </c>
      <c r="F168" s="2650">
        <f>G168/C162</f>
        <v>0.05</v>
      </c>
      <c r="G168" s="2547">
        <f>'Part III-A-Uses of Funds'!G55</f>
        <v>571534.75</v>
      </c>
      <c r="H168" s="2547"/>
      <c r="I168" s="1819"/>
      <c r="J168" s="2547">
        <f>'Part III-A-Uses of Funds'!J55</f>
        <v>514381</v>
      </c>
      <c r="K168" s="2547"/>
      <c r="L168" s="2545"/>
      <c r="M168" s="2547">
        <f>'Part III-A-Uses of Funds'!M55</f>
        <v>0</v>
      </c>
      <c r="N168" s="2547"/>
      <c r="O168" s="1819"/>
      <c r="P168" s="2547">
        <f>'Part III-A-Uses of Funds'!P55</f>
        <v>0</v>
      </c>
      <c r="Q168" s="2547"/>
      <c r="R168" s="1819"/>
      <c r="S168" s="2547">
        <f>'Part III-A-Uses of Funds'!S55</f>
        <v>57153.75</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6296</v>
      </c>
      <c r="C170" s="2681"/>
      <c r="D170" s="1819"/>
      <c r="E170" s="2616" t="s">
        <v>6297</v>
      </c>
      <c r="F170" s="2557">
        <f>B171/'Part V-Revenues &amp; Expenses'!$P$65</f>
        <v>214325.53125</v>
      </c>
      <c r="G170" s="2682" t="s">
        <v>6955</v>
      </c>
      <c r="H170" s="1819"/>
      <c r="I170" s="1819"/>
      <c r="J170" s="2558">
        <f>B171/'Part V-Revenues &amp; Expenses'!$P$67</f>
        <v>214325.53125</v>
      </c>
      <c r="K170" s="2558"/>
      <c r="L170" s="1819"/>
      <c r="M170" s="2683" t="s">
        <v>6474</v>
      </c>
      <c r="N170" s="2683"/>
      <c r="O170" s="1819"/>
      <c r="P170" s="2558">
        <f>B171/'Part V-Revenues &amp; Expenses'!$K$175</f>
        <v>215.96843397991867</v>
      </c>
      <c r="Q170" s="2558"/>
      <c r="R170" s="1819"/>
      <c r="S170" s="2684" t="s">
        <v>6476</v>
      </c>
      <c r="T170" s="2684"/>
      <c r="U170" s="1819"/>
      <c r="V170" s="2665"/>
    </row>
    <row r="171" spans="1:22">
      <c r="A171" s="1819"/>
      <c r="B171" s="2686">
        <f>C162+G168</f>
        <v>12002229.75</v>
      </c>
      <c r="C171" s="2686"/>
      <c r="D171" s="1819"/>
      <c r="E171" s="2616"/>
      <c r="F171" s="2557">
        <f>B171/'Part V-Revenues &amp; Expenses'!$P$166</f>
        <v>271.71578715023094</v>
      </c>
      <c r="G171" s="2684" t="s">
        <v>6956</v>
      </c>
      <c r="H171" s="1819"/>
      <c r="I171" s="1819"/>
      <c r="J171" s="2558">
        <f>B171/'Part V-Revenues &amp; Expenses'!$P$168</f>
        <v>271.71578715023094</v>
      </c>
      <c r="K171" s="2558"/>
      <c r="L171" s="1819"/>
      <c r="M171" s="2684" t="s">
        <v>6475</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3225</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3226</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2165</v>
      </c>
      <c r="C176" s="1819"/>
      <c r="D176" s="1819"/>
      <c r="E176" s="1819"/>
      <c r="F176" s="1819"/>
      <c r="G176" s="2547">
        <f>'Part III-A-Uses of Funds'!G63</f>
        <v>123000</v>
      </c>
      <c r="H176" s="2547"/>
      <c r="I176" s="1819"/>
      <c r="J176" s="2547">
        <f>'Part III-A-Uses of Funds'!J63</f>
        <v>61500</v>
      </c>
      <c r="K176" s="2547"/>
      <c r="L176" s="2545"/>
      <c r="M176" s="2547">
        <f>'Part III-A-Uses of Funds'!M63</f>
        <v>0</v>
      </c>
      <c r="N176" s="2547"/>
      <c r="O176" s="1819"/>
      <c r="P176" s="2547">
        <f>'Part III-A-Uses of Funds'!P63</f>
        <v>0</v>
      </c>
      <c r="Q176" s="2547"/>
      <c r="R176" s="1819"/>
      <c r="S176" s="2547">
        <f>'Part III-A-Uses of Funds'!S63</f>
        <v>61500</v>
      </c>
      <c r="T176" s="2547"/>
      <c r="U176" s="1819"/>
      <c r="V176" s="2665"/>
    </row>
    <row r="177" spans="1:22">
      <c r="A177" s="1819"/>
      <c r="B177" s="1819" t="s">
        <v>2166</v>
      </c>
      <c r="C177" s="1819"/>
      <c r="D177" s="1819"/>
      <c r="E177" s="1819"/>
      <c r="F177" s="1819"/>
      <c r="G177" s="2547">
        <f>'Part III-A-Uses of Funds'!G64</f>
        <v>998628</v>
      </c>
      <c r="H177" s="2547"/>
      <c r="I177" s="1819"/>
      <c r="J177" s="2547">
        <f>'Part III-A-Uses of Funds'!J64</f>
        <v>756537</v>
      </c>
      <c r="K177" s="2547"/>
      <c r="L177" s="2545"/>
      <c r="M177" s="2547">
        <f>'Part III-A-Uses of Funds'!M64</f>
        <v>0</v>
      </c>
      <c r="N177" s="2547"/>
      <c r="O177" s="1819"/>
      <c r="P177" s="2547">
        <f>'Part III-A-Uses of Funds'!P64</f>
        <v>0</v>
      </c>
      <c r="Q177" s="2547"/>
      <c r="R177" s="1819"/>
      <c r="S177" s="2547">
        <f>'Part III-A-Uses of Funds'!S64</f>
        <v>242091</v>
      </c>
      <c r="T177" s="2547"/>
      <c r="U177" s="1819"/>
      <c r="V177" s="2665"/>
    </row>
    <row r="178" spans="1:22">
      <c r="A178" s="1819"/>
      <c r="B178" s="1819" t="s">
        <v>2167</v>
      </c>
      <c r="C178" s="1819"/>
      <c r="D178" s="1819"/>
      <c r="E178" s="1819"/>
      <c r="F178" s="1819"/>
      <c r="G178" s="2547">
        <f>'Part III-A-Uses of Funds'!G65</f>
        <v>25000</v>
      </c>
      <c r="H178" s="2547"/>
      <c r="I178" s="1819"/>
      <c r="J178" s="2547">
        <f>'Part III-A-Uses of Funds'!J65</f>
        <v>25000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2449</v>
      </c>
      <c r="C179" s="1819"/>
      <c r="D179" s="1819"/>
      <c r="E179" s="1819"/>
      <c r="F179" s="1819"/>
      <c r="G179" s="2547">
        <f>'Part III-A-Uses of Funds'!G66</f>
        <v>14250</v>
      </c>
      <c r="H179" s="2547"/>
      <c r="I179" s="1819"/>
      <c r="J179" s="2547">
        <f>'Part III-A-Uses of Funds'!J66</f>
        <v>14250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22400</v>
      </c>
      <c r="H180" s="2547"/>
      <c r="I180" s="1819"/>
      <c r="J180" s="2547">
        <f>'Part III-A-Uses of Funds'!J67</f>
        <v>22400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2168</v>
      </c>
      <c r="C181" s="1819"/>
      <c r="D181" s="1819"/>
      <c r="E181" s="1819"/>
      <c r="F181" s="1819"/>
      <c r="G181" s="2547">
        <f>'Part III-A-Uses of Funds'!G68</f>
        <v>30000</v>
      </c>
      <c r="H181" s="2547"/>
      <c r="I181" s="1819"/>
      <c r="J181" s="2547">
        <f>'Part III-A-Uses of Funds'!J68</f>
        <v>5000</v>
      </c>
      <c r="K181" s="2547"/>
      <c r="L181" s="2545"/>
      <c r="M181" s="2547">
        <f>'Part III-A-Uses of Funds'!M68</f>
        <v>0</v>
      </c>
      <c r="N181" s="2547"/>
      <c r="O181" s="1819"/>
      <c r="P181" s="2547">
        <f>'Part III-A-Uses of Funds'!P68</f>
        <v>0</v>
      </c>
      <c r="Q181" s="2547"/>
      <c r="R181" s="1819"/>
      <c r="S181" s="2547">
        <f>'Part III-A-Uses of Funds'!S68</f>
        <v>25000</v>
      </c>
      <c r="T181" s="2547"/>
      <c r="U181" s="1819"/>
      <c r="V181" s="2665"/>
    </row>
    <row r="182" spans="1:22">
      <c r="A182" s="1819"/>
      <c r="B182" s="1819" t="s">
        <v>1200</v>
      </c>
      <c r="C182" s="1819"/>
      <c r="D182" s="1819"/>
      <c r="E182" s="1819"/>
      <c r="F182" s="1819"/>
      <c r="G182" s="2547">
        <f>'Part III-A-Uses of Funds'!G69</f>
        <v>73611</v>
      </c>
      <c r="H182" s="2547"/>
      <c r="I182" s="1819"/>
      <c r="J182" s="2547">
        <f>'Part III-A-Uses of Funds'!J69</f>
        <v>73611</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85730</v>
      </c>
      <c r="H183" s="2547"/>
      <c r="I183" s="378"/>
      <c r="J183" s="2547">
        <f>'Part III-A-Uses of Funds'!J70</f>
        <v>85730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6275</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6276</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1372619</v>
      </c>
      <c r="H186" s="2547"/>
      <c r="I186" s="1819"/>
      <c r="J186" s="2547">
        <f>SUM(J174:J185)</f>
        <v>1044028</v>
      </c>
      <c r="K186" s="2547"/>
      <c r="L186" s="2545"/>
      <c r="M186" s="2547">
        <f>SUM(M174:M185)</f>
        <v>0</v>
      </c>
      <c r="N186" s="2547"/>
      <c r="O186" s="1819"/>
      <c r="P186" s="2547">
        <f>SUM(P174:P185)</f>
        <v>0</v>
      </c>
      <c r="Q186" s="2547"/>
      <c r="R186" s="1819"/>
      <c r="S186" s="2547">
        <f>SUM(S174:S185)</f>
        <v>328591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153440</v>
      </c>
      <c r="H188" s="2547"/>
      <c r="I188" s="1819"/>
      <c r="J188" s="2547">
        <f>'Part III-A-Uses of Funds'!J75</f>
        <v>153440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38360</v>
      </c>
      <c r="H189" s="2547"/>
      <c r="I189" s="1819"/>
      <c r="J189" s="2547">
        <f>'Part III-A-Uses of Funds'!J76</f>
        <v>38360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24600</v>
      </c>
      <c r="H190" s="2547"/>
      <c r="I190" s="1819"/>
      <c r="J190" s="2547">
        <f>'Part III-A-Uses of Funds'!J77</f>
        <v>24600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4200</v>
      </c>
      <c r="H191" s="2547"/>
      <c r="I191" s="1819"/>
      <c r="J191" s="2547">
        <f>'Part III-A-Uses of Funds'!J78</f>
        <v>4200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8200</v>
      </c>
      <c r="H192" s="2547"/>
      <c r="I192" s="1819"/>
      <c r="J192" s="2547">
        <f>'Part III-A-Uses of Funds'!J79</f>
        <v>8200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45000</v>
      </c>
      <c r="H193" s="2547"/>
      <c r="I193" s="1819"/>
      <c r="J193" s="2547">
        <f>'Part III-A-Uses of Funds'!J80</f>
        <v>45000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96900</v>
      </c>
      <c r="H194" s="2547"/>
      <c r="I194" s="1819"/>
      <c r="J194" s="2547">
        <f>'Part III-A-Uses of Funds'!J81</f>
        <v>96900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60000</v>
      </c>
      <c r="H195" s="2547"/>
      <c r="I195" s="1819"/>
      <c r="J195" s="2547">
        <f>'Part III-A-Uses of Funds'!J82</f>
        <v>60000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1898</v>
      </c>
      <c r="C196" s="1819"/>
      <c r="D196" s="1819"/>
      <c r="E196" s="1819"/>
      <c r="F196" s="1819"/>
      <c r="G196" s="2547">
        <f>'Part III-A-Uses of Funds'!G83</f>
        <v>29500</v>
      </c>
      <c r="H196" s="2547"/>
      <c r="I196" s="1819"/>
      <c r="J196" s="2547">
        <f>'Part III-A-Uses of Funds'!J83</f>
        <v>29500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9500</v>
      </c>
      <c r="H197" s="2547"/>
      <c r="I197" s="1819"/>
      <c r="J197" s="2547">
        <f>'Part III-A-Uses of Funds'!J84</f>
        <v>9500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6277</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469700</v>
      </c>
      <c r="H199" s="2547"/>
      <c r="I199" s="1819"/>
      <c r="J199" s="2547">
        <f>SUM(J188:J198)</f>
        <v>469700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3227</v>
      </c>
      <c r="E200" s="2693">
        <f>G205/'Part V-Revenues &amp; Expenses'!$P$67</f>
        <v>3764.2887499999997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20761.39</v>
      </c>
      <c r="H201" s="2547"/>
      <c r="I201" s="1819"/>
      <c r="J201" s="2547">
        <f>'Part III-A-Uses of Funds'!J88</f>
        <v>20761.39</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32538.78</v>
      </c>
      <c r="H203" s="2547"/>
      <c r="I203" s="378"/>
      <c r="J203" s="2547">
        <f>'Part III-A-Uses of Funds'!J90</f>
        <v>32538.78</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157500</v>
      </c>
      <c r="H204" s="2547"/>
      <c r="I204" s="378"/>
      <c r="J204" s="2547">
        <f>'Part III-A-Uses of Funds'!J91</f>
        <v>157500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210800.16999999998</v>
      </c>
      <c r="H205" s="2547"/>
      <c r="I205" s="1819"/>
      <c r="J205" s="2547">
        <f>SUM(J201:J204)</f>
        <v>210800.16999999998</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6958</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34000</v>
      </c>
      <c r="H210" s="2547"/>
      <c r="I210" s="1819"/>
      <c r="J210" s="2547"/>
      <c r="K210" s="2547"/>
      <c r="L210" s="2545"/>
      <c r="M210" s="2547"/>
      <c r="N210" s="2547"/>
      <c r="O210" s="1819"/>
      <c r="P210" s="2547"/>
      <c r="Q210" s="2547"/>
      <c r="R210" s="1819"/>
      <c r="S210" s="2547">
        <f>'Part III-A-Uses of Funds'!S97</f>
        <v>34000</v>
      </c>
      <c r="T210" s="2547"/>
      <c r="U210" s="1819"/>
      <c r="V210" s="2665"/>
    </row>
    <row r="211" spans="1:33">
      <c r="A211" s="1819"/>
      <c r="B211" s="1819" t="s">
        <v>1199</v>
      </c>
      <c r="C211" s="1819"/>
      <c r="D211" s="1819"/>
      <c r="E211" s="1819"/>
      <c r="F211" s="1819"/>
      <c r="G211" s="2547">
        <f>'Part III-A-Uses of Funds'!G98</f>
        <v>15000</v>
      </c>
      <c r="H211" s="2547"/>
      <c r="I211" s="1819"/>
      <c r="J211" s="2547"/>
      <c r="K211" s="2547"/>
      <c r="L211" s="2545"/>
      <c r="M211" s="2547"/>
      <c r="N211" s="2547"/>
      <c r="O211" s="1819"/>
      <c r="P211" s="2547"/>
      <c r="Q211" s="2547"/>
      <c r="R211" s="1819"/>
      <c r="S211" s="2547">
        <f>'Part III-A-Uses of Funds'!S98</f>
        <v>15000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2120</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6278</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49000</v>
      </c>
      <c r="H216" s="2547"/>
      <c r="I216" s="1819"/>
      <c r="J216" s="2547"/>
      <c r="K216" s="2547"/>
      <c r="L216" s="2545"/>
      <c r="M216" s="2547"/>
      <c r="N216" s="2547"/>
      <c r="O216" s="1819"/>
      <c r="P216" s="2547"/>
      <c r="Q216" s="2547"/>
      <c r="R216" s="1819"/>
      <c r="S216" s="2547">
        <f>SUM(S210:S215)</f>
        <v>49000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3924</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6702</v>
      </c>
      <c r="X218" s="1819"/>
      <c r="Y218" s="403" t="s">
        <v>6644</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13000</v>
      </c>
      <c r="H219" s="2547"/>
      <c r="I219" s="1819"/>
      <c r="J219" s="2545"/>
      <c r="K219" s="2545"/>
      <c r="L219" s="2560"/>
      <c r="M219" s="2545"/>
      <c r="N219" s="2545"/>
      <c r="O219" s="1819"/>
      <c r="P219" s="2545"/>
      <c r="Q219" s="2545"/>
      <c r="R219" s="1819"/>
      <c r="S219" s="2547">
        <f>'Part III-A-Uses of Funds'!S106</f>
        <v>13000</v>
      </c>
      <c r="T219" s="2547"/>
      <c r="U219" s="1819"/>
      <c r="V219" s="2665"/>
      <c r="W219" s="2645"/>
      <c r="X219" s="1819"/>
      <c r="Y219" s="2684" t="s">
        <v>3150</v>
      </c>
      <c r="Z219" s="2684"/>
      <c r="AA219" s="2684"/>
      <c r="AB219" s="2699">
        <f>'Part V-Revenues &amp; Expenses'!$P$67</f>
        <v>56</v>
      </c>
      <c r="AC219" s="1819"/>
      <c r="AD219" s="1819"/>
      <c r="AE219" s="1819"/>
      <c r="AF219" s="1819"/>
      <c r="AG219" s="1819"/>
    </row>
    <row r="220" spans="1:33">
      <c r="A220" s="1819"/>
      <c r="B220" s="1819" t="s">
        <v>3317</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6707</v>
      </c>
      <c r="Z220" s="2622"/>
      <c r="AA220" s="2622"/>
      <c r="AB220" s="2622"/>
      <c r="AC220" s="1819"/>
      <c r="AD220" s="2701" t="s">
        <v>6708</v>
      </c>
      <c r="AE220" s="1819"/>
      <c r="AF220" s="1819"/>
      <c r="AG220" s="1819"/>
    </row>
    <row r="221" spans="1:33">
      <c r="A221" s="1819"/>
      <c r="B221" s="1819" t="s">
        <v>486</v>
      </c>
      <c r="C221" s="1819"/>
      <c r="D221" s="1819"/>
      <c r="E221" s="2561">
        <f>'Part III-A-Uses of Funds'!E108</f>
        <v>90800</v>
      </c>
      <c r="F221" s="2561"/>
      <c r="G221" s="2547">
        <f>'Part III-A-Uses of Funds'!G108</f>
        <v>90800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90800</v>
      </c>
      <c r="T221" s="2547"/>
      <c r="U221" s="1819"/>
      <c r="V221" s="2665"/>
      <c r="W221" s="2645"/>
      <c r="X221" s="2645"/>
      <c r="Y221" s="2622" t="s">
        <v>6703</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44800</v>
      </c>
      <c r="F222" s="2561"/>
      <c r="G222" s="2547">
        <f>'Part III-A-Uses of Funds'!G109</f>
        <v>56000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56000</v>
      </c>
      <c r="T222" s="2547"/>
      <c r="U222" s="1819"/>
      <c r="V222" s="2665"/>
      <c r="W222" s="2645"/>
      <c r="X222" s="2645"/>
      <c r="Y222" s="2622" t="s">
        <v>6286</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3448</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6704</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3449</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6705</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6274</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6706</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6274</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48</v>
      </c>
      <c r="AC226" s="1819"/>
      <c r="AD226" s="2703">
        <f>IF($AD$101="Income Averaging",AB226*'DCA Underwriting Assumptions'!$Q$61,AB226*'DCA Underwriting Assumptions'!$Q$60)</f>
        <v>38400</v>
      </c>
      <c r="AE226" s="1819"/>
      <c r="AF226" s="1819"/>
      <c r="AG226" s="1819"/>
    </row>
    <row r="227" spans="1:33">
      <c r="A227" s="1819"/>
      <c r="B227" s="1819"/>
      <c r="C227" s="1819"/>
      <c r="D227" s="1819"/>
      <c r="E227" s="1819"/>
      <c r="F227" s="2669" t="s">
        <v>184</v>
      </c>
      <c r="G227" s="2547">
        <f>SUM(G218:G226)</f>
        <v>167800</v>
      </c>
      <c r="H227" s="2547"/>
      <c r="I227" s="1819"/>
      <c r="J227" s="2545"/>
      <c r="K227" s="2545"/>
      <c r="L227" s="2545"/>
      <c r="M227" s="2545"/>
      <c r="N227" s="2545"/>
      <c r="O227" s="1819"/>
      <c r="P227" s="2545"/>
      <c r="Q227" s="2545"/>
      <c r="R227" s="1819"/>
      <c r="S227" s="2547">
        <f>SUM(S218:S226)</f>
        <v>167800</v>
      </c>
      <c r="T227" s="2547"/>
      <c r="U227" s="1819"/>
      <c r="V227" s="2665">
        <f>SUM(V218:V226)</f>
        <v>0</v>
      </c>
      <c r="W227" s="1819"/>
      <c r="X227" s="1819"/>
      <c r="Y227" s="2622" t="s">
        <v>6480</v>
      </c>
      <c r="Z227" s="2622"/>
      <c r="AA227" s="2707"/>
      <c r="AB227" s="2702">
        <f>'Part V-Revenues &amp; Expenses'!$P$138+'Part V-Revenues &amp; Expenses'!$P$139</f>
        <v>8</v>
      </c>
      <c r="AC227" s="1819"/>
      <c r="AD227" s="2703">
        <f>IF($AD$101="Income Averaging",AB227*'DCA Underwriting Assumptions'!$Q$61,AB227*'DCA Underwriting Assumptions'!$Q$60)</f>
        <v>6400</v>
      </c>
      <c r="AE227" s="1819"/>
      <c r="AF227" s="1819"/>
      <c r="AG227" s="1819"/>
    </row>
    <row r="228" spans="1:33">
      <c r="A228" s="1819"/>
      <c r="B228" s="2614" t="s">
        <v>2121</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6705</v>
      </c>
      <c r="AA228" s="2622"/>
      <c r="AB228" s="2705">
        <f>SUM(AB226:AB227)</f>
        <v>56</v>
      </c>
      <c r="AC228" s="1819"/>
      <c r="AD228" s="2706">
        <f>SUM(AD226:AD227)</f>
        <v>44800</v>
      </c>
      <c r="AE228" s="1819"/>
      <c r="AF228" s="1819"/>
      <c r="AG228" s="1819"/>
    </row>
    <row r="229" spans="1:33">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3000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10000</v>
      </c>
      <c r="H230" s="2547"/>
      <c r="I230" s="1819"/>
      <c r="J230" s="2547"/>
      <c r="K230" s="2547"/>
      <c r="L230" s="2545"/>
      <c r="M230" s="2547"/>
      <c r="N230" s="2547"/>
      <c r="O230" s="1819"/>
      <c r="P230" s="2547"/>
      <c r="Q230" s="2547"/>
      <c r="R230" s="1819"/>
      <c r="S230" s="2547">
        <f>'Part III-A-Uses of Funds'!S117</f>
        <v>10000</v>
      </c>
      <c r="T230" s="2547"/>
      <c r="U230" s="1819"/>
      <c r="V230" s="2665"/>
      <c r="W230" s="1819"/>
      <c r="X230" s="1819"/>
      <c r="Y230" s="1819"/>
      <c r="Z230" s="1819"/>
      <c r="AA230" s="1819"/>
      <c r="AB230" s="1819"/>
      <c r="AC230" s="1819"/>
      <c r="AD230" s="1819"/>
      <c r="AE230" s="1819"/>
      <c r="AF230" s="1819"/>
      <c r="AG230" s="1819"/>
    </row>
    <row r="231" spans="1:33">
      <c r="A231" s="1819"/>
      <c r="B231" s="1819" t="s">
        <v>2199</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6274</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13000</v>
      </c>
      <c r="H233" s="2547"/>
      <c r="I233" s="1819"/>
      <c r="J233" s="2547"/>
      <c r="K233" s="2547"/>
      <c r="L233" s="2545"/>
      <c r="M233" s="2547"/>
      <c r="N233" s="2547"/>
      <c r="O233" s="1819"/>
      <c r="P233" s="2547"/>
      <c r="Q233" s="2547"/>
      <c r="R233" s="1819"/>
      <c r="S233" s="2547">
        <f>SUM(S229:S232)</f>
        <v>13000</v>
      </c>
      <c r="T233" s="2547"/>
      <c r="U233" s="1819"/>
      <c r="V233" s="2665">
        <f>SUM(V229:V232)</f>
        <v>0</v>
      </c>
      <c r="W233" s="1819"/>
      <c r="X233" s="1819"/>
      <c r="Y233" s="1819"/>
      <c r="Z233" s="1819"/>
      <c r="AA233" s="2708" t="s">
        <v>3921</v>
      </c>
      <c r="AB233" s="2708" t="s">
        <v>3922</v>
      </c>
      <c r="AC233" s="2708" t="s">
        <v>3925</v>
      </c>
      <c r="AD233" s="2709" t="s">
        <v>3923</v>
      </c>
      <c r="AE233" s="2708" t="s">
        <v>3914</v>
      </c>
      <c r="AF233" s="2710" t="s">
        <v>6741</v>
      </c>
      <c r="AG233" s="2710"/>
    </row>
    <row r="234" spans="1:33" ht="13.5">
      <c r="A234" s="1819"/>
      <c r="B234" s="2614" t="s">
        <v>269</v>
      </c>
      <c r="C234" s="1819"/>
      <c r="D234" s="1819"/>
      <c r="E234" s="2654" t="s">
        <v>3924</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3912</v>
      </c>
      <c r="X234" s="403"/>
      <c r="Y234" s="1320" t="s">
        <v>3918</v>
      </c>
      <c r="Z234" s="1320" t="s">
        <v>3919</v>
      </c>
      <c r="AA234" s="2708"/>
      <c r="AB234" s="2708"/>
      <c r="AC234" s="2708"/>
      <c r="AD234" s="2709"/>
      <c r="AE234" s="2708"/>
      <c r="AF234" s="2710"/>
      <c r="AG234" s="2710"/>
    </row>
    <row r="235" spans="1:33" ht="13.5">
      <c r="A235" s="1819"/>
      <c r="B235" s="1819" t="s">
        <v>1723</v>
      </c>
      <c r="C235" s="1819"/>
      <c r="D235" s="1819"/>
      <c r="E235" s="1819"/>
      <c r="F235" s="2649">
        <f>'Part III-A-Uses of Funds'!F122</f>
        <v>0.2</v>
      </c>
      <c r="G235" s="2547">
        <f>'Part III-A-Uses of Funds'!G122</f>
        <v>301400</v>
      </c>
      <c r="H235" s="2547"/>
      <c r="I235" s="1819"/>
      <c r="J235" s="2547">
        <f>'Part III-A-Uses of Funds'!J122</f>
        <v>301400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3410</v>
      </c>
      <c r="C236" s="1819"/>
      <c r="D236" s="1819"/>
      <c r="E236" s="1819"/>
      <c r="F236" s="2564">
        <f>'Part III-A-Uses of Funds'!F123</f>
        <v>0</v>
      </c>
      <c r="G236" s="2707" t="s">
        <v>6721</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1724</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3162</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1716</v>
      </c>
      <c r="C239" s="1819"/>
      <c r="D239" s="1819"/>
      <c r="E239" s="1819"/>
      <c r="F239" s="2649">
        <f>'Part III-A-Uses of Funds'!F126</f>
        <v>0.8</v>
      </c>
      <c r="G239" s="2547">
        <f>'Part III-A-Uses of Funds'!G126</f>
        <v>1205600</v>
      </c>
      <c r="H239" s="2547"/>
      <c r="I239" s="1819"/>
      <c r="J239" s="2547">
        <f>'Part III-A-Uses of Funds'!J126</f>
        <v>1205600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3920</v>
      </c>
      <c r="E240" s="2716">
        <f>'Part III-A-Uses of Funds'!E127</f>
        <v>1507000</v>
      </c>
      <c r="F240" s="2669" t="s">
        <v>184</v>
      </c>
      <c r="G240" s="2547">
        <f>SUM(G235:G239)</f>
        <v>1507000</v>
      </c>
      <c r="H240" s="2547"/>
      <c r="I240" s="1819"/>
      <c r="J240" s="2547">
        <f>SUM(J235:J239)</f>
        <v>1507000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20000</v>
      </c>
      <c r="H242" s="2547"/>
      <c r="I242" s="1819"/>
      <c r="J242" s="2560"/>
      <c r="K242" s="2560"/>
      <c r="L242" s="2560"/>
      <c r="M242" s="2560"/>
      <c r="N242" s="2560"/>
      <c r="O242" s="1819"/>
      <c r="P242" s="2560"/>
      <c r="Q242" s="2560"/>
      <c r="R242" s="1819"/>
      <c r="S242" s="2547">
        <f>'Part III-A-Uses of Funds'!S129</f>
        <v>20000</v>
      </c>
      <c r="T242" s="2547"/>
      <c r="U242" s="1819"/>
      <c r="V242" s="2665"/>
    </row>
    <row r="243" spans="1:22">
      <c r="A243" s="1819"/>
      <c r="B243" s="1819" t="s">
        <v>1436</v>
      </c>
      <c r="C243" s="1819"/>
      <c r="D243" s="1819"/>
      <c r="E243" s="1819"/>
      <c r="F243" s="2717">
        <f>'Part III-A-Uses of Funds'!F130</f>
        <v>83300</v>
      </c>
      <c r="G243" s="2547">
        <f>'Part III-A-Uses of Funds'!G130</f>
        <v>83300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83300</v>
      </c>
      <c r="T243" s="2547"/>
      <c r="U243" s="1819"/>
      <c r="V243" s="2665"/>
    </row>
    <row r="244" spans="1:22">
      <c r="A244" s="1819"/>
      <c r="B244" s="1819" t="s">
        <v>632</v>
      </c>
      <c r="C244" s="1819"/>
      <c r="D244" s="1819"/>
      <c r="E244" s="1819"/>
      <c r="F244" s="2717">
        <f>'Part III-A-Uses of Funds'!F131</f>
        <v>258714.40849486238</v>
      </c>
      <c r="G244" s="2547">
        <f>'Part III-A-Uses of Funds'!G131</f>
        <v>258714</v>
      </c>
      <c r="H244" s="2547"/>
      <c r="I244" s="1819"/>
      <c r="J244" s="2565" t="str">
        <f>IF(E244&gt;G244,"WARNING! ODR proposed is below minimum - add comment.","")</f>
        <v/>
      </c>
      <c r="K244" s="2560"/>
      <c r="L244" s="2560"/>
      <c r="M244" s="2560"/>
      <c r="N244" s="2560"/>
      <c r="O244" s="1819"/>
      <c r="P244" s="2560"/>
      <c r="Q244" s="2560"/>
      <c r="R244" s="1819"/>
      <c r="S244" s="2547">
        <f>'Part III-A-Uses of Funds'!S131</f>
        <v>258714</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3136</v>
      </c>
      <c r="F246" s="2717">
        <f>'Part III-A-Uses of Funds'!F133</f>
        <v>2410.7142857142858</v>
      </c>
      <c r="G246" s="2547">
        <f>'Part III-A-Uses of Funds'!G133</f>
        <v>135000</v>
      </c>
      <c r="H246" s="2547"/>
      <c r="I246" s="1819"/>
      <c r="J246" s="2547">
        <f>'Part III-A-Uses of Funds'!J133</f>
        <v>135000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6274</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497014</v>
      </c>
      <c r="H248" s="2547"/>
      <c r="I248" s="1819"/>
      <c r="J248" s="2547">
        <f>SUM(J246:J247)</f>
        <v>135000</v>
      </c>
      <c r="K248" s="2547"/>
      <c r="L248" s="2545"/>
      <c r="M248" s="2547">
        <f>SUM(M246:M247)</f>
        <v>0</v>
      </c>
      <c r="N248" s="2547"/>
      <c r="O248" s="1819"/>
      <c r="P248" s="2547">
        <f>SUM(P246:P247)</f>
        <v>0</v>
      </c>
      <c r="Q248" s="2547"/>
      <c r="R248" s="1819"/>
      <c r="S248" s="2547">
        <f>SUM(S242:S247)</f>
        <v>362014</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6958</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6274</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6959</v>
      </c>
      <c r="C259" s="1819"/>
      <c r="D259" s="1819"/>
      <c r="E259" s="2670"/>
      <c r="F259" s="2722"/>
      <c r="G259" s="2567">
        <f>G131+G137+G141+G149+G154+G159+G168+G186+G199+G205+G216+G227+G233+G240+G248+G257</f>
        <v>18174082.920000002</v>
      </c>
      <c r="H259" s="2567"/>
      <c r="I259" s="1819"/>
      <c r="J259" s="2567">
        <f>J131+J137+J141+J149+J154+J159+J168+J186+J199+J205+J216+J227+J233+J240+J248+J257</f>
        <v>15264247.17</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2909835.75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6960</v>
      </c>
      <c r="C261" s="2681"/>
      <c r="D261" s="2568">
        <f>IF('Part V-Revenues &amp; Expenses'!$P$67=0,0,G259/'Part V-Revenues &amp; Expenses'!$P$67)</f>
        <v>324537.19500000001</v>
      </c>
      <c r="E261" s="2568"/>
      <c r="F261" s="2695" t="s">
        <v>2486</v>
      </c>
      <c r="G261" s="2568">
        <f>IF('Part V-Revenues &amp; Expenses'!$K$175=0,0,G259/'Part V-Revenues &amp; Expenses'!$K$175)</f>
        <v>327.02492028646492</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1893</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1997</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1726</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1727</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1728</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2159</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15264247.17</v>
      </c>
      <c r="K275" s="2648"/>
      <c r="L275" s="1819"/>
      <c r="M275" s="2648">
        <f>M259</f>
        <v>0</v>
      </c>
      <c r="N275" s="2648"/>
      <c r="O275" s="1819"/>
      <c r="P275" s="2648">
        <f>P259</f>
        <v>0</v>
      </c>
      <c r="Q275" s="2648"/>
      <c r="R275" s="2727" t="s">
        <v>3772</v>
      </c>
      <c r="S275" s="2727"/>
      <c r="T275" s="2727"/>
      <c r="U275" s="1819"/>
      <c r="V275" s="2665"/>
    </row>
    <row r="276" spans="1:22">
      <c r="A276" s="1819"/>
      <c r="B276" s="1819" t="s">
        <v>2051</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2052</v>
      </c>
      <c r="C277" s="1819"/>
      <c r="D277" s="1819"/>
      <c r="E277" s="1819"/>
      <c r="F277" s="1819"/>
      <c r="G277" s="1819"/>
      <c r="H277" s="1819"/>
      <c r="I277" s="1819"/>
      <c r="J277" s="2648">
        <f>J275-J276</f>
        <v>15264247.17</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1902</v>
      </c>
      <c r="C279" s="1819"/>
      <c r="D279" s="1819"/>
      <c r="E279" s="1819"/>
      <c r="F279" s="1819"/>
      <c r="G279" s="1819"/>
      <c r="H279" s="1819"/>
      <c r="I279" s="1819"/>
      <c r="J279" s="2648">
        <f>J277*J278</f>
        <v>15264247.17</v>
      </c>
      <c r="K279" s="2648"/>
      <c r="L279" s="1819"/>
      <c r="M279" s="2648">
        <f>+M277</f>
        <v>0</v>
      </c>
      <c r="N279" s="2648"/>
      <c r="O279" s="1819"/>
      <c r="P279" s="2648">
        <f>P277*P278</f>
        <v>0</v>
      </c>
      <c r="Q279" s="2648"/>
      <c r="R279" s="2709"/>
      <c r="S279" s="2709"/>
      <c r="T279" s="2709"/>
      <c r="U279" s="2645"/>
      <c r="V279" s="2665"/>
    </row>
    <row r="280" spans="1:22">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1894</v>
      </c>
      <c r="C281" s="1819"/>
      <c r="D281" s="1819"/>
      <c r="E281" s="1819"/>
      <c r="F281" s="1819"/>
      <c r="G281" s="1819"/>
      <c r="H281" s="1819"/>
      <c r="I281" s="1819"/>
      <c r="J281" s="2648">
        <f>J279*J280</f>
        <v>15264247.17</v>
      </c>
      <c r="K281" s="2648"/>
      <c r="L281" s="1819"/>
      <c r="M281" s="2648">
        <f>M279*M280</f>
        <v>0</v>
      </c>
      <c r="N281" s="2648"/>
      <c r="O281" s="1819"/>
      <c r="P281" s="2648">
        <f>P279*P280</f>
        <v>0</v>
      </c>
      <c r="Q281" s="2648"/>
      <c r="R281" s="1819"/>
      <c r="S281" s="1819"/>
      <c r="T281" s="1819"/>
      <c r="U281" s="1819"/>
      <c r="V281" s="2665"/>
    </row>
    <row r="282" spans="1:22">
      <c r="A282" s="1819"/>
      <c r="B282" s="1819" t="s">
        <v>1895</v>
      </c>
      <c r="C282" s="1819"/>
      <c r="D282" s="1819"/>
      <c r="E282" s="1819"/>
      <c r="F282" s="1819"/>
      <c r="G282" s="1819"/>
      <c r="H282" s="1819"/>
      <c r="I282" s="1819"/>
      <c r="J282" s="2728">
        <f>'Part III-A-Uses of Funds'!J169</f>
        <v>0.09</v>
      </c>
      <c r="K282" s="2728"/>
      <c r="L282" s="1819"/>
      <c r="M282" s="2728">
        <f>'Part III-A-Uses of Funds'!M169</f>
        <v>3.3599999999999998E-2</v>
      </c>
      <c r="N282" s="2728"/>
      <c r="O282" s="1819"/>
      <c r="P282" s="2728">
        <f>'Part III-A-Uses of Funds'!P169</f>
        <v>0</v>
      </c>
      <c r="Q282" s="2728"/>
      <c r="R282" s="1819"/>
      <c r="S282" s="1819"/>
      <c r="T282" s="1819"/>
      <c r="U282" s="1819"/>
      <c r="V282" s="2665"/>
    </row>
    <row r="283" spans="1:22">
      <c r="A283" s="1819"/>
      <c r="B283" s="1819" t="s">
        <v>2339</v>
      </c>
      <c r="C283" s="1819"/>
      <c r="D283" s="1819"/>
      <c r="E283" s="1819"/>
      <c r="F283" s="1819"/>
      <c r="G283" s="1819"/>
      <c r="H283" s="1819"/>
      <c r="I283" s="1819"/>
      <c r="J283" s="2648">
        <f>J281*J282</f>
        <v>1373782.2452999998</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1373782</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6961</v>
      </c>
      <c r="C289" s="1819"/>
      <c r="D289" s="1819"/>
      <c r="E289" s="1819"/>
      <c r="F289" s="1819"/>
      <c r="G289" s="1819"/>
      <c r="H289" s="1819"/>
      <c r="I289" s="1819"/>
      <c r="J289" s="2648">
        <f>G259</f>
        <v>18174082.920000002</v>
      </c>
      <c r="K289" s="2648"/>
      <c r="L289" s="2648"/>
      <c r="M289" s="1819"/>
      <c r="N289" s="2727" t="s">
        <v>6715</v>
      </c>
      <c r="O289" s="2727"/>
      <c r="P289" s="2727"/>
      <c r="Q289" s="2727"/>
      <c r="R289" s="1819"/>
      <c r="S289" s="2709" t="s">
        <v>3186</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2600110</v>
      </c>
      <c r="K290" s="2648"/>
      <c r="L290" s="2648"/>
      <c r="M290" s="2727"/>
      <c r="N290" s="2727"/>
      <c r="O290" s="2727"/>
      <c r="P290" s="2727"/>
      <c r="Q290" s="2727"/>
      <c r="R290" s="1819"/>
      <c r="S290" s="2709"/>
      <c r="T290" s="2709"/>
      <c r="U290" s="1819"/>
      <c r="V290" s="2665"/>
    </row>
    <row r="291" spans="1:22">
      <c r="A291" s="1819"/>
      <c r="B291" s="1819" t="s">
        <v>2063</v>
      </c>
      <c r="C291" s="1819"/>
      <c r="D291" s="1819"/>
      <c r="E291" s="1819"/>
      <c r="F291" s="1819"/>
      <c r="G291" s="1819"/>
      <c r="H291" s="1819"/>
      <c r="I291" s="1819"/>
      <c r="J291" s="2648">
        <f>+J289-J290</f>
        <v>15573972.920000002</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1557397.2920000001</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6962</v>
      </c>
      <c r="C295" s="1819"/>
      <c r="D295" s="1819"/>
      <c r="E295" s="1819"/>
      <c r="F295" s="1819"/>
      <c r="G295" s="1819"/>
      <c r="H295" s="1819"/>
      <c r="I295" s="1819"/>
      <c r="J295" s="2733">
        <f>N295+Q295</f>
        <v>1.33</v>
      </c>
      <c r="K295" s="2733"/>
      <c r="L295" s="2733"/>
      <c r="M295" s="1622" t="s">
        <v>1212</v>
      </c>
      <c r="N295" s="2734">
        <f>'Part III-A-Uses of Funds'!N182</f>
        <v>0.88</v>
      </c>
      <c r="O295" s="2734"/>
      <c r="P295" s="1622" t="s">
        <v>570</v>
      </c>
      <c r="Q295" s="2734">
        <f>'Part III-A-Uses of Funds'!Q182</f>
        <v>0.45</v>
      </c>
      <c r="R295" s="2734"/>
      <c r="S295" s="1819"/>
      <c r="T295" s="1819"/>
      <c r="U295" s="1819"/>
      <c r="V295" s="2665"/>
    </row>
    <row r="296" spans="1:22">
      <c r="A296" s="1819"/>
      <c r="B296" s="2614" t="s">
        <v>1340</v>
      </c>
      <c r="C296" s="1819"/>
      <c r="D296" s="1819"/>
      <c r="E296" s="1819"/>
      <c r="F296" s="1819"/>
      <c r="G296" s="1819"/>
      <c r="H296" s="1819"/>
      <c r="I296" s="1819"/>
      <c r="J296" s="2647">
        <f>ROUNDDOWN(IF(J295=0,"",J293/J295),0)</f>
        <v>1170975</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3932</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6963</v>
      </c>
      <c r="C300" s="1819"/>
      <c r="D300" s="1819"/>
      <c r="E300" s="1819"/>
      <c r="F300" s="1819"/>
      <c r="G300" s="1819"/>
      <c r="H300" s="1819"/>
      <c r="I300" s="1819"/>
      <c r="J300" s="2647">
        <f>'Part III-A-Uses of Funds'!J187</f>
        <v>1170975</v>
      </c>
      <c r="K300" s="2647"/>
      <c r="L300" s="2647"/>
      <c r="M300" s="1819"/>
      <c r="N300" s="1819"/>
      <c r="O300" s="1819"/>
      <c r="P300" s="1819"/>
      <c r="Q300" s="2622" t="s">
        <v>6246</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6964</v>
      </c>
      <c r="C302" s="1819"/>
      <c r="D302" s="1819"/>
      <c r="E302" s="1819"/>
      <c r="F302" s="1819"/>
      <c r="G302" s="1819"/>
      <c r="H302" s="1819"/>
      <c r="I302" s="1819"/>
      <c r="J302" s="2647">
        <f>'Part III-A-Uses of Funds'!J189</f>
        <v>1135000</v>
      </c>
      <c r="K302" s="2647"/>
      <c r="L302" s="2647"/>
      <c r="M302" s="2737" t="str">
        <f>IF(J300=0,"",IF(J302&gt;J300,"Request can't exceed Maximum - REVISE (Try Round Down)!",""))</f>
        <v/>
      </c>
      <c r="N302" s="2737"/>
      <c r="O302" s="2737"/>
      <c r="P302" s="2737"/>
      <c r="Q302" s="2707" t="s">
        <v>6542</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6965</v>
      </c>
      <c r="C304" s="1819"/>
      <c r="D304" s="378"/>
      <c r="E304" s="378"/>
      <c r="F304" s="2623"/>
      <c r="G304" s="1819"/>
      <c r="H304" s="1819"/>
      <c r="I304" s="1819"/>
      <c r="J304" s="2647">
        <f>IF(J302="",0,+MIN(J300,J302))</f>
        <v>1135000</v>
      </c>
      <c r="K304" s="2647"/>
      <c r="L304" s="2647"/>
      <c r="M304" s="2737"/>
      <c r="N304" s="2737"/>
      <c r="O304" s="2737"/>
      <c r="P304" s="2737"/>
      <c r="Q304" s="403" t="s">
        <v>3924</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 To all applicants: in addition to your other comments, please provide methodology for determining applicable construction hard costs.
The Furniture Fixture &amp; Equipment line item includes the following items:  Office/Common Area furnishings, Fitness Center Equipment, Wellness Center/Waiting Area Equipment and Supplies,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are included in the documentation.  
The Operating Reserve meets DCA's minimum requirements.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Peaks of Douglas  -  Douglasville  -  Douglas,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3213</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6966</v>
      </c>
      <c r="B318" s="2741"/>
      <c r="C318" s="2741"/>
      <c r="D318" s="2741"/>
      <c r="E318" s="1077"/>
      <c r="F318" s="2742" t="s">
        <v>3205</v>
      </c>
      <c r="G318" s="2743"/>
      <c r="H318" s="2742" t="s">
        <v>3206</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Engineer DD &amp; OPC</v>
      </c>
      <c r="B322" s="2571"/>
      <c r="C322" s="2571"/>
      <c r="D322" s="2571"/>
      <c r="E322" s="2745"/>
      <c r="F322" s="2572" t="str">
        <f>'Part III-B-Other Items'!F9</f>
        <v>For civil engineering site feasibility study, conceptual site plan, preliminary grading plan, and opinion of probably cost to include on-site and off-site work, estimate of local government fees, and construction materials testing and NPDES monitoring.</v>
      </c>
      <c r="G322" s="2747"/>
      <c r="H322" s="2572" t="str">
        <f>'Part III-B-Other Items'!H9</f>
        <v>Included in eligible basis as normal and customary investigation.</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3208</v>
      </c>
      <c r="B325" s="2573">
        <f>'Part III-A-Uses of Funds'!$G$15</f>
        <v>7500</v>
      </c>
      <c r="C325" s="2748" t="s">
        <v>1665</v>
      </c>
      <c r="D325" s="2573">
        <f>'Part III-A-Uses of Funds'!$J$15+'Part III-A-Uses of Funds'!$M$15+'Part III-A-Uses of Funds'!$P$15</f>
        <v>7500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Plan and Cost Review</v>
      </c>
      <c r="B327" s="2571"/>
      <c r="C327" s="2571"/>
      <c r="D327" s="2571"/>
      <c r="E327" s="2745"/>
      <c r="F327" s="2572" t="str">
        <f>'Part III-B-Other Items'!F14</f>
        <v>For review of project plans and specifications and associated cost as required by DCA, lender, and investor.</v>
      </c>
      <c r="G327" s="2747"/>
      <c r="H327" s="2572" t="str">
        <f>'Part III-B-Other Items'!H14</f>
        <v>Included in eligible basis as normal and customary requirements.</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3208</v>
      </c>
      <c r="B330" s="2573">
        <f>'Part III-A-Uses of Funds'!$G$16</f>
        <v>5000</v>
      </c>
      <c r="C330" s="2748" t="s">
        <v>1665</v>
      </c>
      <c r="D330" s="2573">
        <f>'Part III-A-Uses of Funds'!$J$16+'Part III-A-Uses of Funds'!$M$16+'Part III-A-Uses of Funds'!$P$16</f>
        <v>5000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Traffic Study</v>
      </c>
      <c r="B332" s="2571"/>
      <c r="C332" s="2571"/>
      <c r="D332" s="2571"/>
      <c r="E332" s="2745"/>
      <c r="F332" s="2572" t="str">
        <f>'Part III-B-Other Items'!F19</f>
        <v>Required for the zoning application.</v>
      </c>
      <c r="G332" s="2747"/>
      <c r="H332" s="2572" t="str">
        <f>'Part III-B-Other Items'!H19</f>
        <v>Included in eligible basis as normal and customary requirements.</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3208</v>
      </c>
      <c r="B335" s="2573">
        <f>'Part III-A-Uses of Funds'!$G$17</f>
        <v>8000</v>
      </c>
      <c r="C335" s="2748" t="s">
        <v>1665</v>
      </c>
      <c r="D335" s="2573">
        <f>'Part III-A-Uses of Funds'!$J$17+'Part III-A-Uses of Funds'!$M$17+'Part III-A-Uses of Funds'!$P$17</f>
        <v>8000</v>
      </c>
      <c r="E335" s="2745"/>
      <c r="F335" s="2572"/>
      <c r="G335" s="2747"/>
      <c r="H335" s="2572"/>
    </row>
    <row r="336" spans="1:8" ht="13.5">
      <c r="A336" s="2747"/>
      <c r="B336" s="2749"/>
      <c r="C336" s="2747"/>
      <c r="D336" s="2747"/>
      <c r="E336" s="2745"/>
      <c r="F336" s="2572"/>
      <c r="G336" s="2750"/>
      <c r="H336" s="2572"/>
    </row>
    <row r="337" spans="1:8" ht="13.5">
      <c r="A337" s="2746" t="s">
        <v>3207</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3208</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3208</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3208</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3208</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3208</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6967</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3208</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3208</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6968</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3208</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3208</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6969</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3208</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Peaks of Douglas,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6736</v>
      </c>
      <c r="I401" s="2753" t="str">
        <f>'Part IV-Utility Allowances'!I3</f>
        <v>North</v>
      </c>
    </row>
    <row r="403" spans="1:13">
      <c r="A403" s="2754" t="s">
        <v>6970</v>
      </c>
    </row>
    <row r="405" spans="1:13" ht="38.25">
      <c r="A405" s="361" t="s">
        <v>573</v>
      </c>
      <c r="B405" s="361" t="s">
        <v>2058</v>
      </c>
      <c r="F405" s="359" t="s">
        <v>2316</v>
      </c>
      <c r="G405" s="359"/>
      <c r="H405" s="359"/>
      <c r="I405" s="2621" t="str">
        <f>'Part IV-Utility Allowances'!I7</f>
        <v>DCA - Georgia North (Row House)</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1713</v>
      </c>
      <c r="H409" s="361"/>
      <c r="I409" s="1885" t="s">
        <v>526</v>
      </c>
      <c r="J409" s="1885">
        <v>1</v>
      </c>
      <c r="K409" s="1885">
        <v>2</v>
      </c>
      <c r="L409" s="1885">
        <v>3</v>
      </c>
      <c r="M409" s="1885">
        <v>4</v>
      </c>
    </row>
    <row r="410" spans="1:13">
      <c r="B410" s="359" t="s">
        <v>1715</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8</v>
      </c>
      <c r="K413" s="1894">
        <f>'Part IV-Utility Allowances'!K15</f>
        <v>11</v>
      </c>
      <c r="L413" s="1894">
        <f>'Part IV-Utility Allowances'!L15</f>
        <v>0</v>
      </c>
      <c r="M413" s="1894">
        <f>'Part IV-Utility Allowances'!M15</f>
        <v>0</v>
      </c>
    </row>
    <row r="414" spans="1:13">
      <c r="B414" s="359" t="s">
        <v>3268</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3269</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3270</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0</v>
      </c>
      <c r="M416" s="1894">
        <f>'Part IV-Utility Allowances'!M18</f>
        <v>0</v>
      </c>
    </row>
    <row r="417" spans="1:13">
      <c r="B417" s="359" t="s">
        <v>1292</v>
      </c>
      <c r="C417" s="359"/>
      <c r="D417" s="359" t="s">
        <v>6745</v>
      </c>
      <c r="E417" s="1894" t="str">
        <f>'Part IV-Utility Allowances'!E19</f>
        <v>Yes</v>
      </c>
      <c r="F417" s="2756" t="str">
        <f>'Part IV-Utility Allowances'!F19</f>
        <v>X</v>
      </c>
      <c r="G417" s="2756">
        <f>'Part IV-Utility Allowances'!G19</f>
        <v>0</v>
      </c>
      <c r="I417" s="1894">
        <f>'Part IV-Utility Allowances'!I19</f>
        <v>0</v>
      </c>
      <c r="J417" s="1894">
        <f>'Part IV-Utility Allowances'!J19</f>
        <v>49</v>
      </c>
      <c r="K417" s="1894">
        <f>'Part IV-Utility Allowances'!K19</f>
        <v>58</v>
      </c>
      <c r="L417" s="1894">
        <f>'Part IV-Utility Allowances'!L19</f>
        <v>0</v>
      </c>
      <c r="M417" s="1894">
        <f>'Part IV-Utility Allowances'!M19</f>
        <v>0</v>
      </c>
    </row>
    <row r="418" spans="1:13">
      <c r="B418" s="359" t="s">
        <v>1714</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110</v>
      </c>
      <c r="K420" s="2756">
        <f>IF(SUM(K410:K419)=0,0,IF(OR($D410="&lt;&lt;Select Fuel &gt;&gt;",$D411="&lt;&lt;Select Fuel &gt;&gt;",$D412="&lt;&lt;Select Fuel &gt;&gt;"),"Select Fuel",IF($E417="&lt;Select&gt;","Submeter?",SUM(K410:K419))))</f>
        <v>140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38.25">
      <c r="A422" s="361" t="s">
        <v>689</v>
      </c>
      <c r="B422" s="361" t="s">
        <v>2059</v>
      </c>
      <c r="F422" s="359" t="s">
        <v>2316</v>
      </c>
      <c r="G422" s="359"/>
      <c r="H422" s="359"/>
      <c r="I422" s="2621" t="str">
        <f>'Part IV-Utility Allowances'!I24</f>
        <v>DCA - Georgia North (Low Rise)</v>
      </c>
      <c r="J422" s="2621"/>
      <c r="K422" s="2621"/>
      <c r="L422" s="2621"/>
      <c r="M422" s="2621"/>
    </row>
    <row r="423" spans="1:13">
      <c r="A423" s="361"/>
      <c r="B423" s="361"/>
      <c r="F423" s="359" t="s">
        <v>593</v>
      </c>
      <c r="G423" s="359"/>
      <c r="H423" s="359"/>
      <c r="I423" s="2755">
        <f>'Part IV-Utility Allowances'!I25</f>
        <v>44927</v>
      </c>
      <c r="J423" s="2755"/>
      <c r="K423" s="1894" t="s">
        <v>505</v>
      </c>
      <c r="L423" s="359" t="str">
        <f>'Part IV-Utility Allowances'!L25</f>
        <v>Low-Rise Elevator</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1713</v>
      </c>
      <c r="H426" s="361"/>
      <c r="I426" s="1885" t="s">
        <v>526</v>
      </c>
      <c r="J426" s="1885">
        <v>1</v>
      </c>
      <c r="K426" s="1885">
        <v>2</v>
      </c>
      <c r="L426" s="1885">
        <v>3</v>
      </c>
      <c r="M426" s="1885">
        <v>4</v>
      </c>
    </row>
    <row r="427" spans="1:13">
      <c r="B427" s="359" t="s">
        <v>1715</v>
      </c>
      <c r="C427" s="359"/>
      <c r="D427" s="359" t="str">
        <f>'Part IV-Utility Allowances'!D29</f>
        <v>Electric Heat Pump</v>
      </c>
      <c r="E427" s="359"/>
      <c r="F427" s="2756" t="str">
        <f>'Part IV-Utility Allowances'!F29</f>
        <v>X</v>
      </c>
      <c r="G427" s="2756">
        <f>'Part IV-Utility Allowances'!G29</f>
        <v>0</v>
      </c>
      <c r="I427" s="1894">
        <f>'Part IV-Utility Allowances'!I29</f>
        <v>0</v>
      </c>
      <c r="J427" s="1894">
        <f>'Part IV-Utility Allowances'!J29</f>
        <v>9</v>
      </c>
      <c r="K427" s="1894">
        <f>'Part IV-Utility Allowances'!K29</f>
        <v>12</v>
      </c>
      <c r="L427" s="1894">
        <f>'Part IV-Utility Allowances'!L29</f>
        <v>0</v>
      </c>
      <c r="M427" s="1894">
        <f>'Part IV-Utility Allowances'!M29</f>
        <v>0</v>
      </c>
    </row>
    <row r="428" spans="1:13">
      <c r="B428" s="359" t="s">
        <v>1492</v>
      </c>
      <c r="C428" s="359"/>
      <c r="D428" s="359" t="str">
        <f>'Part IV-Utility Allowances'!D30</f>
        <v>Electric</v>
      </c>
      <c r="E428" s="359"/>
      <c r="F428" s="2756" t="str">
        <f>'Part IV-Utility Allowances'!F30</f>
        <v>X</v>
      </c>
      <c r="G428" s="2756">
        <f>'Part IV-Utility Allowances'!G30</f>
        <v>0</v>
      </c>
      <c r="I428" s="1894">
        <f>'Part IV-Utility Allowances'!I30</f>
        <v>0</v>
      </c>
      <c r="J428" s="1894">
        <f>'Part IV-Utility Allowances'!J30</f>
        <v>8</v>
      </c>
      <c r="K428" s="1894">
        <f>'Part IV-Utility Allowances'!K30</f>
        <v>10</v>
      </c>
      <c r="L428" s="1894">
        <f>'Part IV-Utility Allowances'!L30</f>
        <v>0</v>
      </c>
      <c r="M428" s="1894">
        <f>'Part IV-Utility Allowances'!M30</f>
        <v>0</v>
      </c>
    </row>
    <row r="429" spans="1:13">
      <c r="B429" s="359" t="s">
        <v>1493</v>
      </c>
      <c r="C429" s="359"/>
      <c r="D429" s="359" t="str">
        <f>'Part IV-Utility Allowances'!D31</f>
        <v>Electric</v>
      </c>
      <c r="E429" s="359"/>
      <c r="F429" s="2756" t="str">
        <f>'Part IV-Utility Allowances'!F31</f>
        <v>X</v>
      </c>
      <c r="G429" s="2756">
        <f>'Part IV-Utility Allowances'!G31</f>
        <v>0</v>
      </c>
      <c r="I429" s="1894">
        <f>'Part IV-Utility Allowances'!I31</f>
        <v>0</v>
      </c>
      <c r="J429" s="1894">
        <f>'Part IV-Utility Allowances'!J31</f>
        <v>14</v>
      </c>
      <c r="K429" s="1894">
        <f>'Part IV-Utility Allowances'!K31</f>
        <v>20</v>
      </c>
      <c r="L429" s="1894">
        <f>'Part IV-Utility Allowances'!L31</f>
        <v>0</v>
      </c>
      <c r="M429" s="1894">
        <f>'Part IV-Utility Allowances'!M31</f>
        <v>0</v>
      </c>
    </row>
    <row r="430" spans="1:13">
      <c r="B430" s="359" t="s">
        <v>440</v>
      </c>
      <c r="C430" s="359"/>
      <c r="D430" s="359" t="s">
        <v>1491</v>
      </c>
      <c r="F430" s="2756" t="str">
        <f>'Part IV-Utility Allowances'!F32</f>
        <v>X</v>
      </c>
      <c r="G430" s="2756">
        <f>'Part IV-Utility Allowances'!G32</f>
        <v>0</v>
      </c>
      <c r="I430" s="1894">
        <f>'Part IV-Utility Allowances'!I32</f>
        <v>0</v>
      </c>
      <c r="J430" s="1894">
        <f>'Part IV-Utility Allowances'!J32</f>
        <v>7</v>
      </c>
      <c r="K430" s="1894">
        <f>'Part IV-Utility Allowances'!K32</f>
        <v>10</v>
      </c>
      <c r="L430" s="1894">
        <f>'Part IV-Utility Allowances'!L32</f>
        <v>0</v>
      </c>
      <c r="M430" s="1894">
        <f>'Part IV-Utility Allowances'!M32</f>
        <v>0</v>
      </c>
    </row>
    <row r="431" spans="1:13">
      <c r="B431" s="359" t="s">
        <v>3268</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3269</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3270</v>
      </c>
      <c r="C433" s="359"/>
      <c r="D433" s="359" t="s">
        <v>1491</v>
      </c>
      <c r="F433" s="2756" t="str">
        <f>'Part IV-Utility Allowances'!F35</f>
        <v>X</v>
      </c>
      <c r="G433" s="2756">
        <f>'Part IV-Utility Allowances'!G35</f>
        <v>0</v>
      </c>
      <c r="I433" s="1894">
        <f>'Part IV-Utility Allowances'!I35</f>
        <v>0</v>
      </c>
      <c r="J433" s="1894">
        <f>'Part IV-Utility Allowances'!J35</f>
        <v>22</v>
      </c>
      <c r="K433" s="1894">
        <f>'Part IV-Utility Allowances'!K35</f>
        <v>29</v>
      </c>
      <c r="L433" s="1894">
        <f>'Part IV-Utility Allowances'!L35</f>
        <v>0</v>
      </c>
      <c r="M433" s="1894">
        <f>'Part IV-Utility Allowances'!M35</f>
        <v>0</v>
      </c>
    </row>
    <row r="434" spans="1:13">
      <c r="B434" s="359" t="s">
        <v>1292</v>
      </c>
      <c r="C434" s="359"/>
      <c r="D434" s="359" t="s">
        <v>6745</v>
      </c>
      <c r="E434" s="1894" t="str">
        <f>'Part IV-Utility Allowances'!E36</f>
        <v>Yes</v>
      </c>
      <c r="F434" s="2756" t="str">
        <f>'Part IV-Utility Allowances'!F36</f>
        <v>X</v>
      </c>
      <c r="G434" s="2756">
        <f>'Part IV-Utility Allowances'!G36</f>
        <v>0</v>
      </c>
      <c r="I434" s="1894">
        <f>'Part IV-Utility Allowances'!I36</f>
        <v>0</v>
      </c>
      <c r="J434" s="1894">
        <f>'Part IV-Utility Allowances'!J36</f>
        <v>49</v>
      </c>
      <c r="K434" s="1894">
        <f>'Part IV-Utility Allowances'!K36</f>
        <v>58</v>
      </c>
      <c r="L434" s="1894">
        <f>'Part IV-Utility Allowances'!L36</f>
        <v>0</v>
      </c>
      <c r="M434" s="1894">
        <f>'Part IV-Utility Allowances'!M36</f>
        <v>0</v>
      </c>
    </row>
    <row r="435" spans="1:13">
      <c r="B435" s="359" t="s">
        <v>1714</v>
      </c>
      <c r="C435" s="359"/>
      <c r="F435" s="2756">
        <f>'Part IV-Utility Allowances'!F37</f>
        <v>0</v>
      </c>
      <c r="G435" s="2756"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109</v>
      </c>
      <c r="K437" s="2756">
        <f>IF(SUM(K427:K436)=0,0,IF(OR($D427="&lt;&lt;Select Fuel &gt;&gt;",$D429="&lt;&lt;Select Fuel &gt;&gt;",$D430="&lt;&lt;Select Fuel &gt;&gt;"),"Select Fuel",IF($E434="&lt;Select&gt;","Submeter?",SUM(K427:K436))))</f>
        <v>139</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ht="409.5">
      <c r="B441" s="2757" t="str">
        <f>'Part IV-Utility Allowances'!B43</f>
        <v>Owner will be paying for Refuse Collection; Residents will be paying all other utilities.  The Owner is providing all kitchen applicances and the electricity for those is paid for by the tenant and is included in the Other Electric line item.  There are two different types of buidings on the property.  There is an elevator building that houses 48 of the units, and 2-quadplexes that house the 8 additional units.</v>
      </c>
      <c r="C441" s="2757"/>
      <c r="D441" s="2757"/>
      <c r="E441" s="2757"/>
      <c r="F441" s="2757"/>
      <c r="G441" s="2757"/>
      <c r="H441" s="2757"/>
      <c r="I441" s="2757"/>
      <c r="J441" s="2757"/>
      <c r="K441" s="2757"/>
      <c r="L441" s="2757"/>
      <c r="M441" s="2757"/>
    </row>
    <row r="443" spans="1:13">
      <c r="A443" s="361"/>
      <c r="B443" s="361" t="s">
        <v>1710</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Peaks of Douglas,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Peaks of Douglas,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2182</v>
      </c>
      <c r="D451" s="2630" t="s">
        <v>6092</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6971</v>
      </c>
      <c r="R452" s="2762"/>
      <c r="S452" s="2621"/>
      <c r="T452" s="2621"/>
      <c r="U452" s="2621"/>
      <c r="X452" s="2760" t="s">
        <v>3680</v>
      </c>
      <c r="Y452" s="2760" t="s">
        <v>3681</v>
      </c>
      <c r="Z452" s="2760" t="s">
        <v>3682</v>
      </c>
      <c r="AA452" s="2760" t="s">
        <v>3683</v>
      </c>
      <c r="AB452" s="2760" t="s">
        <v>3684</v>
      </c>
      <c r="AC452" s="2760" t="s">
        <v>3685</v>
      </c>
      <c r="AD452" s="2760" t="s">
        <v>3686</v>
      </c>
      <c r="AE452" s="2760" t="s">
        <v>3687</v>
      </c>
      <c r="AF452" s="2760" t="s">
        <v>3688</v>
      </c>
      <c r="AG452" s="2760" t="s">
        <v>3689</v>
      </c>
      <c r="AH452" s="2760" t="s">
        <v>861</v>
      </c>
      <c r="AI452" s="2760" t="s">
        <v>705</v>
      </c>
      <c r="AJ452" s="2760" t="s">
        <v>706</v>
      </c>
      <c r="AK452" s="2760" t="s">
        <v>707</v>
      </c>
      <c r="AL452" s="2760" t="s">
        <v>708</v>
      </c>
      <c r="AM452" s="2760" t="s">
        <v>862</v>
      </c>
      <c r="AN452" s="2760" t="s">
        <v>2130</v>
      </c>
      <c r="AO452" s="2760" t="s">
        <v>2131</v>
      </c>
      <c r="AP452" s="2760" t="s">
        <v>2132</v>
      </c>
      <c r="AQ452" s="2760" t="s">
        <v>2133</v>
      </c>
      <c r="AR452" s="2760" t="s">
        <v>3691</v>
      </c>
      <c r="AS452" s="2760" t="s">
        <v>3692</v>
      </c>
      <c r="AT452" s="2760" t="s">
        <v>3693</v>
      </c>
      <c r="AU452" s="2760" t="s">
        <v>3694</v>
      </c>
      <c r="AV452" s="2760" t="s">
        <v>3690</v>
      </c>
      <c r="AW452" s="2760" t="s">
        <v>863</v>
      </c>
      <c r="AX452" s="2760" t="s">
        <v>2134</v>
      </c>
      <c r="AY452" s="2760" t="s">
        <v>2135</v>
      </c>
      <c r="AZ452" s="2760" t="s">
        <v>2136</v>
      </c>
      <c r="BA452" s="2760" t="s">
        <v>2137</v>
      </c>
      <c r="BB452" s="2760" t="s">
        <v>3695</v>
      </c>
      <c r="BC452" s="2760" t="s">
        <v>3696</v>
      </c>
      <c r="BD452" s="2760" t="s">
        <v>3697</v>
      </c>
      <c r="BE452" s="2760" t="s">
        <v>3698</v>
      </c>
      <c r="BF452" s="2760" t="s">
        <v>3699</v>
      </c>
      <c r="BG452" s="2760" t="s">
        <v>123</v>
      </c>
      <c r="BH452" s="2760" t="s">
        <v>2138</v>
      </c>
      <c r="BI452" s="2760" t="s">
        <v>2139</v>
      </c>
      <c r="BJ452" s="2760" t="s">
        <v>2140</v>
      </c>
      <c r="BK452" s="2760" t="s">
        <v>1080</v>
      </c>
      <c r="BL452" s="2760" t="s">
        <v>3700</v>
      </c>
      <c r="BM452" s="2760" t="s">
        <v>3701</v>
      </c>
      <c r="BN452" s="2760" t="s">
        <v>3702</v>
      </c>
      <c r="BO452" s="2760" t="s">
        <v>3703</v>
      </c>
      <c r="BP452" s="2760" t="s">
        <v>3704</v>
      </c>
      <c r="BQ452" s="2760" t="s">
        <v>517</v>
      </c>
      <c r="BR452" s="2760" t="s">
        <v>518</v>
      </c>
      <c r="BS452" s="2760" t="s">
        <v>535</v>
      </c>
      <c r="BT452" s="2760" t="s">
        <v>536</v>
      </c>
      <c r="BU452" s="2760" t="s">
        <v>537</v>
      </c>
      <c r="BV452" s="2760" t="s">
        <v>3705</v>
      </c>
      <c r="BW452" s="2760" t="s">
        <v>3706</v>
      </c>
      <c r="BX452" s="2760" t="s">
        <v>3707</v>
      </c>
      <c r="BY452" s="2760" t="s">
        <v>3708</v>
      </c>
      <c r="BZ452" s="2760" t="s">
        <v>3709</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3715</v>
      </c>
      <c r="CL452" s="2760" t="s">
        <v>3716</v>
      </c>
      <c r="CM452" s="2760" t="s">
        <v>3717</v>
      </c>
      <c r="CN452" s="2760" t="s">
        <v>3718</v>
      </c>
      <c r="CO452" s="2760" t="s">
        <v>3719</v>
      </c>
      <c r="CP452" s="2760" t="s">
        <v>3710</v>
      </c>
      <c r="CQ452" s="2760" t="s">
        <v>3711</v>
      </c>
      <c r="CR452" s="2760" t="s">
        <v>3712</v>
      </c>
      <c r="CS452" s="2760" t="s">
        <v>3713</v>
      </c>
      <c r="CT452" s="2760" t="s">
        <v>3714</v>
      </c>
      <c r="CU452" s="2760" t="s">
        <v>3720</v>
      </c>
      <c r="CV452" s="2760" t="s">
        <v>3721</v>
      </c>
      <c r="CW452" s="2760" t="s">
        <v>3722</v>
      </c>
      <c r="CX452" s="2760" t="s">
        <v>3723</v>
      </c>
      <c r="CY452" s="2760" t="s">
        <v>3724</v>
      </c>
      <c r="CZ452" s="2760" t="s">
        <v>466</v>
      </c>
      <c r="DA452" s="2760" t="s">
        <v>467</v>
      </c>
      <c r="DB452" s="2760" t="s">
        <v>468</v>
      </c>
      <c r="DC452" s="2760" t="s">
        <v>469</v>
      </c>
      <c r="DD452" s="2760" t="s">
        <v>470</v>
      </c>
      <c r="DE452" s="2760" t="s">
        <v>3725</v>
      </c>
      <c r="DF452" s="2760" t="s">
        <v>3726</v>
      </c>
      <c r="DG452" s="2760" t="s">
        <v>3727</v>
      </c>
      <c r="DH452" s="2760" t="s">
        <v>3728</v>
      </c>
      <c r="DI452" s="2760" t="s">
        <v>3729</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3730</v>
      </c>
      <c r="DU452" s="2760" t="s">
        <v>3731</v>
      </c>
      <c r="DV452" s="2760" t="s">
        <v>3732</v>
      </c>
      <c r="DW452" s="2760" t="s">
        <v>3733</v>
      </c>
      <c r="DX452" s="2760" t="s">
        <v>3734</v>
      </c>
      <c r="DY452" s="2760" t="s">
        <v>3735</v>
      </c>
      <c r="DZ452" s="2760" t="s">
        <v>3736</v>
      </c>
      <c r="EA452" s="2760" t="s">
        <v>3737</v>
      </c>
      <c r="EB452" s="2760" t="s">
        <v>3738</v>
      </c>
      <c r="EC452" s="2760" t="s">
        <v>3739</v>
      </c>
      <c r="ED452" s="2760" t="s">
        <v>2234</v>
      </c>
      <c r="EE452" s="2760" t="s">
        <v>2235</v>
      </c>
      <c r="EF452" s="2760" t="s">
        <v>2236</v>
      </c>
      <c r="EG452" s="2760" t="s">
        <v>2237</v>
      </c>
      <c r="EH452" s="2760" t="s">
        <v>2238</v>
      </c>
      <c r="EI452" s="2760" t="s">
        <v>3740</v>
      </c>
      <c r="EJ452" s="2760" t="s">
        <v>3741</v>
      </c>
      <c r="EK452" s="2760" t="s">
        <v>3742</v>
      </c>
      <c r="EL452" s="2760" t="s">
        <v>3743</v>
      </c>
      <c r="EM452" s="2760" t="s">
        <v>3744</v>
      </c>
      <c r="EN452" s="2760" t="s">
        <v>3745</v>
      </c>
      <c r="EO452" s="2760" t="s">
        <v>3746</v>
      </c>
      <c r="EP452" s="2760" t="s">
        <v>3747</v>
      </c>
      <c r="EQ452" s="2760" t="s">
        <v>3748</v>
      </c>
      <c r="ER452" s="2760" t="s">
        <v>3749</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3750</v>
      </c>
      <c r="FD452" s="2760" t="s">
        <v>3751</v>
      </c>
      <c r="FE452" s="2760" t="s">
        <v>3752</v>
      </c>
      <c r="FF452" s="2760" t="s">
        <v>3753</v>
      </c>
      <c r="FG452" s="2760" t="s">
        <v>3754</v>
      </c>
      <c r="FH452" s="2760" t="s">
        <v>125</v>
      </c>
      <c r="FI452" s="2760" t="s">
        <v>853</v>
      </c>
      <c r="FJ452" s="2760" t="s">
        <v>854</v>
      </c>
      <c r="FK452" s="2760" t="s">
        <v>855</v>
      </c>
      <c r="FL452" s="2760" t="s">
        <v>856</v>
      </c>
      <c r="FM452" s="2760" t="s">
        <v>3755</v>
      </c>
      <c r="FN452" s="2760" t="s">
        <v>3756</v>
      </c>
      <c r="FO452" s="2760" t="s">
        <v>3757</v>
      </c>
      <c r="FP452" s="2760" t="s">
        <v>3758</v>
      </c>
      <c r="FQ452" s="2760" t="s">
        <v>3759</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2041</v>
      </c>
      <c r="HQ452" s="2760" t="s">
        <v>2042</v>
      </c>
      <c r="HR452" s="2760" t="s">
        <v>2043</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6972</v>
      </c>
      <c r="D453" s="2630"/>
      <c r="E453" s="2630"/>
      <c r="F453" s="2630"/>
      <c r="G453" s="1894" t="str">
        <f>'Part V-Revenues &amp; Expenses'!G6</f>
        <v>&lt;Select&gt;</v>
      </c>
      <c r="H453" s="2764" t="s">
        <v>6095</v>
      </c>
      <c r="I453" s="2764"/>
      <c r="J453" s="2764"/>
      <c r="K453" s="2765" t="s">
        <v>3134</v>
      </c>
      <c r="L453" s="2766" t="str">
        <f>'Part I-Project Identification'!$A$6</f>
        <v>April 2023</v>
      </c>
      <c r="M453" s="2766"/>
      <c r="N453" s="2766"/>
      <c r="O453" s="2767" t="s">
        <v>6973</v>
      </c>
      <c r="P453" s="2768">
        <f>'Part V-Revenues &amp; Expenses'!P6</f>
        <v>63400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6279</v>
      </c>
      <c r="MQ453" s="2760" t="s">
        <v>6280</v>
      </c>
      <c r="MR453" s="2760" t="s">
        <v>6281</v>
      </c>
      <c r="MS453" s="2760" t="s">
        <v>6282</v>
      </c>
      <c r="MT453" s="2760" t="s">
        <v>6283</v>
      </c>
    </row>
    <row r="454" spans="1:380" s="359" customFormat="1" ht="12.6" customHeight="1">
      <c r="A454" s="2763"/>
      <c r="B454" s="2770" t="s">
        <v>6094</v>
      </c>
      <c r="E454" s="1747"/>
      <c r="G454" s="1894" t="str">
        <f>'Part V-Revenues &amp; Expenses'!G7</f>
        <v>No</v>
      </c>
      <c r="I454" s="2771" t="s">
        <v>4069</v>
      </c>
      <c r="J454" s="2765" t="s">
        <v>742</v>
      </c>
      <c r="K454" s="2765" t="s">
        <v>3181</v>
      </c>
      <c r="L454" s="2766"/>
      <c r="M454" s="2766"/>
      <c r="N454" s="2766"/>
      <c r="O454" s="2772" t="s">
        <v>6074</v>
      </c>
      <c r="P454" s="2773">
        <f>'Part V-Revenues &amp; Expenses'!P7</f>
        <v>44652</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3762</v>
      </c>
      <c r="I455" s="2771"/>
      <c r="J455" s="2765" t="s">
        <v>743</v>
      </c>
      <c r="K455" s="2765" t="s">
        <v>3182</v>
      </c>
      <c r="L455" s="2621"/>
      <c r="M455" s="2621"/>
      <c r="N455" s="2775" t="s">
        <v>6478</v>
      </c>
      <c r="O455" s="2622" t="str">
        <f>'Part V-Revenues &amp; Expenses'!O8</f>
        <v>huduser.gov/portal/datasets/il.html</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3763</v>
      </c>
      <c r="C456" s="2765" t="s">
        <v>165</v>
      </c>
      <c r="D456" s="2765" t="s">
        <v>510</v>
      </c>
      <c r="E456" s="2765" t="s">
        <v>1382</v>
      </c>
      <c r="F456" s="2765" t="s">
        <v>1382</v>
      </c>
      <c r="G456" s="2771" t="s">
        <v>6090</v>
      </c>
      <c r="H456" s="2762" t="s">
        <v>3300</v>
      </c>
      <c r="I456" s="2771"/>
      <c r="J456" s="2778" t="s">
        <v>6084</v>
      </c>
      <c r="K456" s="2765" t="s">
        <v>6974</v>
      </c>
      <c r="L456" s="1634" t="s">
        <v>139</v>
      </c>
      <c r="M456" s="1634"/>
      <c r="N456" s="2765" t="s">
        <v>2183</v>
      </c>
      <c r="O456" s="2765" t="s">
        <v>6481</v>
      </c>
      <c r="P456" s="2761" t="s">
        <v>6975</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6284</v>
      </c>
      <c r="IZ456" s="2760" t="s">
        <v>6284</v>
      </c>
      <c r="JA456" s="2760" t="s">
        <v>6284</v>
      </c>
      <c r="JB456" s="2760" t="s">
        <v>6284</v>
      </c>
      <c r="JC456" s="2760" t="s">
        <v>6284</v>
      </c>
      <c r="JD456" s="2760" t="s">
        <v>6285</v>
      </c>
      <c r="JE456" s="2760" t="s">
        <v>6285</v>
      </c>
      <c r="JF456" s="2760" t="s">
        <v>6285</v>
      </c>
      <c r="JG456" s="2760" t="s">
        <v>6285</v>
      </c>
      <c r="JH456" s="2760" t="s">
        <v>6285</v>
      </c>
      <c r="JI456" s="2760" t="s">
        <v>6287</v>
      </c>
      <c r="JJ456" s="2760" t="s">
        <v>6287</v>
      </c>
      <c r="JK456" s="2760" t="s">
        <v>6287</v>
      </c>
      <c r="JL456" s="2760" t="s">
        <v>6287</v>
      </c>
      <c r="JM456" s="2760" t="s">
        <v>6287</v>
      </c>
      <c r="JN456" s="2760" t="s">
        <v>6288</v>
      </c>
      <c r="JO456" s="2760" t="s">
        <v>6288</v>
      </c>
      <c r="JP456" s="2760" t="s">
        <v>6288</v>
      </c>
      <c r="JQ456" s="2760" t="s">
        <v>6288</v>
      </c>
      <c r="JR456" s="2760" t="s">
        <v>6288</v>
      </c>
      <c r="JS456" s="2760" t="s">
        <v>6289</v>
      </c>
      <c r="JT456" s="2760" t="s">
        <v>6289</v>
      </c>
      <c r="JU456" s="2760" t="s">
        <v>6289</v>
      </c>
      <c r="JV456" s="2760" t="s">
        <v>6289</v>
      </c>
      <c r="JW456" s="2760" t="s">
        <v>6289</v>
      </c>
      <c r="JX456" s="2760" t="s">
        <v>6482</v>
      </c>
      <c r="JY456" s="2760" t="s">
        <v>6482</v>
      </c>
      <c r="JZ456" s="2760" t="s">
        <v>6482</v>
      </c>
      <c r="KA456" s="2760" t="s">
        <v>6482</v>
      </c>
      <c r="KB456" s="2760" t="s">
        <v>6482</v>
      </c>
      <c r="KC456" s="2760" t="s">
        <v>6647</v>
      </c>
      <c r="KD456" s="2760" t="s">
        <v>6647</v>
      </c>
      <c r="KE456" s="2760" t="s">
        <v>6647</v>
      </c>
      <c r="KF456" s="2760" t="s">
        <v>6647</v>
      </c>
      <c r="KG456" s="2760" t="s">
        <v>6647</v>
      </c>
      <c r="KH456" s="2760" t="s">
        <v>6648</v>
      </c>
      <c r="KI456" s="2760" t="s">
        <v>6648</v>
      </c>
      <c r="KJ456" s="2760" t="s">
        <v>6648</v>
      </c>
      <c r="KK456" s="2760" t="s">
        <v>6648</v>
      </c>
      <c r="KL456" s="2760" t="s">
        <v>6648</v>
      </c>
      <c r="KM456" s="2760" t="s">
        <v>6291</v>
      </c>
      <c r="KN456" s="2760" t="s">
        <v>6291</v>
      </c>
      <c r="KO456" s="2760" t="s">
        <v>6291</v>
      </c>
      <c r="KP456" s="2760" t="s">
        <v>6291</v>
      </c>
      <c r="KQ456" s="2760" t="s">
        <v>6291</v>
      </c>
      <c r="KR456" s="2760" t="s">
        <v>6483</v>
      </c>
      <c r="KS456" s="2760" t="s">
        <v>6483</v>
      </c>
      <c r="KT456" s="2760" t="s">
        <v>6483</v>
      </c>
      <c r="KU456" s="2760" t="s">
        <v>6483</v>
      </c>
      <c r="KV456" s="2760" t="s">
        <v>6483</v>
      </c>
      <c r="KW456" s="2760" t="s">
        <v>6649</v>
      </c>
      <c r="KX456" s="2760" t="s">
        <v>6649</v>
      </c>
      <c r="KY456" s="2760" t="s">
        <v>6649</v>
      </c>
      <c r="KZ456" s="2760" t="s">
        <v>6649</v>
      </c>
      <c r="LA456" s="2760" t="s">
        <v>6649</v>
      </c>
      <c r="LB456" s="2760" t="s">
        <v>6650</v>
      </c>
      <c r="LC456" s="2760" t="s">
        <v>6650</v>
      </c>
      <c r="LD456" s="2760" t="s">
        <v>6650</v>
      </c>
      <c r="LE456" s="2760" t="s">
        <v>6650</v>
      </c>
      <c r="LF456" s="2760" t="s">
        <v>6650</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3930</v>
      </c>
      <c r="C457" s="2765" t="s">
        <v>164</v>
      </c>
      <c r="D457" s="2765" t="s">
        <v>166</v>
      </c>
      <c r="E457" s="2765" t="s">
        <v>1383</v>
      </c>
      <c r="F457" s="2765" t="s">
        <v>1203</v>
      </c>
      <c r="G457" s="2771"/>
      <c r="H457" s="2765" t="s">
        <v>6091</v>
      </c>
      <c r="I457" s="2771"/>
      <c r="J457" s="2778"/>
      <c r="K457" s="2780" t="s">
        <v>334</v>
      </c>
      <c r="L457" s="2765" t="s">
        <v>1432</v>
      </c>
      <c r="M457" s="2765" t="s">
        <v>504</v>
      </c>
      <c r="N457" s="2765" t="s">
        <v>1382</v>
      </c>
      <c r="O457" s="2765" t="s">
        <v>6495</v>
      </c>
      <c r="P457" s="2781"/>
      <c r="Q457" s="2761"/>
      <c r="R457" s="2765" t="s">
        <v>1384</v>
      </c>
      <c r="S457" s="2765" t="s">
        <v>2455</v>
      </c>
      <c r="T457" s="361" t="s">
        <v>1710</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756" t="str">
        <f t="shared" si="0"/>
        <v/>
      </c>
      <c r="B465" s="2575">
        <f>'Part V-Revenues &amp; Expenses'!B18</f>
        <v>40</v>
      </c>
      <c r="C465" s="2576">
        <f>'Part V-Revenues &amp; Expenses'!C18</f>
        <v>1</v>
      </c>
      <c r="D465" s="2577">
        <f>'Part V-Revenues &amp; Expenses'!D18</f>
        <v>1</v>
      </c>
      <c r="E465" s="2578">
        <f>'Part V-Revenues &amp; Expenses'!E18</f>
        <v>1</v>
      </c>
      <c r="F465" s="2578">
        <f>'Part V-Revenues &amp; Expenses'!F18</f>
        <v>672</v>
      </c>
      <c r="G465" s="2578">
        <f>'Part V-Revenues &amp; Expenses'!G18</f>
        <v>723</v>
      </c>
      <c r="H465" s="2578">
        <f>'Part V-Revenues &amp; Expenses'!H18</f>
        <v>705</v>
      </c>
      <c r="I465" s="2578">
        <f>'Part V-Revenues &amp; Expenses'!I18</f>
        <v>0</v>
      </c>
      <c r="J465" s="2578">
        <f>'Part V-Revenues &amp; Expenses'!J18</f>
        <v>110</v>
      </c>
      <c r="K465" s="2579">
        <f>'Part V-Revenues &amp; Expenses'!K18</f>
        <v>0</v>
      </c>
      <c r="L465" s="2580">
        <f t="shared" si="1"/>
        <v>595</v>
      </c>
      <c r="M465" s="2580">
        <f t="shared" si="2"/>
        <v>595</v>
      </c>
      <c r="N465" s="2651" t="str">
        <f>'Part V-Revenues &amp; Expenses'!N18</f>
        <v>No</v>
      </c>
      <c r="O465" s="1320" t="str">
        <f>'Part V-Revenues &amp; Expenses'!O18</f>
        <v>Row House/TH</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f t="shared" si="24"/>
        <v>1</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f t="shared" si="54"/>
        <v>1</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f t="shared" si="139"/>
        <v>672</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1</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756" t="str">
        <f t="shared" si="0"/>
        <v/>
      </c>
      <c r="B466" s="2575">
        <f>'Part V-Revenues &amp; Expenses'!B19</f>
        <v>40</v>
      </c>
      <c r="C466" s="2576">
        <f>'Part V-Revenues &amp; Expenses'!C19</f>
        <v>1</v>
      </c>
      <c r="D466" s="2577">
        <f>'Part V-Revenues &amp; Expenses'!D19</f>
        <v>1</v>
      </c>
      <c r="E466" s="2578">
        <f>'Part V-Revenues &amp; Expenses'!E19</f>
        <v>3</v>
      </c>
      <c r="F466" s="2578">
        <f>'Part V-Revenues &amp; Expenses'!F19</f>
        <v>674</v>
      </c>
      <c r="G466" s="2578">
        <f>'Part V-Revenues &amp; Expenses'!G19</f>
        <v>723</v>
      </c>
      <c r="H466" s="2578">
        <f>'Part V-Revenues &amp; Expenses'!H19</f>
        <v>704</v>
      </c>
      <c r="I466" s="2578">
        <f>'Part V-Revenues &amp; Expenses'!I19</f>
        <v>0</v>
      </c>
      <c r="J466" s="2578">
        <f>'Part V-Revenues &amp; Expenses'!J19</f>
        <v>109</v>
      </c>
      <c r="K466" s="2579">
        <f>'Part V-Revenues &amp; Expenses'!K19</f>
        <v>0</v>
      </c>
      <c r="L466" s="2580">
        <f t="shared" si="1"/>
        <v>595</v>
      </c>
      <c r="M466" s="2580">
        <f t="shared" si="2"/>
        <v>1785</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f t="shared" si="24"/>
        <v>3</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f t="shared" si="54"/>
        <v>3</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f t="shared" si="139"/>
        <v>2022</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756" t="str">
        <f t="shared" si="0"/>
        <v/>
      </c>
      <c r="B467" s="2575">
        <f>'Part V-Revenues &amp; Expenses'!B20</f>
        <v>40</v>
      </c>
      <c r="C467" s="2576">
        <f>'Part V-Revenues &amp; Expenses'!C20</f>
        <v>2</v>
      </c>
      <c r="D467" s="2577">
        <f>'Part V-Revenues &amp; Expenses'!D20</f>
        <v>1</v>
      </c>
      <c r="E467" s="2578">
        <f>'Part V-Revenues &amp; Expenses'!E20</f>
        <v>1</v>
      </c>
      <c r="F467" s="2578">
        <f>'Part V-Revenues &amp; Expenses'!F20</f>
        <v>952</v>
      </c>
      <c r="G467" s="2578">
        <f>'Part V-Revenues &amp; Expenses'!G20</f>
        <v>867</v>
      </c>
      <c r="H467" s="2578">
        <f>'Part V-Revenues &amp; Expenses'!H20</f>
        <v>835</v>
      </c>
      <c r="I467" s="2578">
        <f>'Part V-Revenues &amp; Expenses'!I20</f>
        <v>0</v>
      </c>
      <c r="J467" s="2578">
        <f>'Part V-Revenues &amp; Expenses'!J20</f>
        <v>140</v>
      </c>
      <c r="K467" s="2579">
        <f>'Part V-Revenues &amp; Expenses'!K20</f>
        <v>0</v>
      </c>
      <c r="L467" s="2580">
        <f t="shared" si="1"/>
        <v>695</v>
      </c>
      <c r="M467" s="2580">
        <f t="shared" si="2"/>
        <v>695</v>
      </c>
      <c r="N467" s="2651" t="str">
        <f>'Part V-Revenues &amp; Expenses'!N20</f>
        <v>No</v>
      </c>
      <c r="O467" s="1320" t="str">
        <f>'Part V-Revenues &amp; Expenses'!O20</f>
        <v>Row House/TH</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f t="shared" si="25"/>
        <v>1</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f t="shared" si="55"/>
        <v>1</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f t="shared" si="140"/>
        <v>952</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1</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f t="shared" si="250"/>
        <v>1</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1</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756" t="str">
        <f t="shared" si="0"/>
        <v/>
      </c>
      <c r="B468" s="2575">
        <f>'Part V-Revenues &amp; Expenses'!B21</f>
        <v>40</v>
      </c>
      <c r="C468" s="2576">
        <f>'Part V-Revenues &amp; Expenses'!C21</f>
        <v>2</v>
      </c>
      <c r="D468" s="2577">
        <f>'Part V-Revenues &amp; Expenses'!D21</f>
        <v>2</v>
      </c>
      <c r="E468" s="2578">
        <f>'Part V-Revenues &amp; Expenses'!E21</f>
        <v>2</v>
      </c>
      <c r="F468" s="2578">
        <f>'Part V-Revenues &amp; Expenses'!F21</f>
        <v>916</v>
      </c>
      <c r="G468" s="2578">
        <f>'Part V-Revenues &amp; Expenses'!G21</f>
        <v>867</v>
      </c>
      <c r="H468" s="2578">
        <f>'Part V-Revenues &amp; Expenses'!H21</f>
        <v>834</v>
      </c>
      <c r="I468" s="2578">
        <f>'Part V-Revenues &amp; Expenses'!I21</f>
        <v>0</v>
      </c>
      <c r="J468" s="2578">
        <f>'Part V-Revenues &amp; Expenses'!J21</f>
        <v>139</v>
      </c>
      <c r="K468" s="2579">
        <f>'Part V-Revenues &amp; Expenses'!K21</f>
        <v>0</v>
      </c>
      <c r="L468" s="2580">
        <f t="shared" si="1"/>
        <v>695</v>
      </c>
      <c r="M468" s="2580">
        <f t="shared" si="2"/>
        <v>1390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f t="shared" si="25"/>
        <v>2</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f t="shared" si="55"/>
        <v>2</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f t="shared" si="140"/>
        <v>1832</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2</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2</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2</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756" t="str">
        <f t="shared" si="0"/>
        <v/>
      </c>
      <c r="B469" s="2575">
        <f>'Part V-Revenues &amp; Expenses'!B22</f>
        <v>50</v>
      </c>
      <c r="C469" s="2576">
        <f>'Part V-Revenues &amp; Expenses'!C22</f>
        <v>1</v>
      </c>
      <c r="D469" s="2577">
        <f>'Part V-Revenues &amp; Expenses'!D22</f>
        <v>1</v>
      </c>
      <c r="E469" s="2578">
        <f>'Part V-Revenues &amp; Expenses'!E22</f>
        <v>1</v>
      </c>
      <c r="F469" s="2578">
        <f>'Part V-Revenues &amp; Expenses'!F22</f>
        <v>672</v>
      </c>
      <c r="G469" s="2578">
        <f>'Part V-Revenues &amp; Expenses'!G22</f>
        <v>903</v>
      </c>
      <c r="H469" s="2578">
        <f>'Part V-Revenues &amp; Expenses'!H22</f>
        <v>835</v>
      </c>
      <c r="I469" s="2578">
        <f>'Part V-Revenues &amp; Expenses'!I22</f>
        <v>0</v>
      </c>
      <c r="J469" s="2578">
        <f>'Part V-Revenues &amp; Expenses'!J22</f>
        <v>110</v>
      </c>
      <c r="K469" s="2579">
        <f>'Part V-Revenues &amp; Expenses'!K22</f>
        <v>0</v>
      </c>
      <c r="L469" s="2580">
        <f t="shared" si="1"/>
        <v>725</v>
      </c>
      <c r="M469" s="2580">
        <f t="shared" si="2"/>
        <v>725</v>
      </c>
      <c r="N469" s="2651" t="str">
        <f>'Part V-Revenues &amp; Expenses'!N22</f>
        <v>No</v>
      </c>
      <c r="O469" s="1320" t="str">
        <f>'Part V-Revenues &amp; Expenses'!O22</f>
        <v>Row House/TH</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f t="shared" si="19"/>
        <v>1</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f t="shared" si="134"/>
        <v>672</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1</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f t="shared" si="249"/>
        <v>1</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1</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756" t="str">
        <f t="shared" si="0"/>
        <v/>
      </c>
      <c r="B470" s="2575">
        <f>'Part V-Revenues &amp; Expenses'!B23</f>
        <v>50</v>
      </c>
      <c r="C470" s="2576">
        <f>'Part V-Revenues &amp; Expenses'!C23</f>
        <v>1</v>
      </c>
      <c r="D470" s="2577">
        <f>'Part V-Revenues &amp; Expenses'!D23</f>
        <v>1</v>
      </c>
      <c r="E470" s="2578">
        <f>'Part V-Revenues &amp; Expenses'!E23</f>
        <v>6</v>
      </c>
      <c r="F470" s="2578">
        <f>'Part V-Revenues &amp; Expenses'!F23</f>
        <v>674</v>
      </c>
      <c r="G470" s="2578">
        <f>'Part V-Revenues &amp; Expenses'!G23</f>
        <v>903</v>
      </c>
      <c r="H470" s="2578">
        <f>'Part V-Revenues &amp; Expenses'!H23</f>
        <v>834</v>
      </c>
      <c r="I470" s="2578">
        <f>'Part V-Revenues &amp; Expenses'!I23</f>
        <v>0</v>
      </c>
      <c r="J470" s="2578">
        <f>'Part V-Revenues &amp; Expenses'!J23</f>
        <v>109</v>
      </c>
      <c r="K470" s="2579">
        <f>'Part V-Revenues &amp; Expenses'!K23</f>
        <v>0</v>
      </c>
      <c r="L470" s="2580">
        <f t="shared" si="1"/>
        <v>725</v>
      </c>
      <c r="M470" s="2580">
        <f t="shared" si="2"/>
        <v>4350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f t="shared" si="19"/>
        <v>6</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f t="shared" si="134"/>
        <v>4044</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6</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f t="shared" si="214"/>
        <v>6</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f t="shared" si="259"/>
        <v>6</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6</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756" t="str">
        <f t="shared" si="0"/>
        <v/>
      </c>
      <c r="B471" s="2575">
        <f>'Part V-Revenues &amp; Expenses'!B24</f>
        <v>50</v>
      </c>
      <c r="C471" s="2576">
        <f>'Part V-Revenues &amp; Expenses'!C24</f>
        <v>2</v>
      </c>
      <c r="D471" s="2577">
        <f>'Part V-Revenues &amp; Expenses'!D24</f>
        <v>2</v>
      </c>
      <c r="E471" s="2578">
        <f>'Part V-Revenues &amp; Expenses'!E24</f>
        <v>1</v>
      </c>
      <c r="F471" s="2578">
        <f>'Part V-Revenues &amp; Expenses'!F24</f>
        <v>952</v>
      </c>
      <c r="G471" s="2578">
        <f>'Part V-Revenues &amp; Expenses'!G24</f>
        <v>1084</v>
      </c>
      <c r="H471" s="2578">
        <f>'Part V-Revenues &amp; Expenses'!H24</f>
        <v>1040</v>
      </c>
      <c r="I471" s="2578">
        <f>'Part V-Revenues &amp; Expenses'!I24</f>
        <v>0</v>
      </c>
      <c r="J471" s="2578">
        <f>'Part V-Revenues &amp; Expenses'!J24</f>
        <v>140</v>
      </c>
      <c r="K471" s="2579">
        <f>'Part V-Revenues &amp; Expenses'!K24</f>
        <v>0</v>
      </c>
      <c r="L471" s="2580">
        <f t="shared" si="1"/>
        <v>900</v>
      </c>
      <c r="M471" s="2580">
        <f t="shared" si="2"/>
        <v>900</v>
      </c>
      <c r="N471" s="2651" t="str">
        <f>'Part V-Revenues &amp; Expenses'!N24</f>
        <v>No</v>
      </c>
      <c r="O471" s="1320" t="str">
        <f>'Part V-Revenues &amp; Expenses'!O24</f>
        <v>Row House/TH</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f t="shared" si="20"/>
        <v>1</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f t="shared" si="135"/>
        <v>952</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1</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f t="shared" si="250"/>
        <v>1</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1</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756" t="str">
        <f t="shared" si="0"/>
        <v/>
      </c>
      <c r="B472" s="2575">
        <f>'Part V-Revenues &amp; Expenses'!B25</f>
        <v>50</v>
      </c>
      <c r="C472" s="2576">
        <f>'Part V-Revenues &amp; Expenses'!C25</f>
        <v>2</v>
      </c>
      <c r="D472" s="2577">
        <f>'Part V-Revenues &amp; Expenses'!D25</f>
        <v>2</v>
      </c>
      <c r="E472" s="2578">
        <f>'Part V-Revenues &amp; Expenses'!E25</f>
        <v>3</v>
      </c>
      <c r="F472" s="2578">
        <f>'Part V-Revenues &amp; Expenses'!F25</f>
        <v>916</v>
      </c>
      <c r="G472" s="2578">
        <f>'Part V-Revenues &amp; Expenses'!G25</f>
        <v>1084</v>
      </c>
      <c r="H472" s="2578">
        <f>'Part V-Revenues &amp; Expenses'!H25</f>
        <v>1014</v>
      </c>
      <c r="I472" s="2578">
        <f>'Part V-Revenues &amp; Expenses'!I25</f>
        <v>0</v>
      </c>
      <c r="J472" s="2578">
        <f>'Part V-Revenues &amp; Expenses'!J25</f>
        <v>139</v>
      </c>
      <c r="K472" s="2579">
        <f>'Part V-Revenues &amp; Expenses'!K25</f>
        <v>0</v>
      </c>
      <c r="L472" s="2580">
        <f t="shared" si="1"/>
        <v>875</v>
      </c>
      <c r="M472" s="2580">
        <f t="shared" si="2"/>
        <v>2625</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f t="shared" si="20"/>
        <v>3</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f t="shared" si="135"/>
        <v>2748</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3</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3</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3</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3</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756" t="str">
        <f t="shared" si="0"/>
        <v/>
      </c>
      <c r="B473" s="2575">
        <f>'Part V-Revenues &amp; Expenses'!B26</f>
        <v>60</v>
      </c>
      <c r="C473" s="2576">
        <f>'Part V-Revenues &amp; Expenses'!C26</f>
        <v>1</v>
      </c>
      <c r="D473" s="2577">
        <f>'Part V-Revenues &amp; Expenses'!D26</f>
        <v>1</v>
      </c>
      <c r="E473" s="2578">
        <f>'Part V-Revenues &amp; Expenses'!E26</f>
        <v>1</v>
      </c>
      <c r="F473" s="2578">
        <f>'Part V-Revenues &amp; Expenses'!F26</f>
        <v>672</v>
      </c>
      <c r="G473" s="2578">
        <f>'Part V-Revenues &amp; Expenses'!G26</f>
        <v>1084</v>
      </c>
      <c r="H473" s="2578">
        <f>'Part V-Revenues &amp; Expenses'!H26</f>
        <v>985</v>
      </c>
      <c r="I473" s="2578">
        <f>'Part V-Revenues &amp; Expenses'!I26</f>
        <v>0</v>
      </c>
      <c r="J473" s="2578">
        <f>'Part V-Revenues &amp; Expenses'!J26</f>
        <v>110</v>
      </c>
      <c r="K473" s="2579">
        <f>'Part V-Revenues &amp; Expenses'!K26</f>
        <v>0</v>
      </c>
      <c r="L473" s="2580">
        <f t="shared" si="1"/>
        <v>875</v>
      </c>
      <c r="M473" s="2580">
        <f t="shared" si="2"/>
        <v>875</v>
      </c>
      <c r="N473" s="2651" t="str">
        <f>'Part V-Revenues &amp; Expenses'!N26</f>
        <v>No</v>
      </c>
      <c r="O473" s="1320" t="str">
        <f>'Part V-Revenues &amp; Expenses'!O26</f>
        <v>Row House/TH</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f t="shared" si="14"/>
        <v>1</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f t="shared" si="129"/>
        <v>672</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f t="shared" si="169"/>
        <v>1</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f t="shared" si="249"/>
        <v>1</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1</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756" t="str">
        <f t="shared" si="0"/>
        <v/>
      </c>
      <c r="B474" s="2575">
        <f>'Part V-Revenues &amp; Expenses'!B27</f>
        <v>60</v>
      </c>
      <c r="C474" s="2576">
        <f>'Part V-Revenues &amp; Expenses'!C27</f>
        <v>1</v>
      </c>
      <c r="D474" s="2577">
        <f>'Part V-Revenues &amp; Expenses'!D27</f>
        <v>1</v>
      </c>
      <c r="E474" s="2578">
        <f>'Part V-Revenues &amp; Expenses'!E27</f>
        <v>15</v>
      </c>
      <c r="F474" s="2578">
        <f>'Part V-Revenues &amp; Expenses'!F27</f>
        <v>674</v>
      </c>
      <c r="G474" s="2578">
        <f>'Part V-Revenues &amp; Expenses'!G27</f>
        <v>1084</v>
      </c>
      <c r="H474" s="2578">
        <f>'Part V-Revenues &amp; Expenses'!H27</f>
        <v>984</v>
      </c>
      <c r="I474" s="2578">
        <f>'Part V-Revenues &amp; Expenses'!I27</f>
        <v>0</v>
      </c>
      <c r="J474" s="2578">
        <f>'Part V-Revenues &amp; Expenses'!J27</f>
        <v>109</v>
      </c>
      <c r="K474" s="2579">
        <f>'Part V-Revenues &amp; Expenses'!K27</f>
        <v>0</v>
      </c>
      <c r="L474" s="2580">
        <f t="shared" si="1"/>
        <v>875</v>
      </c>
      <c r="M474" s="2580">
        <f t="shared" si="2"/>
        <v>13125</v>
      </c>
      <c r="N474" s="2651" t="str">
        <f>'Part V-Revenues &amp; Expenses'!N27</f>
        <v>No</v>
      </c>
      <c r="O474" s="1320" t="str">
        <f>'Part V-Revenues &amp; Expenses'!O27</f>
        <v>Low-Rise Apt</v>
      </c>
      <c r="P474" s="2651" t="str">
        <f>'Part V-Revenues &amp; Expenses'!P27</f>
        <v>New Construction</v>
      </c>
      <c r="Q474" s="1895" t="str">
        <f>'Part V-Revenues &amp; Expenses'!Q27</f>
        <v>No</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f t="shared" si="14"/>
        <v>15</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f t="shared" si="129"/>
        <v>10110</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f t="shared" si="169"/>
        <v>15</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f t="shared" si="214"/>
        <v>15</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f t="shared" si="259"/>
        <v>15</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15</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756" t="str">
        <f t="shared" si="0"/>
        <v/>
      </c>
      <c r="B475" s="2575">
        <f>'Part V-Revenues &amp; Expenses'!B28</f>
        <v>60</v>
      </c>
      <c r="C475" s="2576">
        <f>'Part V-Revenues &amp; Expenses'!C28</f>
        <v>2</v>
      </c>
      <c r="D475" s="2577">
        <f>'Part V-Revenues &amp; Expenses'!D28</f>
        <v>2</v>
      </c>
      <c r="E475" s="2578">
        <f>'Part V-Revenues &amp; Expenses'!E28</f>
        <v>1</v>
      </c>
      <c r="F475" s="2578">
        <f>'Part V-Revenues &amp; Expenses'!F28</f>
        <v>952</v>
      </c>
      <c r="G475" s="2578">
        <f>'Part V-Revenues &amp; Expenses'!G28</f>
        <v>1301</v>
      </c>
      <c r="H475" s="2578">
        <f>'Part V-Revenues &amp; Expenses'!H28</f>
        <v>1190</v>
      </c>
      <c r="I475" s="2578">
        <f>'Part V-Revenues &amp; Expenses'!I28</f>
        <v>0</v>
      </c>
      <c r="J475" s="2578">
        <f>'Part V-Revenues &amp; Expenses'!J28</f>
        <v>140</v>
      </c>
      <c r="K475" s="2579">
        <f>'Part V-Revenues &amp; Expenses'!K28</f>
        <v>0</v>
      </c>
      <c r="L475" s="2580">
        <f t="shared" si="1"/>
        <v>1050</v>
      </c>
      <c r="M475" s="2580">
        <f t="shared" si="2"/>
        <v>1050</v>
      </c>
      <c r="N475" s="2651" t="str">
        <f>'Part V-Revenues &amp; Expenses'!N28</f>
        <v>No</v>
      </c>
      <c r="O475" s="1320" t="str">
        <f>'Part V-Revenues &amp; Expenses'!O28</f>
        <v>Row House/TH</v>
      </c>
      <c r="P475" s="2651" t="str">
        <f>'Part V-Revenues &amp; Expenses'!P28</f>
        <v>New Construction</v>
      </c>
      <c r="Q475" s="1895" t="str">
        <f>'Part V-Revenues &amp; Expenses'!Q28</f>
        <v>No</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f t="shared" si="15"/>
        <v>1</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f t="shared" si="130"/>
        <v>952</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f t="shared" si="170"/>
        <v>1</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f t="shared" si="250"/>
        <v>1</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1</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756" t="str">
        <f t="shared" si="0"/>
        <v/>
      </c>
      <c r="B476" s="2575">
        <f>'Part V-Revenues &amp; Expenses'!B29</f>
        <v>60</v>
      </c>
      <c r="C476" s="2576">
        <f>'Part V-Revenues &amp; Expenses'!C29</f>
        <v>2</v>
      </c>
      <c r="D476" s="2577">
        <f>'Part V-Revenues &amp; Expenses'!D29</f>
        <v>2</v>
      </c>
      <c r="E476" s="2578">
        <f>'Part V-Revenues &amp; Expenses'!E29</f>
        <v>15</v>
      </c>
      <c r="F476" s="2578">
        <f>'Part V-Revenues &amp; Expenses'!F29</f>
        <v>916</v>
      </c>
      <c r="G476" s="2578">
        <f>'Part V-Revenues &amp; Expenses'!G29</f>
        <v>1301</v>
      </c>
      <c r="H476" s="2578">
        <f>'Part V-Revenues &amp; Expenses'!H29</f>
        <v>1189</v>
      </c>
      <c r="I476" s="2578">
        <f>'Part V-Revenues &amp; Expenses'!I29</f>
        <v>0</v>
      </c>
      <c r="J476" s="2578">
        <f>'Part V-Revenues &amp; Expenses'!J29</f>
        <v>139</v>
      </c>
      <c r="K476" s="2579">
        <f>'Part V-Revenues &amp; Expenses'!K29</f>
        <v>0</v>
      </c>
      <c r="L476" s="2580">
        <f t="shared" si="1"/>
        <v>1050</v>
      </c>
      <c r="M476" s="2580">
        <f t="shared" si="2"/>
        <v>15750</v>
      </c>
      <c r="N476" s="2651" t="str">
        <f>'Part V-Revenues &amp; Expenses'!N29</f>
        <v>No</v>
      </c>
      <c r="O476" s="1320" t="str">
        <f>'Part V-Revenues &amp; Expenses'!O29</f>
        <v>Low-Rise Apt</v>
      </c>
      <c r="P476" s="2651" t="str">
        <f>'Part V-Revenues &amp; Expenses'!P29</f>
        <v>New Construction</v>
      </c>
      <c r="Q476" s="1895" t="str">
        <f>'Part V-Revenues &amp; Expenses'!Q29</f>
        <v>No</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f t="shared" si="15"/>
        <v>15</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f t="shared" si="130"/>
        <v>13740</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f t="shared" si="170"/>
        <v>15</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f t="shared" si="215"/>
        <v>15</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f t="shared" si="260"/>
        <v>15</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15</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756" t="str">
        <f t="shared" si="0"/>
        <v/>
      </c>
      <c r="B477" s="2575">
        <f>'Part V-Revenues &amp; Expenses'!B30</f>
        <v>80</v>
      </c>
      <c r="C477" s="2576">
        <f>'Part V-Revenues &amp; Expenses'!C30</f>
        <v>1</v>
      </c>
      <c r="D477" s="2577">
        <f>'Part V-Revenues &amp; Expenses'!D30</f>
        <v>1</v>
      </c>
      <c r="E477" s="2578">
        <f>'Part V-Revenues &amp; Expenses'!E30</f>
        <v>1</v>
      </c>
      <c r="F477" s="2578">
        <f>'Part V-Revenues &amp; Expenses'!F30</f>
        <v>672</v>
      </c>
      <c r="G477" s="2578">
        <f>'Part V-Revenues &amp; Expenses'!G30</f>
        <v>1446</v>
      </c>
      <c r="H477" s="2578">
        <f>'Part V-Revenues &amp; Expenses'!H30</f>
        <v>1060</v>
      </c>
      <c r="I477" s="2578">
        <f>'Part V-Revenues &amp; Expenses'!I30</f>
        <v>0</v>
      </c>
      <c r="J477" s="2578">
        <f>'Part V-Revenues &amp; Expenses'!J30</f>
        <v>110</v>
      </c>
      <c r="K477" s="2579">
        <f>'Part V-Revenues &amp; Expenses'!K30</f>
        <v>0</v>
      </c>
      <c r="L477" s="2580">
        <f t="shared" si="1"/>
        <v>950</v>
      </c>
      <c r="M477" s="2580">
        <f t="shared" si="2"/>
        <v>950</v>
      </c>
      <c r="N477" s="2651" t="str">
        <f>'Part V-Revenues &amp; Expenses'!N30</f>
        <v>No</v>
      </c>
      <c r="O477" s="1320" t="str">
        <f>'Part V-Revenues &amp; Expenses'!O30</f>
        <v>Row House/TH</v>
      </c>
      <c r="P477" s="2651" t="str">
        <f>'Part V-Revenues &amp; Expenses'!P30</f>
        <v>New Construction</v>
      </c>
      <c r="Q477" s="1895" t="str">
        <f>'Part V-Revenues &amp; Expenses'!Q30</f>
        <v>No</v>
      </c>
      <c r="R477" s="2782"/>
      <c r="S477" s="2783"/>
      <c r="T477" s="2784"/>
      <c r="U477" s="2784"/>
      <c r="V477" s="2784"/>
      <c r="W477" s="2784"/>
      <c r="X477" s="357" t="str">
        <f t="shared" si="3"/>
        <v/>
      </c>
      <c r="Y477" s="357">
        <f t="shared" si="4"/>
        <v>1</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f t="shared" si="74"/>
        <v>1</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f t="shared" si="119"/>
        <v>672</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f t="shared" si="169"/>
        <v>1</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f t="shared" si="249"/>
        <v>1</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1</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756" t="str">
        <f t="shared" si="0"/>
        <v/>
      </c>
      <c r="B478" s="2575">
        <f>'Part V-Revenues &amp; Expenses'!B31</f>
        <v>80</v>
      </c>
      <c r="C478" s="2576">
        <f>'Part V-Revenues &amp; Expenses'!C31</f>
        <v>1</v>
      </c>
      <c r="D478" s="2577">
        <f>'Part V-Revenues &amp; Expenses'!D31</f>
        <v>1</v>
      </c>
      <c r="E478" s="2578">
        <f>'Part V-Revenues &amp; Expenses'!E31</f>
        <v>2</v>
      </c>
      <c r="F478" s="2578">
        <f>'Part V-Revenues &amp; Expenses'!F31</f>
        <v>674</v>
      </c>
      <c r="G478" s="2578">
        <f>'Part V-Revenues &amp; Expenses'!G31</f>
        <v>1446</v>
      </c>
      <c r="H478" s="2578">
        <f>'Part V-Revenues &amp; Expenses'!H31</f>
        <v>1059</v>
      </c>
      <c r="I478" s="2578">
        <f>'Part V-Revenues &amp; Expenses'!I31</f>
        <v>0</v>
      </c>
      <c r="J478" s="2578">
        <f>'Part V-Revenues &amp; Expenses'!J31</f>
        <v>109</v>
      </c>
      <c r="K478" s="2579">
        <f>'Part V-Revenues &amp; Expenses'!K31</f>
        <v>0</v>
      </c>
      <c r="L478" s="2580">
        <f t="shared" si="1"/>
        <v>950</v>
      </c>
      <c r="M478" s="2580">
        <f t="shared" si="2"/>
        <v>1900</v>
      </c>
      <c r="N478" s="2651" t="str">
        <f>'Part V-Revenues &amp; Expenses'!N31</f>
        <v>No</v>
      </c>
      <c r="O478" s="1320" t="str">
        <f>'Part V-Revenues &amp; Expenses'!O31</f>
        <v>Low-Rise Apt</v>
      </c>
      <c r="P478" s="2651" t="str">
        <f>'Part V-Revenues &amp; Expenses'!P31</f>
        <v>New Construction</v>
      </c>
      <c r="Q478" s="1895" t="str">
        <f>'Part V-Revenues &amp; Expenses'!Q31</f>
        <v>No</v>
      </c>
      <c r="R478" s="2782"/>
      <c r="S478" s="2783"/>
      <c r="T478" s="2784"/>
      <c r="U478" s="2784"/>
      <c r="V478" s="2784"/>
      <c r="W478" s="2784"/>
      <c r="X478" s="357" t="str">
        <f t="shared" si="3"/>
        <v/>
      </c>
      <c r="Y478" s="357">
        <f t="shared" si="4"/>
        <v>2</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f t="shared" si="74"/>
        <v>2</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f t="shared" si="119"/>
        <v>1348</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f t="shared" si="169"/>
        <v>2</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f t="shared" si="214"/>
        <v>2</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f t="shared" si="259"/>
        <v>2</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2</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756" t="str">
        <f t="shared" si="0"/>
        <v/>
      </c>
      <c r="B479" s="2575">
        <f>'Part V-Revenues &amp; Expenses'!B32</f>
        <v>80</v>
      </c>
      <c r="C479" s="2576">
        <f>'Part V-Revenues &amp; Expenses'!C32</f>
        <v>2</v>
      </c>
      <c r="D479" s="2577">
        <f>'Part V-Revenues &amp; Expenses'!D32</f>
        <v>2</v>
      </c>
      <c r="E479" s="2578">
        <f>'Part V-Revenues &amp; Expenses'!E32</f>
        <v>1</v>
      </c>
      <c r="F479" s="2578">
        <f>'Part V-Revenues &amp; Expenses'!F32</f>
        <v>952</v>
      </c>
      <c r="G479" s="2578">
        <f>'Part V-Revenues &amp; Expenses'!G32</f>
        <v>1735</v>
      </c>
      <c r="H479" s="2578">
        <f>'Part V-Revenues &amp; Expenses'!H32</f>
        <v>1290</v>
      </c>
      <c r="I479" s="2578">
        <f>'Part V-Revenues &amp; Expenses'!I32</f>
        <v>0</v>
      </c>
      <c r="J479" s="2578">
        <f>'Part V-Revenues &amp; Expenses'!J32</f>
        <v>140</v>
      </c>
      <c r="K479" s="2579">
        <f>'Part V-Revenues &amp; Expenses'!K32</f>
        <v>0</v>
      </c>
      <c r="L479" s="2580">
        <f t="shared" si="1"/>
        <v>1150</v>
      </c>
      <c r="M479" s="2580">
        <f t="shared" si="2"/>
        <v>1150</v>
      </c>
      <c r="N479" s="2651" t="str">
        <f>'Part V-Revenues &amp; Expenses'!N32</f>
        <v>No</v>
      </c>
      <c r="O479" s="1320" t="str">
        <f>'Part V-Revenues &amp; Expenses'!O32</f>
        <v>Row House/TH</v>
      </c>
      <c r="P479" s="2651" t="str">
        <f>'Part V-Revenues &amp; Expenses'!P32</f>
        <v>New Construction</v>
      </c>
      <c r="Q479" s="1895" t="str">
        <f>'Part V-Revenues &amp; Expenses'!Q32</f>
        <v>No</v>
      </c>
      <c r="R479" s="2782"/>
      <c r="S479" s="2783"/>
      <c r="T479" s="2784"/>
      <c r="U479" s="2784"/>
      <c r="V479" s="2784"/>
      <c r="W479" s="2784"/>
      <c r="X479" s="357" t="str">
        <f t="shared" si="3"/>
        <v/>
      </c>
      <c r="Y479" s="357" t="str">
        <f t="shared" si="4"/>
        <v/>
      </c>
      <c r="Z479" s="357">
        <f t="shared" si="5"/>
        <v>1</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f t="shared" si="75"/>
        <v>1</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f t="shared" si="120"/>
        <v>952</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f t="shared" si="170"/>
        <v>1</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f t="shared" si="250"/>
        <v>1</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1</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756" t="str">
        <f t="shared" si="0"/>
        <v/>
      </c>
      <c r="B480" s="2575">
        <f>'Part V-Revenues &amp; Expenses'!B33</f>
        <v>80</v>
      </c>
      <c r="C480" s="2576">
        <f>'Part V-Revenues &amp; Expenses'!C33</f>
        <v>2</v>
      </c>
      <c r="D480" s="2577">
        <f>'Part V-Revenues &amp; Expenses'!D33</f>
        <v>2</v>
      </c>
      <c r="E480" s="2578">
        <f>'Part V-Revenues &amp; Expenses'!E33</f>
        <v>2</v>
      </c>
      <c r="F480" s="2578">
        <f>'Part V-Revenues &amp; Expenses'!F33</f>
        <v>916</v>
      </c>
      <c r="G480" s="2578">
        <f>'Part V-Revenues &amp; Expenses'!G33</f>
        <v>1735</v>
      </c>
      <c r="H480" s="2578">
        <f>'Part V-Revenues &amp; Expenses'!H33</f>
        <v>1289</v>
      </c>
      <c r="I480" s="2578">
        <f>'Part V-Revenues &amp; Expenses'!I33</f>
        <v>0</v>
      </c>
      <c r="J480" s="2578">
        <f>'Part V-Revenues &amp; Expenses'!J33</f>
        <v>139</v>
      </c>
      <c r="K480" s="2579">
        <f>'Part V-Revenues &amp; Expenses'!K33</f>
        <v>0</v>
      </c>
      <c r="L480" s="2580">
        <f t="shared" si="1"/>
        <v>1150</v>
      </c>
      <c r="M480" s="2580">
        <f t="shared" si="2"/>
        <v>2300</v>
      </c>
      <c r="N480" s="2651" t="str">
        <f>'Part V-Revenues &amp; Expenses'!N33</f>
        <v>No</v>
      </c>
      <c r="O480" s="1320" t="str">
        <f>'Part V-Revenues &amp; Expenses'!O33</f>
        <v>Low-Rise Apt</v>
      </c>
      <c r="P480" s="2651" t="str">
        <f>'Part V-Revenues &amp; Expenses'!P33</f>
        <v>New Construction</v>
      </c>
      <c r="Q480" s="1895" t="str">
        <f>'Part V-Revenues &amp; Expenses'!Q33</f>
        <v>No</v>
      </c>
      <c r="R480" s="2782"/>
      <c r="S480" s="2783"/>
      <c r="T480" s="2784"/>
      <c r="U480" s="2784"/>
      <c r="V480" s="2784"/>
      <c r="W480" s="2784"/>
      <c r="X480" s="357" t="str">
        <f t="shared" si="3"/>
        <v/>
      </c>
      <c r="Y480" s="357" t="str">
        <f t="shared" si="4"/>
        <v/>
      </c>
      <c r="Z480" s="357">
        <f t="shared" si="5"/>
        <v>2</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f t="shared" si="75"/>
        <v>2</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f t="shared" si="120"/>
        <v>1832</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f t="shared" si="170"/>
        <v>2</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f t="shared" si="215"/>
        <v>2</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f t="shared" si="260"/>
        <v>2</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2</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756">
        <f>COUNT(A458,A459,A460,A461,A462,A463,A464,A465,A466,A467,A468,A469,A470,A471,A472,A473,A474,A475,A476,A477,A478,A479,A480,A481,A482,A483,A484,A485,A486,A487)</f>
        <v>0</v>
      </c>
      <c r="B496" s="2785" t="s">
        <v>3767</v>
      </c>
      <c r="C496" s="2785"/>
      <c r="D496" s="2786" t="s">
        <v>954</v>
      </c>
      <c r="E496" s="2581">
        <f>SUM(E458:E495)</f>
        <v>56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44172</v>
      </c>
      <c r="H496" s="2583" t="s">
        <v>3764</v>
      </c>
      <c r="I496" s="2787" t="s">
        <v>3765</v>
      </c>
      <c r="J496" s="2584" t="str">
        <f>IF(P514=0,"",IF(SUM(P505:P509)/P514&gt;=0.4,"Pass","Fail"))</f>
        <v>Pass</v>
      </c>
      <c r="K496" s="363"/>
      <c r="L496" s="2788" t="s">
        <v>1225</v>
      </c>
      <c r="M496" s="2585">
        <f>SUM(M458:M495)</f>
        <v>50165</v>
      </c>
      <c r="N496" s="359"/>
      <c r="O496" s="359"/>
      <c r="P496" s="359"/>
      <c r="Q496" s="359"/>
      <c r="R496" s="359"/>
      <c r="S496" s="359"/>
      <c r="T496" s="359"/>
      <c r="U496" s="359"/>
      <c r="V496" s="2765"/>
      <c r="W496" s="1749"/>
      <c r="X496" s="1749">
        <f t="shared" ref="X496:FA496" si="338">SUM(X458:X495)</f>
        <v>0</v>
      </c>
      <c r="Y496" s="1749">
        <f t="shared" si="338"/>
        <v>3</v>
      </c>
      <c r="Z496" s="1749">
        <f t="shared" si="338"/>
        <v>3</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16</v>
      </c>
      <c r="AJ496" s="1749">
        <f t="shared" si="338"/>
        <v>16</v>
      </c>
      <c r="AK496" s="1749">
        <f t="shared" si="338"/>
        <v>0</v>
      </c>
      <c r="AL496" s="1749">
        <f t="shared" si="338"/>
        <v>0</v>
      </c>
      <c r="AM496" s="1749">
        <f>SUM(AM458:AM495)</f>
        <v>0</v>
      </c>
      <c r="AN496" s="1749">
        <f>SUM(AN458:AN495)</f>
        <v>7</v>
      </c>
      <c r="AO496" s="1749">
        <f>SUM(AO458:AO495)</f>
        <v>4</v>
      </c>
      <c r="AP496" s="1749">
        <f>SUM(AP458:AP495)</f>
        <v>0</v>
      </c>
      <c r="AQ496" s="1749">
        <f>SUM(AQ458:AQ495)</f>
        <v>0</v>
      </c>
      <c r="AR496" s="1749">
        <f t="shared" si="338"/>
        <v>0</v>
      </c>
      <c r="AS496" s="1749">
        <f t="shared" si="338"/>
        <v>4</v>
      </c>
      <c r="AT496" s="1749">
        <f t="shared" si="338"/>
        <v>3</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4</v>
      </c>
      <c r="BX496" s="1749">
        <f>SUM(BX458:BX495)</f>
        <v>3</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3</v>
      </c>
      <c r="CR496" s="1749">
        <f t="shared" si="339"/>
        <v>3</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2020</v>
      </c>
      <c r="EK496" s="1749">
        <f t="shared" si="338"/>
        <v>2784</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10782</v>
      </c>
      <c r="EU496" s="1749">
        <f t="shared" si="338"/>
        <v>14692</v>
      </c>
      <c r="EV496" s="1749">
        <f t="shared" si="338"/>
        <v>0</v>
      </c>
      <c r="EW496" s="1749">
        <f t="shared" si="338"/>
        <v>0</v>
      </c>
      <c r="EX496" s="1749">
        <f t="shared" si="338"/>
        <v>0</v>
      </c>
      <c r="EY496" s="1749">
        <f t="shared" si="338"/>
        <v>4716</v>
      </c>
      <c r="EZ496" s="1749">
        <f t="shared" si="338"/>
        <v>3700</v>
      </c>
      <c r="FA496" s="1749">
        <f t="shared" si="338"/>
        <v>0</v>
      </c>
      <c r="FB496" s="1749">
        <f t="shared" ref="FB496:HW496" si="340">SUM(FB458:FB495)</f>
        <v>0</v>
      </c>
      <c r="FC496" s="1749">
        <f>SUM(FC458:FC495)</f>
        <v>0</v>
      </c>
      <c r="FD496" s="1749">
        <f>SUM(FD458:FD495)</f>
        <v>2694</v>
      </c>
      <c r="FE496" s="1749">
        <f>SUM(FE458:FE495)</f>
        <v>2784</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30</v>
      </c>
      <c r="GI496" s="1749">
        <f t="shared" si="340"/>
        <v>26</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26</v>
      </c>
      <c r="IB496" s="1749">
        <f t="shared" si="341"/>
        <v>22</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4</v>
      </c>
      <c r="JK496" s="1749">
        <f t="shared" si="341"/>
        <v>4</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26</v>
      </c>
      <c r="JU496" s="1749">
        <f t="shared" si="341"/>
        <v>22</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30</v>
      </c>
      <c r="MM496" s="1749">
        <f t="shared" si="343"/>
        <v>26</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89">
        <f>'Part V-Revenues &amp; Expenses'!B50</f>
        <v>57.678571428571431</v>
      </c>
      <c r="C497" s="2789"/>
      <c r="D497" s="2756" t="s">
        <v>3674</v>
      </c>
      <c r="E497" s="2581">
        <f>SUM(E465:E495)</f>
        <v>56</v>
      </c>
      <c r="F497" s="2582">
        <f>(E465*F465+E466*F466+E467*F467+E468*F468+E469*F469+E470*F470+E471*F471+E472*F472+E473*F473+E474*F474+E475*F475+E476*F476+E477*F477+E478*F478+E479*F479+E480*F480+E481*F481+E482*F482+E483*F483+E484*F484+E485*F485+E486*F486+E487*F487+E488*F488+E489*F489+E490*F490+E491*F491+E492*F492+E493*F493+E494*F494+E495*F495)</f>
        <v>44172</v>
      </c>
      <c r="H497" s="2583"/>
      <c r="I497" s="2787" t="s">
        <v>3766</v>
      </c>
      <c r="J497" s="2584" t="str">
        <f>IF(P514=0,"",IF(SUM(P506:P509)/P514&gt;=0.2,"Pass","Fail"))</f>
        <v>Pass</v>
      </c>
      <c r="K497" s="363"/>
      <c r="L497" s="2786" t="s">
        <v>757</v>
      </c>
      <c r="M497" s="2585">
        <f>M496*12</f>
        <v>601980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90" t="s">
        <v>6976</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6640</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93" t="s">
        <v>526</v>
      </c>
      <c r="L502" s="1897" t="s">
        <v>500</v>
      </c>
      <c r="M502" s="1897" t="s">
        <v>501</v>
      </c>
      <c r="N502" s="1897" t="s">
        <v>502</v>
      </c>
      <c r="O502" s="1897" t="s">
        <v>503</v>
      </c>
      <c r="P502" s="1897" t="s">
        <v>504</v>
      </c>
      <c r="S502" s="361" t="s">
        <v>1710</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4074</v>
      </c>
      <c r="B503" s="2794"/>
      <c r="C503" s="359" t="s">
        <v>1069</v>
      </c>
      <c r="D503" s="359"/>
      <c r="E503" s="359"/>
      <c r="F503" s="359"/>
      <c r="H503" s="1503" t="s">
        <v>3675</v>
      </c>
      <c r="I503" s="362"/>
      <c r="K503" s="2586">
        <f>X496</f>
        <v>0</v>
      </c>
      <c r="L503" s="2586">
        <f>Y496</f>
        <v>3</v>
      </c>
      <c r="M503" s="2586">
        <f>Z496</f>
        <v>3</v>
      </c>
      <c r="N503" s="2586">
        <f>AA496</f>
        <v>0</v>
      </c>
      <c r="O503" s="2586">
        <f>AB496</f>
        <v>0</v>
      </c>
      <c r="P503" s="2586">
        <f t="shared" ref="P503:P514" si="344">SUM(K503:O503)</f>
        <v>6</v>
      </c>
      <c r="Q503" s="2709" t="s">
        <v>3183</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3676</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16</v>
      </c>
      <c r="M505" s="2586">
        <f>AJ496</f>
        <v>16</v>
      </c>
      <c r="N505" s="2586">
        <f>AK496</f>
        <v>0</v>
      </c>
      <c r="O505" s="2586">
        <f>AL496</f>
        <v>0</v>
      </c>
      <c r="P505" s="2586">
        <f t="shared" si="344"/>
        <v>32</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7</v>
      </c>
      <c r="M506" s="2586">
        <f>AO496</f>
        <v>4</v>
      </c>
      <c r="N506" s="2586">
        <f>AP496</f>
        <v>0</v>
      </c>
      <c r="O506" s="2586">
        <f>AQ496</f>
        <v>0</v>
      </c>
      <c r="P506" s="2586">
        <f t="shared" si="344"/>
        <v>11</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3677</v>
      </c>
      <c r="I507" s="362"/>
      <c r="K507" s="2586">
        <f>AR496</f>
        <v>0</v>
      </c>
      <c r="L507" s="2586">
        <f>AS496</f>
        <v>4</v>
      </c>
      <c r="M507" s="2586">
        <f>AT496</f>
        <v>3</v>
      </c>
      <c r="N507" s="2586">
        <f>AU496</f>
        <v>0</v>
      </c>
      <c r="O507" s="2586">
        <f>AV496</f>
        <v>0</v>
      </c>
      <c r="P507" s="2586">
        <f t="shared" si="344"/>
        <v>7</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3678</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3679</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3761</v>
      </c>
      <c r="D510" s="359"/>
      <c r="E510" s="359"/>
      <c r="F510" s="359"/>
      <c r="H510" s="360"/>
      <c r="I510" s="807"/>
      <c r="K510" s="2586">
        <f>SUM(K503:K509)</f>
        <v>0</v>
      </c>
      <c r="L510" s="2586">
        <f>SUM(L503:L509)</f>
        <v>30</v>
      </c>
      <c r="M510" s="2586">
        <f>SUM(M503:M509)</f>
        <v>26</v>
      </c>
      <c r="N510" s="2586">
        <f>SUM(N503:N509)</f>
        <v>0</v>
      </c>
      <c r="O510" s="2586">
        <f>SUM(O503:O509)</f>
        <v>0</v>
      </c>
      <c r="P510" s="2586">
        <f t="shared" si="344"/>
        <v>56</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30</v>
      </c>
      <c r="M512" s="2587">
        <f>SUM(M510:M511)</f>
        <v>26</v>
      </c>
      <c r="N512" s="2587">
        <f>SUM(N510:N511)</f>
        <v>0</v>
      </c>
      <c r="O512" s="2587">
        <f>SUM(O510:O511)</f>
        <v>0</v>
      </c>
      <c r="P512" s="2587">
        <f t="shared" si="344"/>
        <v>56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3184</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30</v>
      </c>
      <c r="M514" s="2588">
        <f>SUM(M512:M513)</f>
        <v>26</v>
      </c>
      <c r="N514" s="2588">
        <f>SUM(N512:N513)</f>
        <v>0</v>
      </c>
      <c r="O514" s="2588">
        <f>SUM(O512:O513)</f>
        <v>0</v>
      </c>
      <c r="P514" s="2588">
        <f t="shared" si="344"/>
        <v>56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3770</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3675</v>
      </c>
      <c r="I517" s="362"/>
      <c r="J517" s="2802"/>
      <c r="K517" s="2803" t="str">
        <f t="shared" ref="K517:P517" si="345">IF(OR(K503=0,K514=0),"",K503/K514)</f>
        <v/>
      </c>
      <c r="L517" s="2803">
        <f t="shared" si="345"/>
        <v>0.1</v>
      </c>
      <c r="M517" s="2803">
        <f t="shared" si="345"/>
        <v>0.11538461538461539</v>
      </c>
      <c r="N517" s="2803" t="str">
        <f t="shared" si="345"/>
        <v/>
      </c>
      <c r="O517" s="2803" t="str">
        <f t="shared" si="345"/>
        <v/>
      </c>
      <c r="P517" s="2803">
        <f t="shared" si="345"/>
        <v>0.10714285714285714</v>
      </c>
      <c r="Q517" s="1877" t="s">
        <v>4068</v>
      </c>
      <c r="S517" s="2784"/>
      <c r="T517" s="2784"/>
      <c r="U517" s="2784"/>
      <c r="V517" s="2784"/>
      <c r="W517" s="2784"/>
    </row>
    <row r="518" spans="1:343">
      <c r="A518" s="2794"/>
      <c r="B518" s="2794"/>
      <c r="C518" s="2621"/>
      <c r="H518" s="1503" t="s">
        <v>6977</v>
      </c>
      <c r="I518" s="362"/>
      <c r="J518" s="359"/>
      <c r="K518" s="2804" t="str">
        <f>IF(OR(K503=0,P517="",K514=0),"",P517*K514)</f>
        <v/>
      </c>
      <c r="L518" s="2804">
        <f>IF(OR(L503=0,P517="",L514=0),"",P517*L514)</f>
        <v>3.214285714285714</v>
      </c>
      <c r="M518" s="2804">
        <f>IF(OR(M503=0,P517="",M514=0),"",P517*M514)</f>
        <v>2.7857142857142856</v>
      </c>
      <c r="N518" s="2804" t="str">
        <f>IF(OR(N503=0,P517="",N514=0),"",P517*N514)</f>
        <v/>
      </c>
      <c r="O518" s="2804" t="str">
        <f>IF(OR(O503=0,P517="",O514=0),"",P517*O514)</f>
        <v/>
      </c>
      <c r="P518" s="2804">
        <f>IF(OR(P517="",P514=0),"",P517*P514)</f>
        <v>6</v>
      </c>
      <c r="S518" s="2784"/>
      <c r="T518" s="2784"/>
      <c r="U518" s="2784"/>
      <c r="V518" s="2784"/>
      <c r="W518" s="2784"/>
    </row>
    <row r="519" spans="1:343">
      <c r="A519" s="2794"/>
      <c r="B519" s="2794"/>
      <c r="C519" s="2621"/>
      <c r="G519" s="2787"/>
      <c r="H519" s="1503" t="s">
        <v>6978</v>
      </c>
      <c r="I519" s="362"/>
      <c r="J519" s="359"/>
      <c r="K519" s="2804" t="str">
        <f t="shared" ref="K519:P519" si="346">IF(OR(K518="",K503=0),"", K503-K518)</f>
        <v/>
      </c>
      <c r="L519" s="2804">
        <f t="shared" si="346"/>
        <v>-0.21428571428571397</v>
      </c>
      <c r="M519" s="2804">
        <f t="shared" si="346"/>
        <v>0.21428571428571441</v>
      </c>
      <c r="N519" s="2804" t="str">
        <f t="shared" si="346"/>
        <v/>
      </c>
      <c r="O519" s="2804" t="str">
        <f t="shared" si="346"/>
        <v/>
      </c>
      <c r="P519" s="2804">
        <f t="shared" si="346"/>
        <v>0</v>
      </c>
      <c r="S519" s="2784"/>
      <c r="T519" s="2784"/>
      <c r="U519" s="2784"/>
      <c r="V519" s="2784"/>
      <c r="W519" s="2784"/>
    </row>
    <row r="520" spans="1:343" ht="12.75" customHeight="1">
      <c r="A520" s="2794"/>
      <c r="B520" s="2794"/>
      <c r="C520" s="2621"/>
      <c r="D520" s="2621" t="s">
        <v>6979</v>
      </c>
      <c r="E520" s="2621"/>
      <c r="F520" s="2621"/>
      <c r="H520" s="1503" t="s">
        <v>3676</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6977</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6978</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4066</v>
      </c>
      <c r="D523" s="2621"/>
      <c r="E523" s="2621"/>
      <c r="F523" s="2621"/>
      <c r="H523" s="1503" t="s">
        <v>1081</v>
      </c>
      <c r="I523" s="362"/>
      <c r="J523" s="359"/>
      <c r="K523" s="2803" t="str">
        <f t="shared" ref="K523:P523" si="349">IF(OR(K505=0,K514=0),"",K505/K514)</f>
        <v/>
      </c>
      <c r="L523" s="2803">
        <f t="shared" si="349"/>
        <v>0.53333333333333333</v>
      </c>
      <c r="M523" s="2803">
        <f t="shared" si="349"/>
        <v>0.61538461538461542</v>
      </c>
      <c r="N523" s="2803" t="str">
        <f t="shared" si="349"/>
        <v/>
      </c>
      <c r="O523" s="2803" t="str">
        <f t="shared" si="349"/>
        <v/>
      </c>
      <c r="P523" s="2803">
        <f t="shared" si="349"/>
        <v>0.5714285714285714</v>
      </c>
      <c r="S523" s="2784"/>
      <c r="T523" s="2784"/>
      <c r="U523" s="2784"/>
      <c r="V523" s="2784"/>
      <c r="W523" s="2784"/>
    </row>
    <row r="524" spans="1:343" ht="15.75" customHeight="1">
      <c r="C524" s="2805"/>
      <c r="D524" s="2621"/>
      <c r="E524" s="2621"/>
      <c r="F524" s="2621"/>
      <c r="H524" s="1503" t="s">
        <v>6977</v>
      </c>
      <c r="I524" s="362"/>
      <c r="J524" s="359"/>
      <c r="K524" s="2804" t="str">
        <f>IF(OR(K505=0,P523="",K514=0),"",P523*K514)</f>
        <v/>
      </c>
      <c r="L524" s="2804">
        <f>IF(OR(L505=0,P523="",L514=0),"",P523*L514)</f>
        <v>17.142857142857142</v>
      </c>
      <c r="M524" s="2804">
        <f>IF(OR(M505=0,P523="",M514=0),"",P523*M514)</f>
        <v>14.857142857142856</v>
      </c>
      <c r="N524" s="2804" t="str">
        <f>IF(OR(N505=0,P523="",N514=0),"",P523*N514)</f>
        <v/>
      </c>
      <c r="O524" s="2804" t="str">
        <f>IF(OR(O505=0,P523="",O514=0),"",P523*O514)</f>
        <v/>
      </c>
      <c r="P524" s="2804">
        <f>IF(OR(P523="",P514=0),"",P523*P514)</f>
        <v>32</v>
      </c>
      <c r="S524" s="2784"/>
      <c r="T524" s="2784"/>
      <c r="U524" s="2784"/>
      <c r="V524" s="2784"/>
      <c r="W524" s="2784"/>
    </row>
    <row r="525" spans="1:343" ht="15.75" customHeight="1">
      <c r="C525" s="2805"/>
      <c r="D525" s="2621"/>
      <c r="E525" s="2621"/>
      <c r="F525" s="2621"/>
      <c r="G525" s="2787"/>
      <c r="H525" s="1503" t="s">
        <v>6978</v>
      </c>
      <c r="I525" s="362"/>
      <c r="J525" s="359"/>
      <c r="K525" s="2804" t="str">
        <f t="shared" ref="K525:P525" si="350">IF(OR(K524="",K505=0),"", K505-K524)</f>
        <v/>
      </c>
      <c r="L525" s="2804">
        <f t="shared" si="350"/>
        <v>-1.1428571428571423</v>
      </c>
      <c r="M525" s="2804">
        <f t="shared" si="350"/>
        <v>1.1428571428571441</v>
      </c>
      <c r="N525" s="2804" t="str">
        <f t="shared" si="350"/>
        <v/>
      </c>
      <c r="O525" s="2804" t="str">
        <f t="shared" si="350"/>
        <v/>
      </c>
      <c r="P525" s="2804">
        <f t="shared" si="350"/>
        <v>0</v>
      </c>
    </row>
    <row r="526" spans="1:343">
      <c r="C526" s="2805" t="s">
        <v>4066</v>
      </c>
      <c r="D526" s="2805"/>
      <c r="E526" s="2805"/>
      <c r="H526" s="1503" t="s">
        <v>112</v>
      </c>
      <c r="I526" s="362"/>
      <c r="J526" s="359"/>
      <c r="K526" s="2803" t="str">
        <f t="shared" ref="K526:P526" si="351">IF(OR(K506=0,K514=0),"",K506/K514)</f>
        <v/>
      </c>
      <c r="L526" s="2803">
        <f t="shared" si="351"/>
        <v>0.23333333333333334</v>
      </c>
      <c r="M526" s="2803">
        <f t="shared" si="351"/>
        <v>0.15384615384615385</v>
      </c>
      <c r="N526" s="2803" t="str">
        <f t="shared" si="351"/>
        <v/>
      </c>
      <c r="O526" s="2803" t="str">
        <f t="shared" si="351"/>
        <v/>
      </c>
      <c r="P526" s="2803">
        <f t="shared" si="351"/>
        <v>0.19642857142857142</v>
      </c>
    </row>
    <row r="527" spans="1:343">
      <c r="C527" s="2805"/>
      <c r="D527" s="2805"/>
      <c r="E527" s="2805"/>
      <c r="H527" s="1503" t="s">
        <v>6977</v>
      </c>
      <c r="I527" s="362"/>
      <c r="J527" s="359"/>
      <c r="K527" s="2804" t="str">
        <f>IF(OR(K506=0,P526="",K514=0),"",P526*K514)</f>
        <v/>
      </c>
      <c r="L527" s="2804">
        <f>IF(OR(L506=0,P526="",L514=0),"",P526*L514)</f>
        <v>5.8928571428571423</v>
      </c>
      <c r="M527" s="2804">
        <f>IF(OR(M506=0,P526="",M514=0),"",P526*M514)</f>
        <v>5.1071428571428568</v>
      </c>
      <c r="N527" s="2804" t="str">
        <f>IF(OR(N506=0,P526="",N514=0),"",P526*N514)</f>
        <v/>
      </c>
      <c r="O527" s="2804" t="str">
        <f>IF(OR(O506=0,P526="",O514=0),"",P526*O514)</f>
        <v/>
      </c>
      <c r="P527" s="2804">
        <f>IF(OR(P526="",P514=0),"",P526*P514)</f>
        <v>11</v>
      </c>
    </row>
    <row r="528" spans="1:343">
      <c r="C528" s="2805"/>
      <c r="D528" s="2805"/>
      <c r="E528" s="2805"/>
      <c r="G528" s="2787"/>
      <c r="H528" s="1503" t="s">
        <v>6978</v>
      </c>
      <c r="I528" s="362"/>
      <c r="J528" s="359"/>
      <c r="K528" s="2804" t="str">
        <f t="shared" ref="K528:P528" si="352">IF(OR(K527="",K506=0),"", K506-K527)</f>
        <v/>
      </c>
      <c r="L528" s="2804">
        <f t="shared" si="352"/>
        <v>1.1071428571428577</v>
      </c>
      <c r="M528" s="2804">
        <f t="shared" si="352"/>
        <v>-1.1071428571428568</v>
      </c>
      <c r="N528" s="2804" t="str">
        <f t="shared" si="352"/>
        <v/>
      </c>
      <c r="O528" s="2804" t="str">
        <f t="shared" si="352"/>
        <v/>
      </c>
      <c r="P528" s="2804">
        <f t="shared" si="352"/>
        <v>0</v>
      </c>
    </row>
    <row r="529" spans="1:343">
      <c r="C529" s="2805" t="s">
        <v>4066</v>
      </c>
      <c r="D529" s="2805"/>
      <c r="E529" s="2805"/>
      <c r="H529" s="1503" t="s">
        <v>3677</v>
      </c>
      <c r="I529" s="362"/>
      <c r="J529" s="359"/>
      <c r="K529" s="2803" t="str">
        <f t="shared" ref="K529:P529" si="353">IF(OR(K507=0,K514=0),"",K507/K514)</f>
        <v/>
      </c>
      <c r="L529" s="2803">
        <f t="shared" si="353"/>
        <v>0.13333333333333333</v>
      </c>
      <c r="M529" s="2803">
        <f t="shared" si="353"/>
        <v>0.11538461538461539</v>
      </c>
      <c r="N529" s="2803" t="str">
        <f t="shared" si="353"/>
        <v/>
      </c>
      <c r="O529" s="2803" t="str">
        <f t="shared" si="353"/>
        <v/>
      </c>
      <c r="P529" s="2803">
        <f t="shared" si="353"/>
        <v>0.125</v>
      </c>
    </row>
    <row r="530" spans="1:343">
      <c r="C530" s="2805"/>
      <c r="H530" s="1503" t="s">
        <v>6977</v>
      </c>
      <c r="I530" s="362"/>
      <c r="J530" s="359"/>
      <c r="K530" s="2804" t="str">
        <f>IF(OR(K507=0,P529="",K514=0),"",P529*K514)</f>
        <v/>
      </c>
      <c r="L530" s="2804">
        <f>IF(OR(L507=0,P529="",L514=0),"",P529*L514)</f>
        <v>3.75</v>
      </c>
      <c r="M530" s="2804">
        <f>IF(OR(M507=0,P529="",M514=0),"",P529*M514)</f>
        <v>3.25</v>
      </c>
      <c r="N530" s="2804" t="str">
        <f>IF(OR(N507=0,P529="",N514=0),"",P529*N514)</f>
        <v/>
      </c>
      <c r="O530" s="2804" t="str">
        <f>IF(OR(O507=0,P529="",O514=0),"",P529*O514)</f>
        <v/>
      </c>
      <c r="P530" s="2804">
        <f>IF(OR(P529="",P514=0),"",P529*P514)</f>
        <v>7</v>
      </c>
    </row>
    <row r="531" spans="1:343">
      <c r="C531" s="2805"/>
      <c r="G531" s="2787"/>
      <c r="H531" s="1503" t="s">
        <v>6978</v>
      </c>
      <c r="I531" s="362"/>
      <c r="J531" s="359"/>
      <c r="K531" s="2804" t="str">
        <f t="shared" ref="K531:P531" si="354">IF(OR(K530="",K507=0),"", K507-K530)</f>
        <v/>
      </c>
      <c r="L531" s="2804">
        <f t="shared" si="354"/>
        <v>0.25</v>
      </c>
      <c r="M531" s="2804">
        <f t="shared" si="354"/>
        <v>-0.25</v>
      </c>
      <c r="N531" s="2804" t="str">
        <f t="shared" si="354"/>
        <v/>
      </c>
      <c r="O531" s="2804" t="str">
        <f t="shared" si="354"/>
        <v/>
      </c>
      <c r="P531" s="2804">
        <f t="shared" si="354"/>
        <v>0</v>
      </c>
    </row>
    <row r="532" spans="1:343">
      <c r="C532" s="2805" t="s">
        <v>4066</v>
      </c>
      <c r="H532" s="1503" t="s">
        <v>3678</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6977</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6978</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4066</v>
      </c>
      <c r="H535" s="1503" t="s">
        <v>3679</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6977</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6978</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3675</v>
      </c>
      <c r="I540" s="362"/>
      <c r="K540" s="2807">
        <f>CP496</f>
        <v>0</v>
      </c>
      <c r="L540" s="2807">
        <f>CQ496</f>
        <v>3</v>
      </c>
      <c r="M540" s="2807">
        <f>CR496</f>
        <v>3</v>
      </c>
      <c r="N540" s="2807">
        <f>CS496</f>
        <v>0</v>
      </c>
      <c r="O540" s="2807">
        <f>CT496</f>
        <v>0</v>
      </c>
      <c r="P540" s="2586">
        <f t="shared" ref="P540:P547" si="359">SUM(K540:O540)</f>
        <v>6</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3676</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3677</v>
      </c>
      <c r="I544" s="362"/>
      <c r="K544" s="2586">
        <f>BV496</f>
        <v>0</v>
      </c>
      <c r="L544" s="2586">
        <f>BW496</f>
        <v>4</v>
      </c>
      <c r="M544" s="2586">
        <f>BX496</f>
        <v>3</v>
      </c>
      <c r="N544" s="2586">
        <f>BY496</f>
        <v>0</v>
      </c>
      <c r="O544" s="2586">
        <f>BZ496</f>
        <v>0</v>
      </c>
      <c r="P544" s="2586">
        <f t="shared" si="359"/>
        <v>7</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3678</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3679</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7</v>
      </c>
      <c r="M547" s="2588">
        <f>SUM(M540:M546)</f>
        <v>6</v>
      </c>
      <c r="N547" s="2588">
        <f>SUM(N540:N546)</f>
        <v>0</v>
      </c>
      <c r="O547" s="2588">
        <f>SUM(O540:O546)</f>
        <v>0</v>
      </c>
      <c r="P547" s="2588">
        <f t="shared" si="359"/>
        <v>13</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3675</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3676</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3677</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3678</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3679</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2119</v>
      </c>
      <c r="F560" s="359"/>
      <c r="H560" s="1503" t="s">
        <v>1343</v>
      </c>
      <c r="I560" s="362"/>
      <c r="K560" s="2586">
        <f>GG496</f>
        <v>0</v>
      </c>
      <c r="L560" s="2586">
        <f>GH496</f>
        <v>30</v>
      </c>
      <c r="M560" s="2586">
        <f>GI496</f>
        <v>26</v>
      </c>
      <c r="N560" s="2586">
        <f>GJ496</f>
        <v>0</v>
      </c>
      <c r="O560" s="2586">
        <f>GK496</f>
        <v>0</v>
      </c>
      <c r="P560" s="2586">
        <f t="shared" ref="P560:P570" si="361">SUM(K560:O560)</f>
        <v>56</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30</v>
      </c>
      <c r="M562" s="2588">
        <f>SUM(M560:M561)+GS496</f>
        <v>26</v>
      </c>
      <c r="N562" s="2588">
        <f>SUM(N560:N561)+GT496</f>
        <v>0</v>
      </c>
      <c r="O562" s="2588">
        <f>SUM(O560:O561)+GU496</f>
        <v>0</v>
      </c>
      <c r="P562" s="2588">
        <f t="shared" si="361"/>
        <v>56</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1982</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6747</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6981</v>
      </c>
      <c r="D574" s="2784"/>
      <c r="E574" s="1503" t="s">
        <v>36</v>
      </c>
      <c r="F574" s="359"/>
      <c r="G574" s="2622"/>
      <c r="H574" s="360"/>
      <c r="K574" s="2588">
        <f t="shared" ref="K574:P574" si="362">SUM(K575:K582)</f>
        <v>0</v>
      </c>
      <c r="L574" s="2588">
        <f t="shared" si="362"/>
        <v>26</v>
      </c>
      <c r="M574" s="2588">
        <f t="shared" si="362"/>
        <v>22</v>
      </c>
      <c r="N574" s="2588">
        <f t="shared" si="362"/>
        <v>0</v>
      </c>
      <c r="O574" s="2588">
        <f t="shared" si="362"/>
        <v>0</v>
      </c>
      <c r="P574" s="2588">
        <f t="shared" si="362"/>
        <v>48</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6290</v>
      </c>
      <c r="I575" s="1877"/>
      <c r="K575" s="2586">
        <f>JS496</f>
        <v>0</v>
      </c>
      <c r="L575" s="2586">
        <f>JT496</f>
        <v>26</v>
      </c>
      <c r="M575" s="2586">
        <f>JU496</f>
        <v>22</v>
      </c>
      <c r="N575" s="2586">
        <f>JV496</f>
        <v>0</v>
      </c>
      <c r="O575" s="2586">
        <f>JW496</f>
        <v>0</v>
      </c>
      <c r="P575" s="2586">
        <f t="shared" ref="P575:P590" si="363">SUM(K575:O575)</f>
        <v>48</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6477</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6292</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6484</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6479</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6480</v>
      </c>
      <c r="F585" s="359"/>
      <c r="H585" s="2810"/>
      <c r="I585" s="1877"/>
      <c r="K585" s="2586">
        <f>JI496</f>
        <v>0</v>
      </c>
      <c r="L585" s="2586">
        <f>JJ496</f>
        <v>4</v>
      </c>
      <c r="M585" s="2586">
        <f>JK496</f>
        <v>4</v>
      </c>
      <c r="N585" s="2586">
        <f>JL496</f>
        <v>0</v>
      </c>
      <c r="O585" s="2586">
        <f>JM496</f>
        <v>0</v>
      </c>
      <c r="P585" s="2588">
        <f t="shared" si="363"/>
        <v>8</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6286</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6982</v>
      </c>
      <c r="D594" s="2784"/>
      <c r="E594" s="1503" t="s">
        <v>2991</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4</v>
      </c>
      <c r="M596" s="2586">
        <f t="shared" si="366"/>
        <v>4</v>
      </c>
      <c r="N596" s="2586">
        <f t="shared" si="366"/>
        <v>0</v>
      </c>
      <c r="O596" s="2586">
        <f t="shared" si="366"/>
        <v>0</v>
      </c>
      <c r="P596" s="2588">
        <f t="shared" si="365"/>
        <v>8</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26</v>
      </c>
      <c r="M598" s="2586">
        <f t="shared" si="367"/>
        <v>22</v>
      </c>
      <c r="N598" s="2586">
        <f t="shared" si="367"/>
        <v>0</v>
      </c>
      <c r="O598" s="2586">
        <f t="shared" si="367"/>
        <v>0</v>
      </c>
      <c r="P598" s="2588">
        <f t="shared" si="365"/>
        <v>48</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6983</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1981</v>
      </c>
      <c r="D604" s="359"/>
      <c r="E604" s="359"/>
      <c r="F604" s="359"/>
      <c r="H604" s="360" t="s">
        <v>3675</v>
      </c>
      <c r="I604" s="807"/>
      <c r="K604" s="2807">
        <f>EI496</f>
        <v>0</v>
      </c>
      <c r="L604" s="2807">
        <f>EJ496</f>
        <v>2020</v>
      </c>
      <c r="M604" s="2807">
        <f>EK496</f>
        <v>2784</v>
      </c>
      <c r="N604" s="2807">
        <f>EL496</f>
        <v>0</v>
      </c>
      <c r="O604" s="2807">
        <f>EM496</f>
        <v>0</v>
      </c>
      <c r="P604" s="2590">
        <f t="shared" ref="P604:P610" si="368">SUM(K604:O604)</f>
        <v>4804</v>
      </c>
      <c r="Q604" s="2804">
        <f t="shared" ref="Q604:Q610" si="369">IF(OR(P503=0,P503=""),"",P604/P503)</f>
        <v>800.66666666666663</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3676</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10782</v>
      </c>
      <c r="M606" s="2590">
        <f>EU496</f>
        <v>14692</v>
      </c>
      <c r="N606" s="2590">
        <f>EV496</f>
        <v>0</v>
      </c>
      <c r="O606" s="2590">
        <f>EW496</f>
        <v>0</v>
      </c>
      <c r="P606" s="2590">
        <f t="shared" si="368"/>
        <v>25474</v>
      </c>
      <c r="Q606" s="2804">
        <f t="shared" si="369"/>
        <v>796.0625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4716</v>
      </c>
      <c r="M607" s="2590">
        <f>EZ496</f>
        <v>3700</v>
      </c>
      <c r="N607" s="2590">
        <f>FA496</f>
        <v>0</v>
      </c>
      <c r="O607" s="2590">
        <f>FB496</f>
        <v>0</v>
      </c>
      <c r="P607" s="2590">
        <f t="shared" si="368"/>
        <v>8416</v>
      </c>
      <c r="Q607" s="2804">
        <f t="shared" si="369"/>
        <v>765.09090909090912</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3677</v>
      </c>
      <c r="I608" s="1877"/>
      <c r="K608" s="2590">
        <f>FC496</f>
        <v>0</v>
      </c>
      <c r="L608" s="2590">
        <f>FD496</f>
        <v>2694</v>
      </c>
      <c r="M608" s="2590">
        <f>FE496</f>
        <v>2784</v>
      </c>
      <c r="N608" s="2590">
        <f>FF496</f>
        <v>0</v>
      </c>
      <c r="O608" s="2590">
        <f>FG496</f>
        <v>0</v>
      </c>
      <c r="P608" s="2590">
        <f t="shared" si="368"/>
        <v>5478</v>
      </c>
      <c r="Q608" s="2804">
        <f t="shared" si="369"/>
        <v>782.57142857142856</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3678</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3679</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3760</v>
      </c>
      <c r="I611" s="2812"/>
      <c r="J611" s="2797"/>
      <c r="K611" s="2591">
        <f>SUM(K604:K610)</f>
        <v>0</v>
      </c>
      <c r="L611" s="2591">
        <f>SUM(L604:L610)</f>
        <v>20212</v>
      </c>
      <c r="M611" s="2591">
        <f>SUM(M604:M610)</f>
        <v>23960</v>
      </c>
      <c r="N611" s="2591">
        <f>SUM(N604:N610)</f>
        <v>0</v>
      </c>
      <c r="O611" s="2591">
        <f>SUM(O604:O610)</f>
        <v>0</v>
      </c>
      <c r="P611" s="2591">
        <f>SUM(K611:O611)</f>
        <v>44172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20212</v>
      </c>
      <c r="M613" s="2592">
        <f>SUM(M611:M612)</f>
        <v>23960</v>
      </c>
      <c r="N613" s="2592">
        <f>SUM(N611:N612)</f>
        <v>0</v>
      </c>
      <c r="O613" s="2592">
        <f>SUM(O611:O612)</f>
        <v>0</v>
      </c>
      <c r="P613" s="2592">
        <f>SUM(K613:O613)</f>
        <v>44172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20212</v>
      </c>
      <c r="M615" s="2593">
        <f>SUM(M613:M614)</f>
        <v>23960</v>
      </c>
      <c r="N615" s="2593">
        <f>SUM(N613:N614)</f>
        <v>0</v>
      </c>
      <c r="O615" s="2593">
        <f>SUM(O613:O614)</f>
        <v>0</v>
      </c>
      <c r="P615" s="2593">
        <f>SUM(K615:O615)</f>
        <v>44172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818" t="str">
        <f>IF(OR(K514="",K514=0),"",K615/K514)</f>
        <v/>
      </c>
      <c r="L618" s="2818">
        <f>IF(OR(L514="",L514=0),"",L615/L514)</f>
        <v>673.73333333333335</v>
      </c>
      <c r="M618" s="2818">
        <f>IF(OR(M514="",M514=0),"",M615/M514)</f>
        <v>921.53846153846155</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6985</v>
      </c>
      <c r="K621" s="2549">
        <f>'Part V-Revenues &amp; Expenses'!K174</f>
        <v>11402</v>
      </c>
      <c r="L621" s="2549"/>
      <c r="Z621" s="1622">
        <v>68</v>
      </c>
    </row>
    <row r="622" spans="1:380" s="1819" customFormat="1" ht="13.35" customHeight="1">
      <c r="A622" s="2615"/>
      <c r="C622" s="377" t="s">
        <v>242</v>
      </c>
      <c r="K622" s="2549">
        <f>P615+K621</f>
        <v>55574</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1710</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12039.6</v>
      </c>
      <c r="I626" s="2820"/>
      <c r="J626" s="2810" t="s">
        <v>6987</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2110</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6988</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2110</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6988</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6989</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2110</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6988</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6989</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2110</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6988</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1710</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26839</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2035</v>
      </c>
      <c r="F668" s="2590">
        <f>'Part V-Revenues &amp; Expenses'!F221</f>
        <v>49650</v>
      </c>
      <c r="G668" s="2590"/>
      <c r="I668" s="359" t="s">
        <v>1300</v>
      </c>
      <c r="L668" s="2590">
        <f>'Part V-Revenues &amp; Expenses'!L221</f>
        <v>0</v>
      </c>
      <c r="M668" s="2590"/>
      <c r="O668" s="2599">
        <f>+Q667/(P514*0.93)</f>
        <v>515.34178187403984</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40622</v>
      </c>
      <c r="G669" s="2590"/>
      <c r="I669" s="359" t="s">
        <v>1301</v>
      </c>
      <c r="L669" s="2590">
        <f>'Part V-Revenues &amp; Expenses'!L222</f>
        <v>3500</v>
      </c>
      <c r="M669" s="2590"/>
      <c r="O669" s="2599">
        <f>+Q667/(P514*0.93)/12</f>
        <v>42.945148489503318</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3500</v>
      </c>
      <c r="M670" s="2590"/>
      <c r="O670" s="362" t="s">
        <v>3221</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6630</v>
      </c>
      <c r="F671" s="2590">
        <f>'Part V-Revenues &amp; Expenses'!F224</f>
        <v>7728</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4018</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98000</v>
      </c>
      <c r="G674" s="2590"/>
      <c r="I674" s="359" t="s">
        <v>1497</v>
      </c>
      <c r="L674" s="2590">
        <f>'Part V-Revenues &amp; Expenses'!L227</f>
        <v>1361</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1898</v>
      </c>
      <c r="L675" s="2590">
        <f>'Part V-Revenues &amp; Expenses'!L228</f>
        <v>8500</v>
      </c>
      <c r="M675" s="2590"/>
      <c r="N675" s="2771" t="str">
        <f>IF(Q677="","",IF(Q675&lt;Q677, "WARNING! OE below required minimum.",""))</f>
        <v/>
      </c>
      <c r="O675" s="1747" t="s">
        <v>2028</v>
      </c>
      <c r="Q675" s="2818">
        <f>F674+F683+F694+L670+L678+L688+L694+Q667</f>
        <v>333200</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2500</v>
      </c>
      <c r="M676" s="2590"/>
      <c r="N676" s="2771"/>
      <c r="O676" s="2799" t="s">
        <v>2485</v>
      </c>
      <c r="P676" s="2599">
        <f>+Q675/P514</f>
        <v>5950</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831"/>
      <c r="F677" s="2590">
        <f>'Part V-Revenues &amp; Expenses'!F230</f>
        <v>15756</v>
      </c>
      <c r="G677" s="2590"/>
      <c r="I677" s="2832" t="str">
        <f>'Part V-Revenues &amp; Expenses'!I230</f>
        <v>Other (describe here)</v>
      </c>
      <c r="J677" s="2832"/>
      <c r="K677" s="2832"/>
      <c r="L677" s="2590">
        <f>'Part V-Revenues &amp; Expenses'!L230</f>
        <v>0</v>
      </c>
      <c r="M677" s="2590"/>
      <c r="N677" s="2771"/>
      <c r="P677" s="2799" t="s">
        <v>3222</v>
      </c>
      <c r="Q677" s="2818">
        <f>'Part V-Revenues &amp; Expenses'!Q230</f>
        <v>252000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3944</v>
      </c>
      <c r="G678" s="2590"/>
      <c r="I678" s="1747"/>
      <c r="K678" s="2828" t="s">
        <v>184</v>
      </c>
      <c r="L678" s="2818">
        <f>SUM(L674:L677)</f>
        <v>12361</v>
      </c>
      <c r="M678" s="2818"/>
      <c r="N678" s="2771"/>
      <c r="O678" s="2833" t="s">
        <v>6723</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1500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2160</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831"/>
      <c r="F681" s="2590">
        <f>'Part V-Revenues &amp; Expenses'!F234</f>
        <v>1200</v>
      </c>
      <c r="G681" s="2590"/>
      <c r="I681" s="1747" t="s">
        <v>1297</v>
      </c>
      <c r="K681" s="1622" t="s">
        <v>3882</v>
      </c>
      <c r="O681" s="1747" t="s">
        <v>3084</v>
      </c>
      <c r="P681" s="1747"/>
      <c r="Q681" s="2600">
        <f>'Part V-Revenues &amp; Expenses'!Q234</f>
        <v>14000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30.952380952380953</v>
      </c>
      <c r="L682" s="2590">
        <f>'Part V-Revenues &amp; Expenses'!L235</f>
        <v>20800</v>
      </c>
      <c r="M682" s="2590"/>
      <c r="N682" s="2771" t="str">
        <f>IF(Q681&lt;Q690, "WARNING! RR proposed is below the DCA required minimum.","")</f>
        <v/>
      </c>
      <c r="O682" s="362" t="s">
        <v>3881</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22400</v>
      </c>
      <c r="G683" s="2590"/>
      <c r="I683" s="359" t="s">
        <v>1291</v>
      </c>
      <c r="K683" s="2717">
        <f>L683/12/P514</f>
        <v>0</v>
      </c>
      <c r="L683" s="2590">
        <f>'Part V-Revenues &amp; Expenses'!L236</f>
        <v>0</v>
      </c>
      <c r="M683" s="2590"/>
      <c r="N683" s="2771"/>
      <c r="O683" s="2834" t="s">
        <v>3228</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3927</v>
      </c>
      <c r="K684" s="2717">
        <f>L684/12/P514</f>
        <v>1.7857142857142858</v>
      </c>
      <c r="L684" s="2590">
        <f>'Part V-Revenues &amp; Expenses'!L237</f>
        <v>1200</v>
      </c>
      <c r="M684" s="2590"/>
      <c r="N684" s="2771"/>
      <c r="O684" s="2835" t="s">
        <v>2463</v>
      </c>
      <c r="P684" s="2836" t="s">
        <v>3282</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831"/>
      <c r="I685" s="359" t="s">
        <v>1293</v>
      </c>
      <c r="K685" s="2717">
        <f>L685/12/P514</f>
        <v>14.583333333333332</v>
      </c>
      <c r="L685" s="2590">
        <f>'Part V-Revenues &amp; Expenses'!L238</f>
        <v>9800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8088</v>
      </c>
      <c r="G686" s="2590"/>
      <c r="I686" s="359" t="s">
        <v>6990</v>
      </c>
      <c r="K686" s="2717">
        <f>L686/12/P514</f>
        <v>2.6785714285714284</v>
      </c>
      <c r="L686" s="2590">
        <f>'Part V-Revenues &amp; Expenses'!L239</f>
        <v>1800</v>
      </c>
      <c r="M686" s="2590"/>
      <c r="N686" s="2771"/>
      <c r="O686" s="2622" t="s">
        <v>3051</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35332</v>
      </c>
      <c r="G687" s="2590"/>
      <c r="I687" s="2832" t="str">
        <f>'Part V-Revenues &amp; Expenses'!I240</f>
        <v>Other (describe here)</v>
      </c>
      <c r="J687" s="2832"/>
      <c r="K687" s="2717">
        <f>L687/12/P514</f>
        <v>0</v>
      </c>
      <c r="L687" s="2590">
        <f>'Part V-Revenues &amp; Expenses'!L240</f>
        <v>0</v>
      </c>
      <c r="M687" s="2590"/>
      <c r="N687" s="2771"/>
      <c r="O687" s="2622" t="s">
        <v>3050</v>
      </c>
      <c r="P687" s="2837" t="str">
        <f>CONCATENATE(SUM(MK496:MO496)," units x $",'DCA Underwriting Assumptions'!$Q$29," =")</f>
        <v>56 units x $250 =</v>
      </c>
      <c r="Q687" s="2837">
        <f>'Part V-Revenues &amp; Expenses'!Q240</f>
        <v>14000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15000</v>
      </c>
      <c r="G688" s="2590"/>
      <c r="K688" s="2828" t="s">
        <v>184</v>
      </c>
      <c r="L688" s="2818">
        <f>SUM(L682:L687)</f>
        <v>33600</v>
      </c>
      <c r="M688" s="2818"/>
      <c r="N688" s="2771"/>
      <c r="O688" s="2675" t="s">
        <v>6497</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1680</v>
      </c>
      <c r="G689" s="2590"/>
      <c r="O689" s="2675" t="s">
        <v>3049</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831"/>
      <c r="F690" s="2590">
        <f>'Part V-Revenues &amp; Expenses'!F243</f>
        <v>0</v>
      </c>
      <c r="G690" s="2590"/>
      <c r="I690" s="1747" t="s">
        <v>1298</v>
      </c>
      <c r="O690" s="2788" t="s">
        <v>2466</v>
      </c>
      <c r="P690" s="2782">
        <f>'Part V-Revenues &amp; Expenses'!P243</f>
        <v>56</v>
      </c>
      <c r="Q690" s="2838">
        <f>SUM(Q686:Q689)</f>
        <v>14000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6991</v>
      </c>
      <c r="L691" s="2590">
        <f>'Part V-Revenues &amp; Expenses'!L244</f>
        <v>44800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3600</v>
      </c>
      <c r="G692" s="2590"/>
      <c r="I692" s="359" t="s">
        <v>140</v>
      </c>
      <c r="L692" s="2590">
        <f>'Part V-Revenues &amp; Expenses'!L245</f>
        <v>28000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828" t="s">
        <v>184</v>
      </c>
      <c r="F694" s="2590">
        <f>SUM(F686:G693)</f>
        <v>63700</v>
      </c>
      <c r="G694" s="2590"/>
      <c r="K694" s="2828" t="s">
        <v>184</v>
      </c>
      <c r="L694" s="2818">
        <f>SUM(L690:L693)</f>
        <v>72800</v>
      </c>
      <c r="M694" s="2818"/>
      <c r="O694" s="1747" t="s">
        <v>2029</v>
      </c>
      <c r="Q694" s="2818">
        <f>Q675+Q681</f>
        <v>347200</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3373</v>
      </c>
      <c r="B698" s="1747" t="s">
        <v>3871</v>
      </c>
      <c r="C698" s="2828"/>
      <c r="H698" s="2586"/>
      <c r="I698" s="2602" t="s">
        <v>3872</v>
      </c>
      <c r="K698" s="2818">
        <f>'Part V-Revenues &amp; Expenses'!K251</f>
        <v>0</v>
      </c>
      <c r="L698" s="2818"/>
      <c r="M698" s="2830" t="s">
        <v>3899</v>
      </c>
      <c r="N698" s="2804">
        <f>'Part V-Revenues &amp; Expenses'!N251</f>
        <v>0</v>
      </c>
      <c r="O698" s="1747" t="s">
        <v>3874</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828"/>
      <c r="F700" s="2586"/>
      <c r="G700" s="2586"/>
      <c r="J700" s="1894" t="str">
        <f>'Part V-Revenues &amp; Expenses'!J253</f>
        <v>&lt;&lt;Select&gt;&gt;</v>
      </c>
      <c r="K700" s="2602" t="s">
        <v>3902</v>
      </c>
      <c r="L700" s="1894" t="str">
        <f>'Part V-Revenues &amp; Expenses'!L253</f>
        <v>&lt;&lt;Select&gt;&gt;</v>
      </c>
      <c r="M700" s="1894" t="s">
        <v>3903</v>
      </c>
      <c r="N700" s="2804">
        <f>'Part V-Revenues &amp; Expenses'!N253</f>
        <v>0</v>
      </c>
      <c r="O700" s="359" t="s">
        <v>3901</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Real Estate Tax Methodology:
We utilized an average of the Income Approach and Uniformity between Tax Credit Comparables as our basis for forecasting.    
For uniformity we used an average of $55,000/dwelling unit and $55/gross living area to come up with a value of $3,068,285.  The Millage rate for the Douglas County is:  $3.2563.
The calculation is:  (Total Value x 40% * Millage Rate)/100
$3,068,285 x 40% = $1,227,314
$1,227,314 x $3.2563 = $3,996,503
$3,996,503/100 = $39,9657 (or $7.14/unit)  
When calculating the Taxes based on the income approach the Value was $3,678,706 with a tax burden of $47,916 or $856 per unit.  
The average of these two methods is $785/unit.  We are using $800 as our expense projection for RE Taxes.  
TOTAL TAX PROJECTION  (See Tab 02 for comp methodology and comp information). 
Insurance Methodology:  TIV Value $10,599,254:  
Policy Rates:  
Primary Property &amp; Liability - $0.21471 per $100 Total Insurable Value
Umbrella/Excess Liability - $88/unit = $4,928
Environmental Liability - $3.68/unit = $206.08
Fidelity - $100.09/property 
TOTAL INSURANCE PREMIUM = $22,758 or $499.85/unit 
(See Tab 02 for methodology)  
ANCILLARY INCOME:  The ancillary income amount includes all additional collected fees for applications, vending, etc.
The Market study is utilitzing gross living area because that is the comparable square footage to the market comps.  The square footage in the table above is reflective of the net leasable area as defined by DCA.</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3372</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Peaks of Douglas,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6992</v>
      </c>
    </row>
    <row r="712" spans="1:11">
      <c r="C712" s="2771"/>
    </row>
    <row r="713" spans="1:11" ht="12.75" customHeight="1">
      <c r="A713" s="357" t="s">
        <v>2030</v>
      </c>
      <c r="B713" s="2841">
        <f>'DCA Underwriting Assumptions'!$Q$99</f>
        <v>0.02</v>
      </c>
      <c r="C713" s="2771"/>
      <c r="D713" s="2784" t="s">
        <v>6993</v>
      </c>
      <c r="E713" s="2784"/>
      <c r="F713" s="2784"/>
      <c r="G713" s="2603">
        <f>'Part VI-Pro Forma'!G6</f>
        <v>5000</v>
      </c>
      <c r="H713" s="2814" t="s">
        <v>1767</v>
      </c>
      <c r="K713" s="2842">
        <f>'Part VI-Pro Forma'!K6</f>
        <v>-8.7559812195270401E-3</v>
      </c>
    </row>
    <row r="714" spans="1:11">
      <c r="A714" s="357" t="s">
        <v>2031</v>
      </c>
      <c r="B714" s="2841">
        <f>'DCA Underwriting Assumptions'!$Q$102</f>
        <v>0.03</v>
      </c>
      <c r="C714" s="2771"/>
      <c r="D714" s="2784"/>
      <c r="E714" s="2784"/>
      <c r="F714" s="2784"/>
      <c r="G714" s="2843">
        <f>'Part VI-Pro Forma'!G7</f>
        <v>0</v>
      </c>
    </row>
    <row r="715" spans="1:11">
      <c r="A715" s="357" t="s">
        <v>2033</v>
      </c>
      <c r="B715" s="2841">
        <f>'DCA Underwriting Assumptions'!$Q$103</f>
        <v>0.03</v>
      </c>
      <c r="C715" s="2771"/>
      <c r="D715" s="359" t="s">
        <v>258</v>
      </c>
      <c r="G715" s="2844"/>
      <c r="H715" s="2814" t="s">
        <v>2190</v>
      </c>
      <c r="K715" s="2842">
        <f>'Part VI-Pro Forma'!K8</f>
        <v>4.7000355990177246E-2</v>
      </c>
    </row>
    <row r="716" spans="1:11">
      <c r="A716" s="357" t="s">
        <v>2032</v>
      </c>
      <c r="B716" s="2841">
        <f>'Part VI-Pro Forma'!B9</f>
        <v>7.0000000000000007E-2</v>
      </c>
      <c r="C716" s="2615" t="str">
        <f>IF(B716&lt;0.07, "Must be &gt;= 7%!","")</f>
        <v/>
      </c>
      <c r="D716" s="359" t="s">
        <v>2306</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2173</v>
      </c>
      <c r="K717" s="2605">
        <f>'Part VI-Pro Forma'!K10</f>
        <v>4.7E-2</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6">
        <f>'Part VI-Pro Forma'!B15</f>
        <v>601980</v>
      </c>
      <c r="C722" s="2606">
        <f>'Part VI-Pro Forma'!C15</f>
        <v>614019.6</v>
      </c>
      <c r="D722" s="2606">
        <f>'Part VI-Pro Forma'!D15</f>
        <v>626299.99199999997</v>
      </c>
      <c r="E722" s="2606">
        <f>'Part VI-Pro Forma'!E15</f>
        <v>638825.99183999992</v>
      </c>
      <c r="F722" s="2606">
        <f>'Part VI-Pro Forma'!F15</f>
        <v>651602.51167679997</v>
      </c>
      <c r="G722" s="2606">
        <f>'Part VI-Pro Forma'!G15</f>
        <v>664634.56191033602</v>
      </c>
      <c r="H722" s="2606">
        <f>'Part VI-Pro Forma'!H15</f>
        <v>677927.25314854272</v>
      </c>
      <c r="I722" s="2606">
        <f>'Part VI-Pro Forma'!I15</f>
        <v>691485.79821151344</v>
      </c>
      <c r="J722" s="2606">
        <f>'Part VI-Pro Forma'!J15</f>
        <v>705315.5141757438</v>
      </c>
      <c r="K722" s="2606">
        <f>'Part VI-Pro Forma'!K15</f>
        <v>719421.8244592587</v>
      </c>
    </row>
    <row r="723" spans="1:11">
      <c r="A723" s="357" t="s">
        <v>952</v>
      </c>
      <c r="B723" s="2606">
        <f>'Part VI-Pro Forma'!B16</f>
        <v>12039.6</v>
      </c>
      <c r="C723" s="2606">
        <f>'Part VI-Pro Forma'!C16</f>
        <v>12280.392</v>
      </c>
      <c r="D723" s="2606">
        <f>'Part VI-Pro Forma'!D16</f>
        <v>12525.99984</v>
      </c>
      <c r="E723" s="2606">
        <f>'Part VI-Pro Forma'!E16</f>
        <v>12776.5198368</v>
      </c>
      <c r="F723" s="2606">
        <f>'Part VI-Pro Forma'!F16</f>
        <v>13032.050233536</v>
      </c>
      <c r="G723" s="2606">
        <f>'Part VI-Pro Forma'!G16</f>
        <v>13292.69123820672</v>
      </c>
      <c r="H723" s="2606">
        <f>'Part VI-Pro Forma'!H16</f>
        <v>13558.545062970856</v>
      </c>
      <c r="I723" s="2606">
        <f>'Part VI-Pro Forma'!I16</f>
        <v>13829.71596423027</v>
      </c>
      <c r="J723" s="2606">
        <f>'Part VI-Pro Forma'!J16</f>
        <v>14106.310283514877</v>
      </c>
      <c r="K723" s="2606">
        <f>'Part VI-Pro Forma'!K16</f>
        <v>14388.436489185175</v>
      </c>
    </row>
    <row r="724" spans="1:11">
      <c r="A724" s="357" t="s">
        <v>2215</v>
      </c>
      <c r="B724" s="2606">
        <f>'Part VI-Pro Forma'!B17</f>
        <v>-42981.372000000003</v>
      </c>
      <c r="C724" s="2606">
        <f>'Part VI-Pro Forma'!C17</f>
        <v>-43840.99944</v>
      </c>
      <c r="D724" s="2606">
        <f>'Part VI-Pro Forma'!D17</f>
        <v>-44717.819428800001</v>
      </c>
      <c r="E724" s="2606">
        <f>'Part VI-Pro Forma'!E17</f>
        <v>-45612.175817376003</v>
      </c>
      <c r="F724" s="2606">
        <f>'Part VI-Pro Forma'!F17</f>
        <v>-46524.419333723527</v>
      </c>
      <c r="G724" s="2606">
        <f>'Part VI-Pro Forma'!G17</f>
        <v>-47454.907720397998</v>
      </c>
      <c r="H724" s="2606">
        <f>'Part VI-Pro Forma'!H17</f>
        <v>-48404.005874805953</v>
      </c>
      <c r="I724" s="2606">
        <f>'Part VI-Pro Forma'!I17</f>
        <v>-49372.085992302062</v>
      </c>
      <c r="J724" s="2606">
        <f>'Part VI-Pro Forma'!J17</f>
        <v>-50359.527712148112</v>
      </c>
      <c r="K724" s="2606">
        <f>'Part VI-Pro Forma'!K17</f>
        <v>-51366.718266391079</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3836</v>
      </c>
      <c r="B727" s="2606">
        <f>'Part VI-Pro Forma'!B20</f>
        <v>571038.228</v>
      </c>
      <c r="C727" s="2606">
        <f>'Part VI-Pro Forma'!C20</f>
        <v>582458.99255999993</v>
      </c>
      <c r="D727" s="2606">
        <f>'Part VI-Pro Forma'!D20</f>
        <v>594108.17241119989</v>
      </c>
      <c r="E727" s="2606">
        <f>'Part VI-Pro Forma'!E20</f>
        <v>605990.33585942397</v>
      </c>
      <c r="F727" s="2606">
        <f>'Part VI-Pro Forma'!F20</f>
        <v>618110.14257661253</v>
      </c>
      <c r="G727" s="2606">
        <f>'Part VI-Pro Forma'!G20</f>
        <v>630472.34542814468</v>
      </c>
      <c r="H727" s="2606">
        <f>'Part VI-Pro Forma'!H20</f>
        <v>643081.79233670759</v>
      </c>
      <c r="I727" s="2606">
        <f>'Part VI-Pro Forma'!I20</f>
        <v>655943.42818344163</v>
      </c>
      <c r="J727" s="2606">
        <f>'Part VI-Pro Forma'!J20</f>
        <v>669062.29674711055</v>
      </c>
      <c r="K727" s="2606">
        <f>'Part VI-Pro Forma'!K20</f>
        <v>682443.54268205282</v>
      </c>
    </row>
    <row r="728" spans="1:11">
      <c r="A728" s="357" t="s">
        <v>572</v>
      </c>
      <c r="B728" s="2606">
        <f>'Part VI-Pro Forma'!B21</f>
        <v>-306361</v>
      </c>
      <c r="C728" s="2606">
        <f>'Part VI-Pro Forma'!C21</f>
        <v>-315551.83</v>
      </c>
      <c r="D728" s="2606">
        <f>'Part VI-Pro Forma'!D21</f>
        <v>-325018.3849</v>
      </c>
      <c r="E728" s="2606">
        <f>'Part VI-Pro Forma'!E21</f>
        <v>-334768.93644700001</v>
      </c>
      <c r="F728" s="2606">
        <f>'Part VI-Pro Forma'!F21</f>
        <v>-344812.00454040995</v>
      </c>
      <c r="G728" s="2606">
        <f>'Part VI-Pro Forma'!G21</f>
        <v>-355156.36467662227</v>
      </c>
      <c r="H728" s="2606">
        <f>'Part VI-Pro Forma'!H21</f>
        <v>-365811.05561692093</v>
      </c>
      <c r="I728" s="2606">
        <f>'Part VI-Pro Forma'!I21</f>
        <v>-376785.38728542859</v>
      </c>
      <c r="J728" s="2606">
        <f>'Part VI-Pro Forma'!J21</f>
        <v>-388088.94890399143</v>
      </c>
      <c r="K728" s="2606">
        <f>'Part VI-Pro Forma'!K21</f>
        <v>-399731.61737111118</v>
      </c>
    </row>
    <row r="729" spans="1:11">
      <c r="A729" s="357" t="s">
        <v>1050</v>
      </c>
      <c r="B729" s="2606">
        <f>'Part VI-Pro Forma'!B22</f>
        <v>-26839</v>
      </c>
      <c r="C729" s="2606">
        <f>'Part VI-Pro Forma'!C22</f>
        <v>-27376</v>
      </c>
      <c r="D729" s="2606">
        <f>'Part VI-Pro Forma'!D22</f>
        <v>-27923</v>
      </c>
      <c r="E729" s="2606">
        <f>'Part VI-Pro Forma'!E22</f>
        <v>-28482</v>
      </c>
      <c r="F729" s="2606">
        <f>'Part VI-Pro Forma'!F22</f>
        <v>-29051</v>
      </c>
      <c r="G729" s="2606">
        <f>'Part VI-Pro Forma'!G22</f>
        <v>-29632</v>
      </c>
      <c r="H729" s="2606">
        <f>'Part VI-Pro Forma'!H22</f>
        <v>-30225</v>
      </c>
      <c r="I729" s="2606">
        <f>'Part VI-Pro Forma'!I22</f>
        <v>-30829</v>
      </c>
      <c r="J729" s="2606">
        <f>'Part VI-Pro Forma'!J22</f>
        <v>-31446</v>
      </c>
      <c r="K729" s="2606">
        <f>'Part VI-Pro Forma'!K22</f>
        <v>-32075</v>
      </c>
    </row>
    <row r="730" spans="1:11">
      <c r="A730" s="357" t="s">
        <v>1128</v>
      </c>
      <c r="B730" s="2606">
        <f>'Part VI-Pro Forma'!B23</f>
        <v>-14000</v>
      </c>
      <c r="C730" s="2606">
        <f>'Part VI-Pro Forma'!C23</f>
        <v>-14420</v>
      </c>
      <c r="D730" s="2606">
        <f>'Part VI-Pro Forma'!D23</f>
        <v>-14852.599999999999</v>
      </c>
      <c r="E730" s="2606">
        <f>'Part VI-Pro Forma'!E23</f>
        <v>-15298.178</v>
      </c>
      <c r="F730" s="2606">
        <f>'Part VI-Pro Forma'!F23</f>
        <v>-15757.123339999998</v>
      </c>
      <c r="G730" s="2606">
        <f>'Part VI-Pro Forma'!G23</f>
        <v>-16229.837040199998</v>
      </c>
      <c r="H730" s="2606">
        <f>'Part VI-Pro Forma'!H23</f>
        <v>-16716.732151405999</v>
      </c>
      <c r="I730" s="2606">
        <f>'Part VI-Pro Forma'!I23</f>
        <v>-17218.23411594818</v>
      </c>
      <c r="J730" s="2606">
        <f>'Part VI-Pro Forma'!J23</f>
        <v>-17734.781139426625</v>
      </c>
      <c r="K730" s="2606">
        <f>'Part VI-Pro Forma'!K23</f>
        <v>-18266.824573609421</v>
      </c>
    </row>
    <row r="731" spans="1:11">
      <c r="A731" s="357" t="s">
        <v>3835</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223838.228</v>
      </c>
      <c r="C732" s="2606">
        <f t="shared" ref="C732:J732" si="377">SUM(C727:C731)</f>
        <v>225111.16255999991</v>
      </c>
      <c r="D732" s="2606">
        <f t="shared" si="377"/>
        <v>226314.18751119988</v>
      </c>
      <c r="E732" s="2606">
        <f t="shared" si="377"/>
        <v>227441.22141242394</v>
      </c>
      <c r="F732" s="2606">
        <f t="shared" si="377"/>
        <v>228490.01469620259</v>
      </c>
      <c r="G732" s="2606">
        <f t="shared" si="377"/>
        <v>229454.14371132242</v>
      </c>
      <c r="H732" s="2606">
        <f t="shared" si="377"/>
        <v>230329.00456838065</v>
      </c>
      <c r="I732" s="2606">
        <f t="shared" si="377"/>
        <v>231110.80678206487</v>
      </c>
      <c r="J732" s="2606">
        <f t="shared" si="377"/>
        <v>231792.56670369249</v>
      </c>
      <c r="K732" s="2606">
        <f>SUM(K727:K731)</f>
        <v>232370.10073733222</v>
      </c>
    </row>
    <row r="733" spans="1:11">
      <c r="A733" s="357" t="s">
        <v>1486</v>
      </c>
      <c r="B733" s="2606">
        <f>'Part VI-Pro Forma'!B26</f>
        <v>-184228.81698972473</v>
      </c>
      <c r="C733" s="2606">
        <f>'Part VI-Pro Forma'!C26</f>
        <v>-184228.81698972473</v>
      </c>
      <c r="D733" s="2606">
        <f>'Part VI-Pro Forma'!D26</f>
        <v>-184228.81698972473</v>
      </c>
      <c r="E733" s="2606">
        <f>'Part VI-Pro Forma'!E26</f>
        <v>-184228.81698972473</v>
      </c>
      <c r="F733" s="2606">
        <f>'Part VI-Pro Forma'!F26</f>
        <v>-184228.81698972473</v>
      </c>
      <c r="G733" s="2606">
        <f>'Part VI-Pro Forma'!G26</f>
        <v>-184228.81698972473</v>
      </c>
      <c r="H733" s="2606">
        <f>'Part VI-Pro Forma'!H26</f>
        <v>-184228.81698972473</v>
      </c>
      <c r="I733" s="2606">
        <f>'Part VI-Pro Forma'!I26</f>
        <v>-184228.81698972473</v>
      </c>
      <c r="J733" s="2606">
        <f>'Part VI-Pro Forma'!J26</f>
        <v>-184228.81698972473</v>
      </c>
      <c r="K733" s="2606">
        <f>'Part VI-Pro Forma'!K26</f>
        <v>-184228.81698972473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3283</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-5000</v>
      </c>
      <c r="D738" s="2606">
        <f>'Part VI-Pro Forma'!D31</f>
        <v>-5000</v>
      </c>
      <c r="E738" s="2606">
        <f>'Part VI-Pro Forma'!E31</f>
        <v>-5000</v>
      </c>
      <c r="F738" s="2606">
        <f>'Part VI-Pro Forma'!F31</f>
        <v>-5000</v>
      </c>
      <c r="G738" s="2606">
        <f>'Part VI-Pro Forma'!G31</f>
        <v>-5000</v>
      </c>
      <c r="H738" s="2606">
        <f>'Part VI-Pro Forma'!H31</f>
        <v>-5000</v>
      </c>
      <c r="I738" s="2606">
        <f>'Part VI-Pro Forma'!I31</f>
        <v>-5000</v>
      </c>
      <c r="J738" s="2606">
        <f>'Part VI-Pro Forma'!J31</f>
        <v>-5000</v>
      </c>
      <c r="K738" s="2606">
        <f>'Part VI-Pro Forma'!K31</f>
        <v>-5000</v>
      </c>
    </row>
    <row r="739" spans="1:11">
      <c r="A739" s="357" t="s">
        <v>3360</v>
      </c>
      <c r="B739" s="2606">
        <f>'Part VI-Pro Forma'!B32</f>
        <v>-34609</v>
      </c>
      <c r="C739" s="2606">
        <f>'Part VI-Pro Forma'!C32</f>
        <v>-35882</v>
      </c>
      <c r="D739" s="2606">
        <f>'Part VI-Pro Forma'!D32</f>
        <v>-37085</v>
      </c>
      <c r="E739" s="2606">
        <f>'Part VI-Pro Forma'!E32</f>
        <v>-38212</v>
      </c>
      <c r="F739" s="2606">
        <f>'Part VI-Pro Forma'!F32</f>
        <v>-39261</v>
      </c>
      <c r="G739" s="2606">
        <f>'Part VI-Pro Forma'!G32</f>
        <v>-40225</v>
      </c>
      <c r="H739" s="2606">
        <f>'Part VI-Pro Forma'!H32</f>
        <v>-41100</v>
      </c>
      <c r="I739" s="2606">
        <f>'Part VI-Pro Forma'!I32</f>
        <v>-41881.5</v>
      </c>
      <c r="J739" s="2606">
        <f>'Part VI-Pro Forma'!J32</f>
        <v>-42563.5</v>
      </c>
      <c r="K739" s="2606">
        <f>'Part VI-Pro Forma'!K32</f>
        <v>-43141</v>
      </c>
    </row>
    <row r="740" spans="1:11">
      <c r="A740" s="357" t="s">
        <v>1096</v>
      </c>
      <c r="B740" s="2606">
        <f t="shared" ref="B740:K740" si="378">SUM(B732:B739)</f>
        <v>0.41101027527474798</v>
      </c>
      <c r="C740" s="2606">
        <f t="shared" si="378"/>
        <v>0.3455702751816716</v>
      </c>
      <c r="D740" s="2606">
        <f t="shared" si="378"/>
        <v>0.37052147515350953</v>
      </c>
      <c r="E740" s="2606">
        <f t="shared" si="378"/>
        <v>0.4044226992118638</v>
      </c>
      <c r="F740" s="2606">
        <f t="shared" si="378"/>
        <v>0.19770647786208428</v>
      </c>
      <c r="G740" s="2606">
        <f t="shared" si="378"/>
        <v>0.32672159769572318</v>
      </c>
      <c r="H740" s="2606">
        <f t="shared" si="378"/>
        <v>0.18757865592488088</v>
      </c>
      <c r="I740" s="2606">
        <f t="shared" si="378"/>
        <v>0.48979234014404938</v>
      </c>
      <c r="J740" s="2606">
        <f t="shared" si="378"/>
        <v>0.24971396775799803</v>
      </c>
      <c r="K740" s="2606">
        <f t="shared" si="378"/>
        <v>0.28374760749284178</v>
      </c>
    </row>
    <row r="741" spans="1:11">
      <c r="A741" s="357" t="str">
        <f>IF('Part II-Sources of Funds'!$E$40 = "Neither", "", "DCR Mortgage A")</f>
        <v>DCR Mortgage A</v>
      </c>
      <c r="B741" s="2607">
        <f t="shared" ref="B741:K741" si="379">IF(B733=0,"",-B732/B733)</f>
        <v>1.2150011689674176</v>
      </c>
      <c r="C741" s="2607">
        <f t="shared" si="379"/>
        <v>1.221910699087621</v>
      </c>
      <c r="D741" s="2607">
        <f t="shared" si="379"/>
        <v>1.2284407575814942</v>
      </c>
      <c r="E741" s="2607">
        <f t="shared" si="379"/>
        <v>1.2345583341888873</v>
      </c>
      <c r="F741" s="2607">
        <f t="shared" si="379"/>
        <v>1.2402512181845391</v>
      </c>
      <c r="G741" s="2607">
        <f t="shared" si="379"/>
        <v>1.2454845417811053</v>
      </c>
      <c r="H741" s="2607">
        <f t="shared" si="379"/>
        <v>1.2502333149174329</v>
      </c>
      <c r="I741" s="2607">
        <f t="shared" si="379"/>
        <v>1.25447696271618</v>
      </c>
      <c r="J741" s="2607">
        <f t="shared" si="379"/>
        <v>1.2581775777055584</v>
      </c>
      <c r="K741" s="2607">
        <f t="shared" si="379"/>
        <v>1.2613124511910239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3212</v>
      </c>
      <c r="B745" s="2607">
        <f t="shared" ref="B745:K745" si="383">IF(AND(B733=0,B734=0,B735=0,B736=0),"",-B732/(B733+B734+B735+B736))</f>
        <v>1.2150011689674176</v>
      </c>
      <c r="C745" s="2607">
        <f t="shared" si="383"/>
        <v>1.221910699087621</v>
      </c>
      <c r="D745" s="2607">
        <f t="shared" si="383"/>
        <v>1.2284407575814942</v>
      </c>
      <c r="E745" s="2607">
        <f t="shared" si="383"/>
        <v>1.2345583341888873</v>
      </c>
      <c r="F745" s="2607">
        <f t="shared" si="383"/>
        <v>1.2402512181845391</v>
      </c>
      <c r="G745" s="2607">
        <f t="shared" si="383"/>
        <v>1.2454845417811053</v>
      </c>
      <c r="H745" s="2607">
        <f t="shared" si="383"/>
        <v>1.2502333149174329</v>
      </c>
      <c r="I745" s="2607">
        <f t="shared" si="383"/>
        <v>1.25447696271618</v>
      </c>
      <c r="J745" s="2607">
        <f t="shared" si="383"/>
        <v>1.2581775777055584</v>
      </c>
      <c r="K745" s="2607">
        <f t="shared" si="383"/>
        <v>1.2613124511910239</v>
      </c>
    </row>
    <row r="746" spans="1:11">
      <c r="A746" s="357" t="s">
        <v>718</v>
      </c>
      <c r="B746" s="2608">
        <f t="shared" ref="B746:K746" si="384">IF(OR(B729="Choose mgt fee",B729="Choose One!"),"",(B722+B723+B724+B725+B726) / -(B728+B729+B730))</f>
        <v>1.6446953571428571</v>
      </c>
      <c r="C746" s="2608">
        <f t="shared" si="384"/>
        <v>1.6299497119095419</v>
      </c>
      <c r="D746" s="2608">
        <f t="shared" si="384"/>
        <v>1.6153286807361267</v>
      </c>
      <c r="E746" s="2608">
        <f t="shared" si="384"/>
        <v>1.6008235463571996</v>
      </c>
      <c r="F746" s="2608">
        <f t="shared" si="384"/>
        <v>1.5864430463056964</v>
      </c>
      <c r="G746" s="2608">
        <f t="shared" si="384"/>
        <v>1.57217887549491</v>
      </c>
      <c r="H746" s="2608">
        <f t="shared" si="384"/>
        <v>1.5580313722742474</v>
      </c>
      <c r="I746" s="2608">
        <f t="shared" si="384"/>
        <v>1.5440043799360552</v>
      </c>
      <c r="J746" s="2608">
        <f t="shared" si="384"/>
        <v>1.5300905843189214</v>
      </c>
      <c r="K746" s="2608">
        <f t="shared" si="384"/>
        <v>1.5162937402688885</v>
      </c>
    </row>
    <row r="747" spans="1:11">
      <c r="A747" s="357" t="s">
        <v>2404</v>
      </c>
      <c r="B747" s="2606">
        <f>'Part VI-Pro Forma'!B40</f>
        <v>2578970.855012828</v>
      </c>
      <c r="C747" s="2606">
        <f>'Part VI-Pro Forma'!C40</f>
        <v>2556577.9418170429</v>
      </c>
      <c r="D747" s="2606">
        <f>'Part VI-Pro Forma'!D40</f>
        <v>2532732.818218349</v>
      </c>
      <c r="E747" s="2606">
        <f>'Part VI-Pro Forma'!E40</f>
        <v>2507341.3064277344</v>
      </c>
      <c r="F747" s="2606">
        <f>'Part VI-Pro Forma'!F40</f>
        <v>2480303.1211004737</v>
      </c>
      <c r="G747" s="2606">
        <f>'Part VI-Pro Forma'!G40</f>
        <v>2451511.4732529628</v>
      </c>
      <c r="H747" s="2606">
        <f>'Part VI-Pro Forma'!H40</f>
        <v>2420852.6484930301</v>
      </c>
      <c r="I747" s="2606">
        <f>'Part VI-Pro Forma'!I40</f>
        <v>2388205.5578979175</v>
      </c>
      <c r="J747" s="2606">
        <f>'Part VI-Pro Forma'!J40</f>
        <v>2353441.2597660986</v>
      </c>
      <c r="K747" s="2606">
        <f>'Part VI-Pro Forma'!K40</f>
        <v>2316422.4503540611</v>
      </c>
    </row>
    <row r="748" spans="1:11">
      <c r="A748" s="357" t="s">
        <v>2405</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2406</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3361</v>
      </c>
      <c r="B751" s="2606">
        <f>'Part VI-Pro Forma'!B44</f>
        <v>444863</v>
      </c>
      <c r="C751" s="2606">
        <f>'Part VI-Pro Forma'!C44</f>
        <v>408981</v>
      </c>
      <c r="D751" s="2606">
        <f>'Part VI-Pro Forma'!D44</f>
        <v>371896</v>
      </c>
      <c r="E751" s="2606">
        <f>'Part VI-Pro Forma'!E44</f>
        <v>333684</v>
      </c>
      <c r="F751" s="2606">
        <f>'Part VI-Pro Forma'!F44</f>
        <v>294423</v>
      </c>
      <c r="G751" s="2606">
        <f>'Part VI-Pro Forma'!G44</f>
        <v>254198</v>
      </c>
      <c r="H751" s="2606">
        <f>'Part VI-Pro Forma'!H44</f>
        <v>213098</v>
      </c>
      <c r="I751" s="2606">
        <f>'Part VI-Pro Forma'!I44</f>
        <v>171216.5</v>
      </c>
      <c r="J751" s="2606">
        <f>'Part VI-Pro Forma'!J44</f>
        <v>128653</v>
      </c>
      <c r="K751" s="2606">
        <f>'Part VI-Pro Forma'!K44</f>
        <v>85512</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2214</v>
      </c>
      <c r="B754" s="2606">
        <f>'Part VI-Pro Forma'!B47</f>
        <v>733810.2609484439</v>
      </c>
      <c r="C754" s="2606">
        <f>'Part VI-Pro Forma'!C47</f>
        <v>748486.46616741258</v>
      </c>
      <c r="D754" s="2606">
        <f>'Part VI-Pro Forma'!D47</f>
        <v>763456.19549076096</v>
      </c>
      <c r="E754" s="2606">
        <f>'Part VI-Pro Forma'!E47</f>
        <v>778725.31940057618</v>
      </c>
      <c r="F754" s="2606">
        <f>'Part VI-Pro Forma'!F47</f>
        <v>794299.8257885878</v>
      </c>
      <c r="G754" s="2606">
        <f>'Part VI-Pro Forma'!G47</f>
        <v>810185.82230435929</v>
      </c>
      <c r="H754" s="2606">
        <f>'Part VI-Pro Forma'!H47</f>
        <v>826389.53875044663</v>
      </c>
      <c r="I754" s="2606">
        <f>'Part VI-Pro Forma'!I47</f>
        <v>842917.3295254556</v>
      </c>
      <c r="J754" s="2606">
        <f>'Part VI-Pro Forma'!J47</f>
        <v>859775.67611596466</v>
      </c>
      <c r="K754" s="2606">
        <f>'Part VI-Pro Forma'!K47</f>
        <v>876971.18963828392</v>
      </c>
    </row>
    <row r="755" spans="1:11">
      <c r="A755" s="357" t="s">
        <v>952</v>
      </c>
      <c r="B755" s="2606">
        <f>'Part VI-Pro Forma'!B48</f>
        <v>14676.205218968878</v>
      </c>
      <c r="C755" s="2606">
        <f>'Part VI-Pro Forma'!C48</f>
        <v>14969.729323348252</v>
      </c>
      <c r="D755" s="2606">
        <f>'Part VI-Pro Forma'!D48</f>
        <v>15269.12390981522</v>
      </c>
      <c r="E755" s="2606">
        <f>'Part VI-Pro Forma'!E48</f>
        <v>15574.506388011523</v>
      </c>
      <c r="F755" s="2606">
        <f>'Part VI-Pro Forma'!F48</f>
        <v>15885.996515771756</v>
      </c>
      <c r="G755" s="2606">
        <f>'Part VI-Pro Forma'!G48</f>
        <v>16203.716446087186</v>
      </c>
      <c r="H755" s="2606">
        <f>'Part VI-Pro Forma'!H48</f>
        <v>16527.790775008933</v>
      </c>
      <c r="I755" s="2606">
        <f>'Part VI-Pro Forma'!I48</f>
        <v>16858.346590509114</v>
      </c>
      <c r="J755" s="2606">
        <f>'Part VI-Pro Forma'!J48</f>
        <v>17195.513522319292</v>
      </c>
      <c r="K755" s="2606">
        <f>'Part VI-Pro Forma'!K48</f>
        <v>17539.42379276568</v>
      </c>
    </row>
    <row r="756" spans="1:11">
      <c r="A756" s="357" t="s">
        <v>2215</v>
      </c>
      <c r="B756" s="2606">
        <f>'Part VI-Pro Forma'!B49</f>
        <v>-52394.0526317189</v>
      </c>
      <c r="C756" s="2606">
        <f>'Part VI-Pro Forma'!C49</f>
        <v>-53441.933684353266</v>
      </c>
      <c r="D756" s="2606">
        <f>'Part VI-Pro Forma'!D49</f>
        <v>-54510.77235804034</v>
      </c>
      <c r="E756" s="2606">
        <f>'Part VI-Pro Forma'!E49</f>
        <v>-55600.987805201141</v>
      </c>
      <c r="F756" s="2606">
        <f>'Part VI-Pro Forma'!F49</f>
        <v>-56713.007561305174</v>
      </c>
      <c r="G756" s="2606">
        <f>'Part VI-Pro Forma'!G49</f>
        <v>-57847.267712531262</v>
      </c>
      <c r="H756" s="2606">
        <f>'Part VI-Pro Forma'!H49</f>
        <v>-59004.2130667819</v>
      </c>
      <c r="I756" s="2606">
        <f>'Part VI-Pro Forma'!I49</f>
        <v>-60184.297328117536</v>
      </c>
      <c r="J756" s="2606">
        <f>'Part VI-Pro Forma'!J49</f>
        <v>-61387.983274679878</v>
      </c>
      <c r="K756" s="2606">
        <f>'Part VI-Pro Forma'!K49</f>
        <v>-62615.742940173477</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3836</v>
      </c>
      <c r="B759" s="2606">
        <f>'Part VI-Pro Forma'!B52</f>
        <v>696092.41353569389</v>
      </c>
      <c r="C759" s="2606">
        <f>'Part VI-Pro Forma'!C52</f>
        <v>710014.26180640759</v>
      </c>
      <c r="D759" s="2606">
        <f>'Part VI-Pro Forma'!D52</f>
        <v>724214.54704253585</v>
      </c>
      <c r="E759" s="2606">
        <f>'Part VI-Pro Forma'!E52</f>
        <v>738698.83798338659</v>
      </c>
      <c r="F759" s="2606">
        <f>'Part VI-Pro Forma'!F52</f>
        <v>753472.81474305433</v>
      </c>
      <c r="G759" s="2606">
        <f>'Part VI-Pro Forma'!G52</f>
        <v>768542.27103791526</v>
      </c>
      <c r="H759" s="2606">
        <f>'Part VI-Pro Forma'!H52</f>
        <v>783913.11645867373</v>
      </c>
      <c r="I759" s="2606">
        <f>'Part VI-Pro Forma'!I52</f>
        <v>799591.37878784724</v>
      </c>
      <c r="J759" s="2606">
        <f>'Part VI-Pro Forma'!J52</f>
        <v>815583.20636360405</v>
      </c>
      <c r="K759" s="2606">
        <f>'Part VI-Pro Forma'!K52</f>
        <v>831894.87049087614</v>
      </c>
    </row>
    <row r="760" spans="1:11">
      <c r="A760" s="357" t="s">
        <v>572</v>
      </c>
      <c r="B760" s="2606">
        <f>'Part VI-Pro Forma'!B53</f>
        <v>-411723.56589224451</v>
      </c>
      <c r="C760" s="2606">
        <f>'Part VI-Pro Forma'!C53</f>
        <v>-424075.27286901185</v>
      </c>
      <c r="D760" s="2606">
        <f>'Part VI-Pro Forma'!D53</f>
        <v>-436797.53105508216</v>
      </c>
      <c r="E760" s="2606">
        <f>'Part VI-Pro Forma'!E53</f>
        <v>-449901.45698673459</v>
      </c>
      <c r="F760" s="2606">
        <f>'Part VI-Pro Forma'!F53</f>
        <v>-463398.50069633668</v>
      </c>
      <c r="G760" s="2606">
        <f>'Part VI-Pro Forma'!G53</f>
        <v>-477300.45571722678</v>
      </c>
      <c r="H760" s="2606">
        <f>'Part VI-Pro Forma'!H53</f>
        <v>-491619.46938874351</v>
      </c>
      <c r="I760" s="2606">
        <f>'Part VI-Pro Forma'!I53</f>
        <v>-506368.05347040581</v>
      </c>
      <c r="J760" s="2606">
        <f>'Part VI-Pro Forma'!J53</f>
        <v>-521559.095074518</v>
      </c>
      <c r="K760" s="2606">
        <f>'Part VI-Pro Forma'!K53</f>
        <v>-537205.86792675348</v>
      </c>
    </row>
    <row r="761" spans="1:11">
      <c r="A761" s="357" t="s">
        <v>1050</v>
      </c>
      <c r="B761" s="2606">
        <f>'Part VI-Pro Forma'!B54</f>
        <v>-32716</v>
      </c>
      <c r="C761" s="2606">
        <f>'Part VI-Pro Forma'!C54</f>
        <v>-33371</v>
      </c>
      <c r="D761" s="2606">
        <f>'Part VI-Pro Forma'!D54</f>
        <v>-34038</v>
      </c>
      <c r="E761" s="2606">
        <f>'Part VI-Pro Forma'!E54</f>
        <v>-34719</v>
      </c>
      <c r="F761" s="2606">
        <f>'Part VI-Pro Forma'!F54</f>
        <v>-35413</v>
      </c>
      <c r="G761" s="2606">
        <f>'Part VI-Pro Forma'!G54</f>
        <v>-36121</v>
      </c>
      <c r="H761" s="2606">
        <f>'Part VI-Pro Forma'!H54</f>
        <v>-36844</v>
      </c>
      <c r="I761" s="2606">
        <f>'Part VI-Pro Forma'!I54</f>
        <v>-37581</v>
      </c>
      <c r="J761" s="2606">
        <f>'Part VI-Pro Forma'!J54</f>
        <v>-38332</v>
      </c>
      <c r="K761" s="2606">
        <f>'Part VI-Pro Forma'!K54</f>
        <v>-39099</v>
      </c>
    </row>
    <row r="762" spans="1:11">
      <c r="A762" s="357" t="s">
        <v>1128</v>
      </c>
      <c r="B762" s="2606">
        <f>'Part VI-Pro Forma'!B55</f>
        <v>-18814.829310817706</v>
      </c>
      <c r="C762" s="2606">
        <f>'Part VI-Pro Forma'!C55</f>
        <v>-19379.274190142238</v>
      </c>
      <c r="D762" s="2606">
        <f>'Part VI-Pro Forma'!D55</f>
        <v>-19960.6524158465</v>
      </c>
      <c r="E762" s="2606">
        <f>'Part VI-Pro Forma'!E55</f>
        <v>-20559.471988321893</v>
      </c>
      <c r="F762" s="2606">
        <f>'Part VI-Pro Forma'!F55</f>
        <v>-21176.256147971555</v>
      </c>
      <c r="G762" s="2606">
        <f>'Part VI-Pro Forma'!G55</f>
        <v>-21811.543832410702</v>
      </c>
      <c r="H762" s="2606">
        <f>'Part VI-Pro Forma'!H55</f>
        <v>-22465.890147383019</v>
      </c>
      <c r="I762" s="2606">
        <f>'Part VI-Pro Forma'!I55</f>
        <v>-23139.866851804509</v>
      </c>
      <c r="J762" s="2606">
        <f>'Part VI-Pro Forma'!J55</f>
        <v>-23834.062857358644</v>
      </c>
      <c r="K762" s="2606">
        <f>'Part VI-Pro Forma'!K55</f>
        <v>-24549.084743079406</v>
      </c>
    </row>
    <row r="763" spans="1:11">
      <c r="A763" s="357" t="s">
        <v>3835</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232838.01833263168</v>
      </c>
      <c r="C764" s="2606">
        <f t="shared" si="386"/>
        <v>233188.71474725351</v>
      </c>
      <c r="D764" s="2606">
        <f t="shared" si="386"/>
        <v>233418.36357160719</v>
      </c>
      <c r="E764" s="2606">
        <f t="shared" si="386"/>
        <v>233518.90900833011</v>
      </c>
      <c r="F764" s="2606">
        <f t="shared" si="386"/>
        <v>233485.0578987461</v>
      </c>
      <c r="G764" s="2606">
        <f t="shared" si="386"/>
        <v>233309.27148827777</v>
      </c>
      <c r="H764" s="2606">
        <f t="shared" si="386"/>
        <v>232983.75692254718</v>
      </c>
      <c r="I764" s="2606">
        <f t="shared" si="386"/>
        <v>232502.45846563691</v>
      </c>
      <c r="J764" s="2606">
        <f t="shared" si="386"/>
        <v>231858.04843172739</v>
      </c>
      <c r="K764" s="2606">
        <f t="shared" si="386"/>
        <v>231040.91782104326</v>
      </c>
    </row>
    <row r="765" spans="1:11">
      <c r="A765" s="357" t="str">
        <f>$A733</f>
        <v>Mortgage A</v>
      </c>
      <c r="B765" s="2606">
        <f>'Part VI-Pro Forma'!B58</f>
        <v>-184228.81698972473</v>
      </c>
      <c r="C765" s="2606">
        <f>'Part VI-Pro Forma'!C58</f>
        <v>-184228.81698972473</v>
      </c>
      <c r="D765" s="2606">
        <f>'Part VI-Pro Forma'!D58</f>
        <v>-184228.81698972473</v>
      </c>
      <c r="E765" s="2606">
        <f>'Part VI-Pro Forma'!E58</f>
        <v>-184228.81698972473</v>
      </c>
      <c r="F765" s="2606">
        <f>'Part VI-Pro Forma'!F58</f>
        <v>-184228.81698972473</v>
      </c>
      <c r="G765" s="2606">
        <f>'Part VI-Pro Forma'!G58</f>
        <v>-184228.81698972473</v>
      </c>
      <c r="H765" s="2606">
        <f>'Part VI-Pro Forma'!H58</f>
        <v>-184228.81698972473</v>
      </c>
      <c r="I765" s="2606">
        <f>'Part VI-Pro Forma'!I58</f>
        <v>-184228.81698972473</v>
      </c>
      <c r="J765" s="2606">
        <f>'Part VI-Pro Forma'!J58</f>
        <v>-184228.81698972473</v>
      </c>
      <c r="K765" s="2606">
        <f>'Part VI-Pro Forma'!K58</f>
        <v>-184228.81698972473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-5000</v>
      </c>
      <c r="C770" s="2606">
        <f>'Part VI-Pro Forma'!C63</f>
        <v>-5000</v>
      </c>
      <c r="D770" s="2606">
        <f>'Part VI-Pro Forma'!D63</f>
        <v>-5000</v>
      </c>
      <c r="E770" s="2606">
        <f>'Part VI-Pro Forma'!E63</f>
        <v>-5000</v>
      </c>
      <c r="F770" s="2606">
        <f>'Part VI-Pro Forma'!F63</f>
        <v>-5000</v>
      </c>
      <c r="G770" s="2606">
        <f>'Part VI-Pro Forma'!G63</f>
        <v>-5000</v>
      </c>
      <c r="H770" s="2606">
        <f>'Part VI-Pro Forma'!H63</f>
        <v>-5000</v>
      </c>
      <c r="I770" s="2606">
        <f>'Part VI-Pro Forma'!I63</f>
        <v>-5000</v>
      </c>
      <c r="J770" s="2606">
        <f>'Part VI-Pro Forma'!J63</f>
        <v>-5000</v>
      </c>
      <c r="K770" s="2606">
        <f>'Part VI-Pro Forma'!K63</f>
        <v>-5000</v>
      </c>
    </row>
    <row r="771" spans="1:11">
      <c r="A771" s="357" t="s">
        <v>3360</v>
      </c>
      <c r="B771" s="2606">
        <f>'Part VI-Pro Forma'!B64</f>
        <v>-43609</v>
      </c>
      <c r="C771" s="2606">
        <f>'Part VI-Pro Forma'!C64</f>
        <v>-41903</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0.20134290694841184</v>
      </c>
      <c r="C772" s="2606">
        <f t="shared" si="387"/>
        <v>2056.8977575287863</v>
      </c>
      <c r="D772" s="2606">
        <f t="shared" si="387"/>
        <v>44189.54658188246</v>
      </c>
      <c r="E772" s="2606">
        <f t="shared" si="387"/>
        <v>44290.092018605385</v>
      </c>
      <c r="F772" s="2606">
        <f t="shared" si="387"/>
        <v>44256.240909021377</v>
      </c>
      <c r="G772" s="2606">
        <f t="shared" si="387"/>
        <v>44080.454498553037</v>
      </c>
      <c r="H772" s="2606">
        <f t="shared" si="387"/>
        <v>43754.939932822454</v>
      </c>
      <c r="I772" s="2606">
        <f t="shared" si="387"/>
        <v>43273.641475912184</v>
      </c>
      <c r="J772" s="2606">
        <f t="shared" si="387"/>
        <v>42629.231442002667</v>
      </c>
      <c r="K772" s="2606">
        <f t="shared" si="387"/>
        <v>41812.10083131853</v>
      </c>
    </row>
    <row r="773" spans="1:11">
      <c r="A773" s="357" t="str">
        <f>$A741</f>
        <v>DCR Mortgage A</v>
      </c>
      <c r="B773" s="2607">
        <f t="shared" ref="B773:K773" si="388">IF(B765=0,"",-B764/B765)</f>
        <v>1.2638523230902476</v>
      </c>
      <c r="C773" s="2607">
        <f t="shared" si="388"/>
        <v>1.2657559146149189</v>
      </c>
      <c r="D773" s="2607">
        <f t="shared" si="388"/>
        <v>1.2670024558895474</v>
      </c>
      <c r="E773" s="2607">
        <f t="shared" si="388"/>
        <v>1.2675482197845005</v>
      </c>
      <c r="F773" s="2607">
        <f t="shared" si="388"/>
        <v>1.2673644748626303</v>
      </c>
      <c r="G773" s="2607">
        <f t="shared" si="388"/>
        <v>1.266410300519329</v>
      </c>
      <c r="H773" s="2607">
        <f t="shared" si="388"/>
        <v>1.2646433968880217</v>
      </c>
      <c r="I773" s="2607">
        <f t="shared" si="388"/>
        <v>1.2620308932375364</v>
      </c>
      <c r="J773" s="2607">
        <f t="shared" si="388"/>
        <v>1.2585330146513352</v>
      </c>
      <c r="K773" s="2607">
        <f t="shared" si="388"/>
        <v>1.2540976031666613</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3212</v>
      </c>
      <c r="B777" s="2607">
        <f t="shared" ref="B777:K777" si="392">IF(AND(B765=0,B766=0,B767=0,B768=0),"",-B764/(B765+B766+B767+B768))</f>
        <v>1.2638523230902476</v>
      </c>
      <c r="C777" s="2607">
        <f t="shared" si="392"/>
        <v>1.2657559146149189</v>
      </c>
      <c r="D777" s="2607">
        <f t="shared" si="392"/>
        <v>1.2670024558895474</v>
      </c>
      <c r="E777" s="2607">
        <f t="shared" si="392"/>
        <v>1.2675482197845005</v>
      </c>
      <c r="F777" s="2607">
        <f t="shared" si="392"/>
        <v>1.2673644748626303</v>
      </c>
      <c r="G777" s="2607">
        <f t="shared" si="392"/>
        <v>1.266410300519329</v>
      </c>
      <c r="H777" s="2607">
        <f t="shared" si="392"/>
        <v>1.2646433968880217</v>
      </c>
      <c r="I777" s="2607">
        <f t="shared" si="392"/>
        <v>1.2620308932375364</v>
      </c>
      <c r="J777" s="2607">
        <f t="shared" si="392"/>
        <v>1.2585330146513352</v>
      </c>
      <c r="K777" s="2607">
        <f t="shared" si="392"/>
        <v>1.2540976031666613</v>
      </c>
    </row>
    <row r="778" spans="1:11">
      <c r="A778" s="357" t="s">
        <v>718</v>
      </c>
      <c r="B778" s="2608">
        <f t="shared" ref="B778:K778" si="393">IF(OR(B761="Choose mgt fee",B761="Choose One!"),"",(B754+B755+B756+B757+B758) / -(B760+B761+B762))</f>
        <v>1.5026137274543716</v>
      </c>
      <c r="C778" s="2608">
        <f t="shared" si="393"/>
        <v>1.4890440878964157</v>
      </c>
      <c r="D778" s="2608">
        <f t="shared" si="393"/>
        <v>1.4755912361030683</v>
      </c>
      <c r="E778" s="2608">
        <f t="shared" si="393"/>
        <v>1.4622489842027357</v>
      </c>
      <c r="F778" s="2608">
        <f t="shared" si="393"/>
        <v>1.4490202987003304</v>
      </c>
      <c r="G778" s="2608">
        <f t="shared" si="393"/>
        <v>1.4359022550638543</v>
      </c>
      <c r="H778" s="2608">
        <f t="shared" si="393"/>
        <v>1.422892250866274</v>
      </c>
      <c r="I778" s="2608">
        <f t="shared" si="393"/>
        <v>1.4099929484313201</v>
      </c>
      <c r="J778" s="2608">
        <f t="shared" si="393"/>
        <v>1.3972041384222578</v>
      </c>
      <c r="K778" s="2608">
        <f t="shared" si="393"/>
        <v>1.3845209252505317</v>
      </c>
    </row>
    <row r="779" spans="1:11">
      <c r="A779" s="357" t="s">
        <v>2404</v>
      </c>
      <c r="B779" s="2606">
        <f>'Part VI-Pro Forma'!B72</f>
        <v>2277002.9215866886</v>
      </c>
      <c r="C779" s="2606">
        <f>'Part VI-Pro Forma'!C72</f>
        <v>2235026.9835994337</v>
      </c>
      <c r="D779" s="2606">
        <f>'Part VI-Pro Forma'!D72</f>
        <v>2190328.8498315769</v>
      </c>
      <c r="E779" s="2606">
        <f>'Part VI-Pro Forma'!E72</f>
        <v>2142731.9822419635</v>
      </c>
      <c r="F779" s="2606">
        <f>'Part VI-Pro Forma'!F72</f>
        <v>2092048.3940610997</v>
      </c>
      <c r="G779" s="2606">
        <f>'Part VI-Pro Forma'!G72</f>
        <v>2038077.9073257931</v>
      </c>
      <c r="H779" s="2606">
        <f>'Part VI-Pro Forma'!H72</f>
        <v>1980607.362263917</v>
      </c>
      <c r="I779" s="2606">
        <f>'Part VI-Pro Forma'!I72</f>
        <v>1919409.7754067197</v>
      </c>
      <c r="J779" s="2606">
        <f>'Part VI-Pro Forma'!J72</f>
        <v>1854243.4431035896</v>
      </c>
      <c r="K779" s="2606">
        <f>'Part VI-Pro Forma'!K72</f>
        <v>1784850.9868985536</v>
      </c>
    </row>
    <row r="780" spans="1:11">
      <c r="A780" s="357" t="s">
        <v>2405</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2406</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3361</v>
      </c>
      <c r="B783" s="2606">
        <f>'Part VI-Pro Forma'!B76</f>
        <v>41903</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2214</v>
      </c>
      <c r="B786" s="2606">
        <f>'Part VI-Pro Forma'!B79</f>
        <v>894510.61343104963</v>
      </c>
      <c r="C786" s="2606">
        <f>'Part VI-Pro Forma'!C79</f>
        <v>912400.82569967059</v>
      </c>
      <c r="D786" s="2606">
        <f>'Part VI-Pro Forma'!D79</f>
        <v>930648.84221366409</v>
      </c>
      <c r="E786" s="2606">
        <f>'Part VI-Pro Forma'!E79</f>
        <v>949261.81905793713</v>
      </c>
      <c r="F786" s="2606">
        <f>'Part VI-Pro Forma'!F79</f>
        <v>968247.05543909594</v>
      </c>
      <c r="G786" s="2606">
        <f>'Part VI-Pro Forma'!G79</f>
        <v>987611.9965478779</v>
      </c>
      <c r="H786" s="2606">
        <f>'Part VI-Pro Forma'!H79</f>
        <v>1007364.2364788356</v>
      </c>
      <c r="I786" s="2606">
        <f>'Part VI-Pro Forma'!I79</f>
        <v>1027511.5212084121</v>
      </c>
      <c r="J786" s="2606">
        <f>'Part VI-Pro Forma'!J79</f>
        <v>1048061.7516325805</v>
      </c>
      <c r="K786" s="2606">
        <f>'Part VI-Pro Forma'!K79</f>
        <v>1069022.9866652321</v>
      </c>
    </row>
    <row r="787" spans="1:11">
      <c r="A787" s="357" t="s">
        <v>952</v>
      </c>
      <c r="B787" s="2606">
        <f>'Part VI-Pro Forma'!B80</f>
        <v>17890.212268620995</v>
      </c>
      <c r="C787" s="2606">
        <f>'Part VI-Pro Forma'!C80</f>
        <v>18248.016513993414</v>
      </c>
      <c r="D787" s="2606">
        <f>'Part VI-Pro Forma'!D80</f>
        <v>18612.976844273282</v>
      </c>
      <c r="E787" s="2606">
        <f>'Part VI-Pro Forma'!E80</f>
        <v>18985.236381158746</v>
      </c>
      <c r="F787" s="2606">
        <f>'Part VI-Pro Forma'!F80</f>
        <v>19364.941108781921</v>
      </c>
      <c r="G787" s="2606">
        <f>'Part VI-Pro Forma'!G80</f>
        <v>19752.239930957559</v>
      </c>
      <c r="H787" s="2606">
        <f>'Part VI-Pro Forma'!H80</f>
        <v>20147.284729576713</v>
      </c>
      <c r="I787" s="2606">
        <f>'Part VI-Pro Forma'!I80</f>
        <v>20550.230424168243</v>
      </c>
      <c r="J787" s="2606">
        <f>'Part VI-Pro Forma'!J80</f>
        <v>20961.23503265161</v>
      </c>
      <c r="K787" s="2606">
        <f>'Part VI-Pro Forma'!K80</f>
        <v>21380.45973330464</v>
      </c>
    </row>
    <row r="788" spans="1:11">
      <c r="A788" s="357" t="s">
        <v>2215</v>
      </c>
      <c r="B788" s="2606">
        <f>'Part VI-Pro Forma'!B81</f>
        <v>-63868.057798976944</v>
      </c>
      <c r="C788" s="2606">
        <f>'Part VI-Pro Forma'!C81</f>
        <v>-65145.418954956484</v>
      </c>
      <c r="D788" s="2606">
        <f>'Part VI-Pro Forma'!D81</f>
        <v>-66448.327334055619</v>
      </c>
      <c r="E788" s="2606">
        <f>'Part VI-Pro Forma'!E81</f>
        <v>-67777.293880736717</v>
      </c>
      <c r="F788" s="2606">
        <f>'Part VI-Pro Forma'!F81</f>
        <v>-69132.83975835146</v>
      </c>
      <c r="G788" s="2606">
        <f>'Part VI-Pro Forma'!G81</f>
        <v>-70515.496553518489</v>
      </c>
      <c r="H788" s="2606">
        <f>'Part VI-Pro Forma'!H81</f>
        <v>-71925.806484588858</v>
      </c>
      <c r="I788" s="2606">
        <f>'Part VI-Pro Forma'!I81</f>
        <v>-73364.322614280638</v>
      </c>
      <c r="J788" s="2606">
        <f>'Part VI-Pro Forma'!J81</f>
        <v>-74831.609066566249</v>
      </c>
      <c r="K788" s="2606">
        <f>'Part VI-Pro Forma'!K81</f>
        <v>-76328.241247897575</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3836</v>
      </c>
      <c r="B791" s="2606">
        <f>'Part VI-Pro Forma'!B84</f>
        <v>848532.7679006937</v>
      </c>
      <c r="C791" s="2606">
        <f>'Part VI-Pro Forma'!C84</f>
        <v>865503.42325870751</v>
      </c>
      <c r="D791" s="2606">
        <f>'Part VI-Pro Forma'!D84</f>
        <v>882813.4917238818</v>
      </c>
      <c r="E791" s="2606">
        <f>'Part VI-Pro Forma'!E84</f>
        <v>900469.76155835914</v>
      </c>
      <c r="F791" s="2606">
        <f>'Part VI-Pro Forma'!F84</f>
        <v>918479.15678952646</v>
      </c>
      <c r="G791" s="2606">
        <f>'Part VI-Pro Forma'!G84</f>
        <v>936848.739925317</v>
      </c>
      <c r="H791" s="2606">
        <f>'Part VI-Pro Forma'!H84</f>
        <v>955585.71472382336</v>
      </c>
      <c r="I791" s="2606">
        <f>'Part VI-Pro Forma'!I84</f>
        <v>974697.42901829979</v>
      </c>
      <c r="J791" s="2606">
        <f>'Part VI-Pro Forma'!J84</f>
        <v>994191.37759866589</v>
      </c>
      <c r="K791" s="2606">
        <f>'Part VI-Pro Forma'!K84</f>
        <v>1014075.2051506391</v>
      </c>
    </row>
    <row r="792" spans="1:11">
      <c r="A792" s="357" t="s">
        <v>572</v>
      </c>
      <c r="B792" s="2606">
        <f>'Part VI-Pro Forma'!B85</f>
        <v>-553322.04396455607</v>
      </c>
      <c r="C792" s="2606">
        <f>'Part VI-Pro Forma'!C85</f>
        <v>-569921.70528349269</v>
      </c>
      <c r="D792" s="2606">
        <f>'Part VI-Pro Forma'!D85</f>
        <v>-587019.35644199757</v>
      </c>
      <c r="E792" s="2606">
        <f>'Part VI-Pro Forma'!E85</f>
        <v>-604629.93713525753</v>
      </c>
      <c r="F792" s="2606">
        <f>'Part VI-Pro Forma'!F85</f>
        <v>-622768.83524931513</v>
      </c>
      <c r="G792" s="2606">
        <f>'Part VI-Pro Forma'!G85</f>
        <v>-641451.90030679456</v>
      </c>
      <c r="H792" s="2606">
        <f>'Part VI-Pro Forma'!H85</f>
        <v>-660695.4573159985</v>
      </c>
      <c r="I792" s="2606">
        <f>'Part VI-Pro Forma'!I85</f>
        <v>-680516.32103547838</v>
      </c>
      <c r="J792" s="2606">
        <f>'Part VI-Pro Forma'!J85</f>
        <v>-700931.81066654273</v>
      </c>
      <c r="K792" s="2606">
        <f>'Part VI-Pro Forma'!K85</f>
        <v>-721959.76498653903</v>
      </c>
    </row>
    <row r="793" spans="1:11">
      <c r="A793" s="357" t="s">
        <v>1050</v>
      </c>
      <c r="B793" s="2606">
        <f>'Part VI-Pro Forma'!B86</f>
        <v>-39881</v>
      </c>
      <c r="C793" s="2606">
        <f>'Part VI-Pro Forma'!C86</f>
        <v>-40679</v>
      </c>
      <c r="D793" s="2606">
        <f>'Part VI-Pro Forma'!D86</f>
        <v>-41492</v>
      </c>
      <c r="E793" s="2606">
        <f>'Part VI-Pro Forma'!E86</f>
        <v>-42322</v>
      </c>
      <c r="F793" s="2606">
        <f>'Part VI-Pro Forma'!F86</f>
        <v>-43169</v>
      </c>
      <c r="G793" s="2606">
        <f>'Part VI-Pro Forma'!G86</f>
        <v>-44032</v>
      </c>
      <c r="H793" s="2606">
        <f>'Part VI-Pro Forma'!H86</f>
        <v>-44913</v>
      </c>
      <c r="I793" s="2606">
        <f>'Part VI-Pro Forma'!I86</f>
        <v>-45811</v>
      </c>
      <c r="J793" s="2606">
        <f>'Part VI-Pro Forma'!J86</f>
        <v>-46727</v>
      </c>
      <c r="K793" s="2606">
        <f>'Part VI-Pro Forma'!K86</f>
        <v>-47662</v>
      </c>
    </row>
    <row r="794" spans="1:11">
      <c r="A794" s="357" t="s">
        <v>1128</v>
      </c>
      <c r="B794" s="2606">
        <f>'Part VI-Pro Forma'!B87</f>
        <v>-25285.557285371786</v>
      </c>
      <c r="C794" s="2606">
        <f>'Part VI-Pro Forma'!C87</f>
        <v>-26044.124003932935</v>
      </c>
      <c r="D794" s="2606">
        <f>'Part VI-Pro Forma'!D87</f>
        <v>-26825.447724050926</v>
      </c>
      <c r="E794" s="2606">
        <f>'Part VI-Pro Forma'!E87</f>
        <v>-27630.211155772457</v>
      </c>
      <c r="F794" s="2606">
        <f>'Part VI-Pro Forma'!F87</f>
        <v>-28459.117490445624</v>
      </c>
      <c r="G794" s="2606">
        <f>'Part VI-Pro Forma'!G87</f>
        <v>-29312.891015158995</v>
      </c>
      <c r="H794" s="2606">
        <f>'Part VI-Pro Forma'!H87</f>
        <v>-30192.277745613766</v>
      </c>
      <c r="I794" s="2606">
        <f>'Part VI-Pro Forma'!I87</f>
        <v>-31098.046077982177</v>
      </c>
      <c r="J794" s="2606">
        <f>'Part VI-Pro Forma'!J87</f>
        <v>-32030.987460321641</v>
      </c>
      <c r="K794" s="2606">
        <f>'Part VI-Pro Forma'!K87</f>
        <v>-32991.917084131288</v>
      </c>
    </row>
    <row r="795" spans="1:11">
      <c r="A795" s="357" t="s">
        <v>3835</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230044.16665076584</v>
      </c>
      <c r="C796" s="2606">
        <f t="shared" si="395"/>
        <v>228858.59397128189</v>
      </c>
      <c r="D796" s="2606">
        <f t="shared" si="395"/>
        <v>227476.6875578333</v>
      </c>
      <c r="E796" s="2606">
        <f t="shared" si="395"/>
        <v>225887.61326732917</v>
      </c>
      <c r="F796" s="2606">
        <f t="shared" si="395"/>
        <v>224082.20404976571</v>
      </c>
      <c r="G796" s="2606">
        <f t="shared" si="395"/>
        <v>222051.94860336345</v>
      </c>
      <c r="H796" s="2606">
        <f t="shared" si="395"/>
        <v>219784.97966221109</v>
      </c>
      <c r="I796" s="2606">
        <f t="shared" si="395"/>
        <v>217272.06190483924</v>
      </c>
      <c r="J796" s="2606">
        <f t="shared" si="395"/>
        <v>214501.57947180152</v>
      </c>
      <c r="K796" s="2606">
        <f t="shared" si="395"/>
        <v>211461.52307996876</v>
      </c>
    </row>
    <row r="797" spans="1:11">
      <c r="A797" s="357" t="str">
        <f>$A765</f>
        <v>Mortgage A</v>
      </c>
      <c r="B797" s="2606">
        <f>'Part VI-Pro Forma'!B90</f>
        <v>-184228.81698972473</v>
      </c>
      <c r="C797" s="2606">
        <f>'Part VI-Pro Forma'!C90</f>
        <v>-184228.81698972473</v>
      </c>
      <c r="D797" s="2606">
        <f>'Part VI-Pro Forma'!D90</f>
        <v>-184228.81698972473</v>
      </c>
      <c r="E797" s="2606">
        <f>'Part VI-Pro Forma'!E90</f>
        <v>-184228.81698972473</v>
      </c>
      <c r="F797" s="2606">
        <f>'Part VI-Pro Forma'!F90</f>
        <v>-184228.81698972473</v>
      </c>
      <c r="G797" s="2606">
        <f>'Part VI-Pro Forma'!G90</f>
        <v>-184228.81698972473</v>
      </c>
      <c r="H797" s="2606">
        <f>'Part VI-Pro Forma'!H90</f>
        <v>-184228.81698972473</v>
      </c>
      <c r="I797" s="2606">
        <f>'Part VI-Pro Forma'!I90</f>
        <v>-184228.81698972473</v>
      </c>
      <c r="J797" s="2606">
        <f>'Part VI-Pro Forma'!J90</f>
        <v>-184228.81698972473</v>
      </c>
      <c r="K797" s="2606">
        <f>'Part VI-Pro Forma'!K90</f>
        <v>-184228.81698972473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-5000</v>
      </c>
      <c r="C802" s="2606">
        <f>'Part VI-Pro Forma'!C95</f>
        <v>-5000</v>
      </c>
      <c r="D802" s="2606">
        <f>'Part VI-Pro Forma'!D95</f>
        <v>-5000</v>
      </c>
      <c r="E802" s="2606">
        <f>'Part VI-Pro Forma'!E95</f>
        <v>-5000</v>
      </c>
      <c r="F802" s="2606">
        <f>'Part VI-Pro Forma'!F95</f>
        <v>-5000</v>
      </c>
      <c r="G802" s="2606">
        <f>'Part VI-Pro Forma'!G95</f>
        <v>-5000</v>
      </c>
      <c r="H802" s="2606">
        <f>'Part VI-Pro Forma'!H95</f>
        <v>-5000</v>
      </c>
      <c r="I802" s="2606">
        <f>'Part VI-Pro Forma'!I95</f>
        <v>-5000</v>
      </c>
      <c r="J802" s="2606">
        <f>'Part VI-Pro Forma'!J95</f>
        <v>-5000</v>
      </c>
      <c r="K802" s="2606">
        <f>'Part VI-Pro Forma'!K95</f>
        <v>-5000</v>
      </c>
    </row>
    <row r="803" spans="1:11">
      <c r="A803" s="357" t="s">
        <v>1096</v>
      </c>
      <c r="B803" s="2606">
        <f t="shared" ref="B803:K803" si="396">SUM(B796:B802)</f>
        <v>40815.349661041109</v>
      </c>
      <c r="C803" s="2606">
        <f t="shared" si="396"/>
        <v>39629.776981557166</v>
      </c>
      <c r="D803" s="2606">
        <f t="shared" si="396"/>
        <v>38247.87056810857</v>
      </c>
      <c r="E803" s="2606">
        <f t="shared" si="396"/>
        <v>36658.796277604444</v>
      </c>
      <c r="F803" s="2606">
        <f t="shared" si="396"/>
        <v>34853.387060040986</v>
      </c>
      <c r="G803" s="2606">
        <f t="shared" si="396"/>
        <v>32823.131613638718</v>
      </c>
      <c r="H803" s="2606">
        <f t="shared" si="396"/>
        <v>30556.16267248636</v>
      </c>
      <c r="I803" s="2606">
        <f t="shared" si="396"/>
        <v>28043.244915114512</v>
      </c>
      <c r="J803" s="2606">
        <f t="shared" si="396"/>
        <v>25272.762482076796</v>
      </c>
      <c r="K803" s="2606">
        <f t="shared" si="396"/>
        <v>22232.706090244028</v>
      </c>
    </row>
    <row r="804" spans="1:11">
      <c r="A804" s="357" t="str">
        <f>$A773</f>
        <v>DCR Mortgage A</v>
      </c>
      <c r="B804" s="2607">
        <f t="shared" ref="B804:K804" si="397">IF(B797=0,"",-B796/B797)</f>
        <v>1.248687205452752</v>
      </c>
      <c r="C804" s="2607">
        <f t="shared" si="397"/>
        <v>1.2422518784563783</v>
      </c>
      <c r="D804" s="2607">
        <f t="shared" si="397"/>
        <v>1.234750845577653</v>
      </c>
      <c r="E804" s="2607">
        <f t="shared" si="397"/>
        <v>1.2261252987361253</v>
      </c>
      <c r="F804" s="2607">
        <f t="shared" si="397"/>
        <v>1.2163254788867466</v>
      </c>
      <c r="G804" s="2607">
        <f t="shared" si="397"/>
        <v>1.2053051864071205</v>
      </c>
      <c r="H804" s="2607">
        <f t="shared" si="397"/>
        <v>1.1930000053925847</v>
      </c>
      <c r="I804" s="2607">
        <f t="shared" si="397"/>
        <v>1.1793598062183588</v>
      </c>
      <c r="J804" s="2607">
        <f t="shared" si="397"/>
        <v>1.1643215376222344</v>
      </c>
      <c r="K804" s="2607">
        <f t="shared" si="397"/>
        <v>1.1478200128254794</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3212</v>
      </c>
      <c r="B808" s="2607">
        <f t="shared" ref="B808:K808" si="401">IF(AND(B797=0,B798=0,B799=0,B800=0),"",-B796/(B797+B798+B799+B800))</f>
        <v>1.248687205452752</v>
      </c>
      <c r="C808" s="2607">
        <f t="shared" si="401"/>
        <v>1.2422518784563783</v>
      </c>
      <c r="D808" s="2607">
        <f t="shared" si="401"/>
        <v>1.234750845577653</v>
      </c>
      <c r="E808" s="2607">
        <f t="shared" si="401"/>
        <v>1.2261252987361253</v>
      </c>
      <c r="F808" s="2607">
        <f t="shared" si="401"/>
        <v>1.2163254788867466</v>
      </c>
      <c r="G808" s="2607">
        <f t="shared" si="401"/>
        <v>1.2053051864071205</v>
      </c>
      <c r="H808" s="2607">
        <f t="shared" si="401"/>
        <v>1.1930000053925847</v>
      </c>
      <c r="I808" s="2607">
        <f t="shared" si="401"/>
        <v>1.1793598062183588</v>
      </c>
      <c r="J808" s="2607">
        <f t="shared" si="401"/>
        <v>1.1643215376222344</v>
      </c>
      <c r="K808" s="2607">
        <f t="shared" si="401"/>
        <v>1.1478200128254794</v>
      </c>
    </row>
    <row r="809" spans="1:11">
      <c r="A809" s="357" t="s">
        <v>718</v>
      </c>
      <c r="B809" s="2608">
        <f>IF(OR(B793="Choose mgt fee",B793="Choose One!"),"",(B786+B787+B788+B789+B790) / -(B792+B793+B794))</f>
        <v>1.371945685313942</v>
      </c>
      <c r="C809" s="2608">
        <f t="shared" ref="C809:K809" si="402">IF(OR(C793="Choose mgt fee",C793="Choose One!"),"",(C786+C787+C788+C789+C790) / -(C792+C793+C794))</f>
        <v>1.3594760900319183</v>
      </c>
      <c r="D809" s="2608">
        <f t="shared" si="402"/>
        <v>1.3471141649785863</v>
      </c>
      <c r="E809" s="2608">
        <f t="shared" si="402"/>
        <v>1.3348556048208322</v>
      </c>
      <c r="F809" s="2608">
        <f t="shared" si="402"/>
        <v>1.3227004426872031</v>
      </c>
      <c r="G809" s="2608">
        <f t="shared" si="402"/>
        <v>1.3106504552051752</v>
      </c>
      <c r="H809" s="2608">
        <f t="shared" si="402"/>
        <v>1.2987017669176526</v>
      </c>
      <c r="I809" s="2608">
        <f t="shared" si="402"/>
        <v>1.2868560670642186</v>
      </c>
      <c r="J809" s="2608">
        <f t="shared" si="402"/>
        <v>1.2751114353261035</v>
      </c>
      <c r="K809" s="2608">
        <f t="shared" si="402"/>
        <v>1.2634661329650116</v>
      </c>
    </row>
    <row r="810" spans="1:11">
      <c r="A810" s="357" t="s">
        <v>2404</v>
      </c>
      <c r="B810" s="2606">
        <f>'Part VI-Pro Forma'!B103</f>
        <v>1710958.3369981609</v>
      </c>
      <c r="C810" s="2606">
        <f>'Part VI-Pro Forma'!C103</f>
        <v>1632273.6498158998</v>
      </c>
      <c r="D810" s="2606">
        <f>'Part VI-Pro Forma'!D103</f>
        <v>1548486.1553179203</v>
      </c>
      <c r="E810" s="2606">
        <f>'Part VI-Pro Forma'!E103</f>
        <v>1459264.9296175831</v>
      </c>
      <c r="F810" s="2606">
        <f>'Part VI-Pro Forma'!F103</f>
        <v>1364257.587971122</v>
      </c>
      <c r="G810" s="2606">
        <f>'Part VI-Pro Forma'!G103</f>
        <v>1263088.8930123255</v>
      </c>
      <c r="H810" s="2606">
        <f>'Part VI-Pro Forma'!H103</f>
        <v>1155359.2727293724</v>
      </c>
      <c r="I810" s="2606">
        <f>'Part VI-Pro Forma'!I103</f>
        <v>1040643.2423304832</v>
      </c>
      <c r="J810" s="2606">
        <f>'Part VI-Pro Forma'!J103</f>
        <v>918487.72376544424</v>
      </c>
      <c r="K810" s="2606">
        <f>'Part VI-Pro Forma'!K103</f>
        <v>788410.25626585353</v>
      </c>
    </row>
    <row r="811" spans="1:11">
      <c r="A811" s="357" t="s">
        <v>2405</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2406</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2214</v>
      </c>
      <c r="B816" s="2606">
        <f>'Part VI-Pro Forma'!B109</f>
        <v>1090403.4463985367</v>
      </c>
      <c r="C816" s="2606">
        <f>'Part VI-Pro Forma'!C109</f>
        <v>1112211.5153265072</v>
      </c>
      <c r="D816" s="2606">
        <f>'Part VI-Pro Forma'!D109</f>
        <v>1134455.7456330375</v>
      </c>
      <c r="E816" s="2606">
        <f>'Part VI-Pro Forma'!E109</f>
        <v>1157144.8605456983</v>
      </c>
      <c r="F816" s="2606">
        <f>'Part VI-Pro Forma'!F109</f>
        <v>1180287.7577566123</v>
      </c>
      <c r="G816" s="2606"/>
      <c r="H816" s="2606"/>
      <c r="I816" s="2606"/>
      <c r="J816" s="2606"/>
      <c r="K816" s="2606"/>
    </row>
    <row r="817" spans="1:11">
      <c r="A817" s="357" t="s">
        <v>952</v>
      </c>
      <c r="B817" s="2606">
        <f>'Part VI-Pro Forma'!B110</f>
        <v>21808.068927970737</v>
      </c>
      <c r="C817" s="2606">
        <f>'Part VI-Pro Forma'!C110</f>
        <v>22244.230306530146</v>
      </c>
      <c r="D817" s="2606">
        <f>'Part VI-Pro Forma'!D110</f>
        <v>22689.114912660752</v>
      </c>
      <c r="E817" s="2606">
        <f>'Part VI-Pro Forma'!E110</f>
        <v>23142.897210913969</v>
      </c>
      <c r="F817" s="2606">
        <f>'Part VI-Pro Forma'!F110</f>
        <v>23605.755155132247</v>
      </c>
      <c r="G817" s="2606"/>
      <c r="H817" s="2606"/>
      <c r="I817" s="2606"/>
      <c r="J817" s="2606"/>
      <c r="K817" s="2606"/>
    </row>
    <row r="818" spans="1:11">
      <c r="A818" s="357" t="s">
        <v>2215</v>
      </c>
      <c r="B818" s="2606">
        <f>'Part VI-Pro Forma'!B111</f>
        <v>-77854.806072855528</v>
      </c>
      <c r="C818" s="2606">
        <f>'Part VI-Pro Forma'!C111</f>
        <v>-79411.902194312614</v>
      </c>
      <c r="D818" s="2606">
        <f>'Part VI-Pro Forma'!D111</f>
        <v>-81000.140238198888</v>
      </c>
      <c r="E818" s="2606">
        <f>'Part VI-Pro Forma'!E111</f>
        <v>-82620.143042962867</v>
      </c>
      <c r="F818" s="2606">
        <f>'Part VI-Pro Forma'!F111</f>
        <v>-84272.545903822116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3836</v>
      </c>
      <c r="B821" s="2606">
        <f>'Part VI-Pro Forma'!B114</f>
        <v>1034356.7092536519</v>
      </c>
      <c r="C821" s="2606">
        <f>'Part VI-Pro Forma'!C114</f>
        <v>1055043.8434387248</v>
      </c>
      <c r="D821" s="2606">
        <f>'Part VI-Pro Forma'!D114</f>
        <v>1076144.7203074994</v>
      </c>
      <c r="E821" s="2606">
        <f>'Part VI-Pro Forma'!E114</f>
        <v>1097667.6147136495</v>
      </c>
      <c r="F821" s="2606">
        <f>'Part VI-Pro Forma'!F114</f>
        <v>1119620.9670079222</v>
      </c>
      <c r="G821" s="2606"/>
      <c r="H821" s="2606"/>
      <c r="I821" s="2606"/>
      <c r="J821" s="2606"/>
      <c r="K821" s="2606"/>
    </row>
    <row r="822" spans="1:11">
      <c r="A822" s="357" t="s">
        <v>572</v>
      </c>
      <c r="B822" s="2606">
        <f>'Part VI-Pro Forma'!B115</f>
        <v>-743618.5579361351</v>
      </c>
      <c r="C822" s="2606">
        <f>'Part VI-Pro Forma'!C115</f>
        <v>-765927.11467421928</v>
      </c>
      <c r="D822" s="2606">
        <f>'Part VI-Pro Forma'!D115</f>
        <v>-788904.92811444576</v>
      </c>
      <c r="E822" s="2606">
        <f>'Part VI-Pro Forma'!E115</f>
        <v>-812572.07595787919</v>
      </c>
      <c r="F822" s="2606">
        <f>'Part VI-Pro Forma'!F115</f>
        <v>-836949.23823661543</v>
      </c>
      <c r="G822" s="2606"/>
      <c r="H822" s="2606"/>
      <c r="I822" s="2606"/>
      <c r="J822" s="2606"/>
      <c r="K822" s="2606"/>
    </row>
    <row r="823" spans="1:11">
      <c r="A823" s="357" t="s">
        <v>1050</v>
      </c>
      <c r="B823" s="2606">
        <f>'Part VI-Pro Forma'!B116</f>
        <v>-48615</v>
      </c>
      <c r="C823" s="2606">
        <f>'Part VI-Pro Forma'!C116</f>
        <v>-49587</v>
      </c>
      <c r="D823" s="2606">
        <f>'Part VI-Pro Forma'!D116</f>
        <v>-50579</v>
      </c>
      <c r="E823" s="2606">
        <f>'Part VI-Pro Forma'!E116</f>
        <v>-51590</v>
      </c>
      <c r="F823" s="2606">
        <f>'Part VI-Pro Forma'!F116</f>
        <v>-52622</v>
      </c>
      <c r="G823" s="2606"/>
      <c r="H823" s="2606"/>
      <c r="I823" s="2606"/>
      <c r="J823" s="2606"/>
      <c r="K823" s="2606"/>
    </row>
    <row r="824" spans="1:11">
      <c r="A824" s="357" t="s">
        <v>1128</v>
      </c>
      <c r="B824" s="2606">
        <f>'Part VI-Pro Forma'!B117</f>
        <v>-33981.674596655226</v>
      </c>
      <c r="C824" s="2606">
        <f>'Part VI-Pro Forma'!C117</f>
        <v>-35001.124834554888</v>
      </c>
      <c r="D824" s="2606">
        <f>'Part VI-Pro Forma'!D117</f>
        <v>-36051.158579591531</v>
      </c>
      <c r="E824" s="2606">
        <f>'Part VI-Pro Forma'!E117</f>
        <v>-37132.693336979275</v>
      </c>
      <c r="F824" s="2606">
        <f>'Part VI-Pro Forma'!F117</f>
        <v>-38246.674137088652</v>
      </c>
      <c r="G824" s="2606"/>
      <c r="H824" s="2606"/>
      <c r="I824" s="2606"/>
      <c r="J824" s="2606"/>
      <c r="K824" s="2606"/>
    </row>
    <row r="825" spans="1:11">
      <c r="A825" s="357" t="s">
        <v>3835</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208141.47672086157</v>
      </c>
      <c r="C826" s="2606">
        <f>SUM(C821:C825)</f>
        <v>204528.60392995059</v>
      </c>
      <c r="D826" s="2606">
        <f>SUM(D821:D825)</f>
        <v>200609.63361346209</v>
      </c>
      <c r="E826" s="2606">
        <f>SUM(E821:E825)</f>
        <v>196372.84541879102</v>
      </c>
      <c r="F826" s="2606">
        <f>SUM(F821:F825)</f>
        <v>191803.05463421816</v>
      </c>
      <c r="G826" s="2606"/>
      <c r="H826" s="2606"/>
      <c r="I826" s="2606"/>
      <c r="J826" s="2606"/>
      <c r="K826" s="2606"/>
    </row>
    <row r="827" spans="1:11">
      <c r="A827" s="357" t="str">
        <f>$A797</f>
        <v>Mortgage A</v>
      </c>
      <c r="B827" s="2606">
        <f>'Part VI-Pro Forma'!B120</f>
        <v>-184228.81698972473</v>
      </c>
      <c r="C827" s="2606">
        <f>'Part VI-Pro Forma'!C120</f>
        <v>-184228.81698972473</v>
      </c>
      <c r="D827" s="2606">
        <f>'Part VI-Pro Forma'!D120</f>
        <v>-184228.81698972473</v>
      </c>
      <c r="E827" s="2606">
        <f>'Part VI-Pro Forma'!E120</f>
        <v>-184228.81698972473</v>
      </c>
      <c r="F827" s="2606">
        <f>'Part VI-Pro Forma'!F120</f>
        <v>-184228.81698972473</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-5000</v>
      </c>
      <c r="C832" s="2606">
        <f>'Part VI-Pro Forma'!C125</f>
        <v>-5000</v>
      </c>
      <c r="D832" s="2606">
        <f>'Part VI-Pro Forma'!D125</f>
        <v>-5000</v>
      </c>
      <c r="E832" s="2606">
        <f>'Part VI-Pro Forma'!E125</f>
        <v>-5000</v>
      </c>
      <c r="F832" s="2606">
        <f>'Part VI-Pro Forma'!F125</f>
        <v>-5000</v>
      </c>
      <c r="G832" s="2606"/>
      <c r="H832" s="2606"/>
      <c r="I832" s="2606"/>
      <c r="J832" s="2606"/>
      <c r="K832" s="2606"/>
    </row>
    <row r="833" spans="1:11">
      <c r="A833" s="357" t="s">
        <v>1096</v>
      </c>
      <c r="B833" s="2606">
        <f>SUM(B826:B832)</f>
        <v>18912.659731136839</v>
      </c>
      <c r="C833" s="2606">
        <f>SUM(C826:C832)</f>
        <v>15299.786940225866</v>
      </c>
      <c r="D833" s="2606">
        <f>SUM(D826:D832)</f>
        <v>11380.816623737366</v>
      </c>
      <c r="E833" s="2606">
        <f>SUM(E826:E832)</f>
        <v>7144.0284290662967</v>
      </c>
      <c r="F833" s="2606">
        <f>SUM(F826:F832)</f>
        <v>2574.2376444934343</v>
      </c>
      <c r="G833" s="2606"/>
      <c r="H833" s="2606"/>
      <c r="I833" s="2606"/>
      <c r="J833" s="2606"/>
      <c r="K833" s="2606"/>
    </row>
    <row r="834" spans="1:11">
      <c r="A834" s="357" t="str">
        <f>$A804</f>
        <v>DCR Mortgage A</v>
      </c>
      <c r="B834" s="2607">
        <f>IF(B827=0,"",-B826/B827)</f>
        <v>1.1297986933958901</v>
      </c>
      <c r="C834" s="2607">
        <f>IF(C827=0,"",-C826/C827)</f>
        <v>1.1101879025872379</v>
      </c>
      <c r="D834" s="2607">
        <f>IF(D827=0,"",-D826/D827)</f>
        <v>1.0889156044716446</v>
      </c>
      <c r="E834" s="2607">
        <f>IF(E827=0,"",-E826/E827)</f>
        <v>1.065918180594644</v>
      </c>
      <c r="F834" s="2607">
        <f>IF(F827=0,"",-F826/F827)</f>
        <v>1.0411132078480203</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3212</v>
      </c>
      <c r="B838" s="2607">
        <f>IF(AND(B827=0,B828=0,B829=0,B830=0),"",-B826/(B827+B828+B829+B830))</f>
        <v>1.1297986933958901</v>
      </c>
      <c r="C838" s="2607">
        <f>IF(AND(C827=0,C828=0,C829=0,C830=0),"",-C826/(C827+C828+C829+C830))</f>
        <v>1.1101879025872379</v>
      </c>
      <c r="D838" s="2607">
        <f>IF(AND(D827=0,D828=0,D829=0,D830=0),"",-D826/(D827+D828+D829+D830))</f>
        <v>1.0889156044716446</v>
      </c>
      <c r="E838" s="2607">
        <f>IF(AND(E827=0,E828=0,E829=0,E830=0),"",-E826/(E827+E828+E829+E830))</f>
        <v>1.065918180594644</v>
      </c>
      <c r="F838" s="2607">
        <f>IF(AND(F827=0,F828=0,F829=0,F830=0),"",-F826/(F827+F828+F829+F830))</f>
        <v>1.0411132078480203</v>
      </c>
      <c r="G838" s="2606"/>
      <c r="H838" s="2606"/>
      <c r="I838" s="2606"/>
      <c r="J838" s="2606"/>
      <c r="K838" s="2606"/>
    </row>
    <row r="839" spans="1:11">
      <c r="A839" s="357" t="s">
        <v>718</v>
      </c>
      <c r="B839" s="2608">
        <f>IF(OR(B823="Choose mgt fee",B823="Choose One!"),"",(B816+B817+B818+B819+B820) / -(B822+B823+B824))</f>
        <v>1.2519216162146962</v>
      </c>
      <c r="C839" s="2608">
        <f>IF(OR(C823="Choose mgt fee",C823="Choose One!"),"",(C816+C817+C818+C819+C820) / -(C822+C823+C824))</f>
        <v>1.2404761189794538</v>
      </c>
      <c r="D839" s="2608">
        <f>IF(OR(D823="Choose mgt fee",D823="Choose One!"),"",(D816+D817+D818+D819+D820) / -(D822+D823+D824))</f>
        <v>1.2291280345724931</v>
      </c>
      <c r="E839" s="2608">
        <f>IF(OR(E823="Choose mgt fee",E823="Choose One!"),"",(E816+E817+E818+E819+E820) / -(E822+E823+E824))</f>
        <v>1.2178786032148243</v>
      </c>
      <c r="F839" s="2608">
        <f>IF(OR(F823="Choose mgt fee",F823="Choose One!"),"",(F816+F817+F818+F819+F820) / -(F822+F823+F824))</f>
        <v>1.2067248886621669</v>
      </c>
      <c r="G839" s="2606"/>
      <c r="H839" s="2606"/>
      <c r="I839" s="2606"/>
      <c r="J839" s="2606"/>
      <c r="K839" s="2606"/>
    </row>
    <row r="840" spans="1:11">
      <c r="A840" s="357" t="s">
        <v>2404</v>
      </c>
      <c r="B840" s="2606">
        <f>'Part VI-Pro Forma'!B133</f>
        <v>649897.09083650494</v>
      </c>
      <c r="C840" s="2606">
        <f>'Part VI-Pro Forma'!C133</f>
        <v>502401.16117198841</v>
      </c>
      <c r="D840" s="2606">
        <f>'Part VI-Pro Forma'!D133</f>
        <v>345339.92298451375</v>
      </c>
      <c r="E840" s="2606">
        <f>'Part VI-Pro Forma'!E133</f>
        <v>178093.05320925126</v>
      </c>
      <c r="F840" s="2606">
        <f>'Part VI-Pro Forma'!F133</f>
        <v>5.8673322200775146E-8</v>
      </c>
      <c r="G840" s="2606"/>
      <c r="H840" s="2606"/>
      <c r="I840" s="2606"/>
      <c r="J840" s="2606"/>
      <c r="K840" s="2606"/>
    </row>
    <row r="841" spans="1:11">
      <c r="A841" s="357" t="s">
        <v>2405</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2406</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There are no debt service payment amounts that deviate from the amount shown in Permanent Sources (Part III).  DDF is paid off within the required 15 years (shown above).
The DSCR for this project starts at 1.22 and ends with 1.27 in year 15.  
See Tab 02 for documentation to reflect the real estate tax and insurance analysis.</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Peaks of Douglas,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6769</v>
      </c>
      <c r="Q854" s="2850" t="s">
        <v>6529</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6770</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6994</v>
      </c>
      <c r="B860" s="2858"/>
      <c r="C860" s="2858"/>
      <c r="D860" s="2858"/>
      <c r="E860" s="2858"/>
      <c r="F860" s="2858"/>
      <c r="G860" s="2858"/>
      <c r="H860" s="2858"/>
      <c r="I860" s="2859"/>
      <c r="J860" s="2859"/>
      <c r="K860" s="2860"/>
      <c r="L860" s="2860"/>
      <c r="M860" s="2860"/>
      <c r="N860" s="2860"/>
      <c r="O860" s="2860"/>
      <c r="P860" s="2859"/>
      <c r="Q860" s="2859"/>
    </row>
    <row r="861" spans="1:17" ht="15">
      <c r="A861" s="2861" t="s">
        <v>3065</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1871</v>
      </c>
      <c r="B869" s="2862"/>
      <c r="C869" s="2862"/>
      <c r="D869" s="2862"/>
      <c r="E869" s="2862"/>
      <c r="F869" s="2862"/>
      <c r="G869" s="2862"/>
      <c r="H869" s="2862"/>
      <c r="I869" s="2862"/>
      <c r="J869" s="2862"/>
      <c r="K869" s="2862"/>
      <c r="L869" s="2862"/>
      <c r="M869" s="2862"/>
      <c r="N869" s="2862"/>
      <c r="O869" s="2862"/>
      <c r="P869" s="2862"/>
      <c r="Q869" s="2862"/>
    </row>
    <row r="870" spans="1:17" ht="14.25">
      <c r="A870" s="2862" t="s">
        <v>1872</v>
      </c>
      <c r="B870" s="2862"/>
      <c r="C870" s="2862"/>
      <c r="D870" s="2862"/>
      <c r="E870" s="2862"/>
      <c r="F870" s="2862"/>
      <c r="G870" s="2862"/>
      <c r="H870" s="2862"/>
      <c r="I870" s="2862"/>
      <c r="J870" s="2862"/>
      <c r="K870" s="2862"/>
      <c r="L870" s="2862"/>
      <c r="M870" s="2862"/>
      <c r="N870" s="2862"/>
      <c r="O870" s="2862"/>
      <c r="P870" s="2862"/>
      <c r="Q870" s="2862"/>
    </row>
    <row r="871" spans="1:17" ht="14.25">
      <c r="A871" s="2862" t="s">
        <v>1873</v>
      </c>
      <c r="B871" s="2862"/>
      <c r="C871" s="2862"/>
      <c r="D871" s="2862"/>
      <c r="E871" s="2862"/>
      <c r="F871" s="2862"/>
      <c r="G871" s="2862"/>
      <c r="H871" s="2862"/>
      <c r="I871" s="2862"/>
      <c r="J871" s="2862"/>
      <c r="K871" s="2862"/>
      <c r="L871" s="2862"/>
      <c r="M871" s="2862"/>
      <c r="N871" s="2862"/>
      <c r="O871" s="2862"/>
      <c r="P871" s="2862"/>
      <c r="Q871" s="2862"/>
    </row>
    <row r="872" spans="1:17" ht="14.25">
      <c r="A872" s="2862" t="s">
        <v>1874</v>
      </c>
      <c r="B872" s="2862"/>
      <c r="C872" s="2862"/>
      <c r="D872" s="2862"/>
      <c r="E872" s="2862"/>
      <c r="F872" s="2862"/>
      <c r="G872" s="2862"/>
      <c r="H872" s="2862"/>
      <c r="I872" s="2862"/>
      <c r="J872" s="2862"/>
      <c r="K872" s="2862"/>
      <c r="L872" s="2862"/>
      <c r="M872" s="2862"/>
      <c r="N872" s="2862"/>
      <c r="O872" s="2862"/>
      <c r="P872" s="2862"/>
      <c r="Q872" s="2862"/>
    </row>
    <row r="873" spans="1:17" ht="14.25">
      <c r="A873" s="2862" t="s">
        <v>1875</v>
      </c>
      <c r="B873" s="2862"/>
      <c r="C873" s="2862"/>
      <c r="D873" s="2862"/>
      <c r="E873" s="2862"/>
      <c r="F873" s="2862"/>
      <c r="G873" s="2862"/>
      <c r="H873" s="2862"/>
      <c r="I873" s="2862"/>
      <c r="J873" s="2862"/>
      <c r="K873" s="2862"/>
      <c r="L873" s="2862"/>
      <c r="M873" s="2862"/>
      <c r="N873" s="2862"/>
      <c r="O873" s="2862"/>
      <c r="P873" s="2862"/>
      <c r="Q873" s="2862"/>
    </row>
    <row r="874" spans="1:17" ht="14.25">
      <c r="A874" s="2862" t="s">
        <v>1876</v>
      </c>
      <c r="B874" s="2862"/>
      <c r="C874" s="2862"/>
      <c r="D874" s="2862"/>
      <c r="E874" s="2862"/>
      <c r="F874" s="2862"/>
      <c r="G874" s="2862"/>
      <c r="H874" s="2862"/>
      <c r="I874" s="2862"/>
      <c r="J874" s="2862"/>
      <c r="K874" s="2862"/>
      <c r="L874" s="2862"/>
      <c r="M874" s="2862"/>
      <c r="N874" s="2862"/>
      <c r="O874" s="2862"/>
      <c r="P874" s="2862"/>
      <c r="Q874" s="2862"/>
    </row>
    <row r="875" spans="1:17" ht="14.25">
      <c r="A875" s="2862" t="s">
        <v>1877</v>
      </c>
      <c r="B875" s="2862"/>
      <c r="C875" s="2862"/>
      <c r="D875" s="2862"/>
      <c r="E875" s="2862"/>
      <c r="F875" s="2862"/>
      <c r="G875" s="2862"/>
      <c r="H875" s="2862"/>
      <c r="I875" s="2862"/>
      <c r="J875" s="2862"/>
      <c r="K875" s="2862"/>
      <c r="L875" s="2862"/>
      <c r="M875" s="2862"/>
      <c r="N875" s="2862"/>
      <c r="O875" s="2862"/>
      <c r="P875" s="2862"/>
      <c r="Q875" s="2862"/>
    </row>
    <row r="876" spans="1:17" ht="14.25">
      <c r="A876" s="2862" t="s">
        <v>1878</v>
      </c>
      <c r="B876" s="2862"/>
      <c r="C876" s="2862"/>
      <c r="D876" s="2862"/>
      <c r="E876" s="2862"/>
      <c r="F876" s="2862"/>
      <c r="G876" s="2862"/>
      <c r="H876" s="2862"/>
      <c r="I876" s="2862"/>
      <c r="J876" s="2862"/>
      <c r="K876" s="2862"/>
      <c r="L876" s="2862"/>
      <c r="M876" s="2862"/>
      <c r="N876" s="2862"/>
      <c r="O876" s="2862"/>
      <c r="P876" s="2862"/>
      <c r="Q876" s="2862"/>
    </row>
    <row r="877" spans="1:17" ht="14.25">
      <c r="A877" s="2862" t="s">
        <v>1879</v>
      </c>
      <c r="B877" s="2862"/>
      <c r="C877" s="2862"/>
      <c r="D877" s="2862"/>
      <c r="E877" s="2862"/>
      <c r="F877" s="2862"/>
      <c r="G877" s="2862"/>
      <c r="H877" s="2862"/>
      <c r="I877" s="2862"/>
      <c r="J877" s="2862"/>
      <c r="K877" s="2862"/>
      <c r="L877" s="2862"/>
      <c r="M877" s="2862"/>
      <c r="N877" s="2862"/>
      <c r="O877" s="2862"/>
      <c r="P877" s="2862"/>
      <c r="Q877" s="2862"/>
    </row>
    <row r="878" spans="1:17" ht="14.25">
      <c r="A878" s="2862" t="s">
        <v>1880</v>
      </c>
      <c r="B878" s="2862"/>
      <c r="C878" s="2862"/>
      <c r="D878" s="2862"/>
      <c r="E878" s="2862"/>
      <c r="F878" s="2862"/>
      <c r="G878" s="2862"/>
      <c r="H878" s="2862"/>
      <c r="I878" s="2862"/>
      <c r="J878" s="2862"/>
      <c r="K878" s="2862"/>
      <c r="L878" s="2862"/>
      <c r="M878" s="2862"/>
      <c r="N878" s="2862"/>
      <c r="O878" s="2862"/>
      <c r="P878" s="2862"/>
      <c r="Q878" s="2862"/>
    </row>
    <row r="879" spans="1:17" ht="14.25">
      <c r="A879" s="2862" t="s">
        <v>1881</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6631</v>
      </c>
      <c r="C882" s="2859"/>
      <c r="D882" s="2859"/>
      <c r="E882" s="2859"/>
      <c r="F882" s="2859"/>
      <c r="G882" s="2859"/>
      <c r="H882" s="2106"/>
      <c r="I882" s="2108"/>
      <c r="J882" s="2108"/>
      <c r="K882" s="2108"/>
      <c r="L882" s="2109"/>
      <c r="M882" s="2109"/>
      <c r="N882" s="2106"/>
      <c r="O882" s="2864" t="s">
        <v>1730</v>
      </c>
      <c r="P882" s="2859"/>
      <c r="Q882" s="2859"/>
    </row>
    <row r="883" spans="1:17" ht="15">
      <c r="A883" s="2106"/>
      <c r="B883" s="2865" t="s">
        <v>6772</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complied with the requirements of the 2023 QAP.
The Applicant has included the commitments for the construction and permanent loans and for the State and Federal Equity as required.</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1729</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1730</v>
      </c>
      <c r="P889" s="2859"/>
      <c r="Q889" s="2859"/>
    </row>
    <row r="890" spans="1:17" ht="15">
      <c r="A890" s="2863"/>
      <c r="B890" s="2106" t="s">
        <v>6995</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3238</v>
      </c>
      <c r="C891" s="2106"/>
      <c r="D891" s="2868"/>
      <c r="E891" s="2868"/>
      <c r="F891" s="2868"/>
      <c r="G891" s="2868"/>
      <c r="H891" s="2107"/>
      <c r="I891" s="2108"/>
      <c r="J891" s="2108"/>
      <c r="K891" s="2106"/>
      <c r="L891" s="2106"/>
      <c r="M891" s="2106"/>
      <c r="N891" s="2106"/>
      <c r="O891" s="2106"/>
      <c r="P891" s="2106"/>
      <c r="Q891" s="2106"/>
    </row>
    <row r="892" spans="1:17" ht="185.25">
      <c r="A892" s="2860" t="str">
        <f>'Part VII-Threshold Criteria'!A41</f>
        <v>Applicant will comply with all of the requirements for a HFOP project per the current year QAP.</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1729</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2421</v>
      </c>
      <c r="C897" s="2863"/>
      <c r="D897" s="2867"/>
      <c r="E897" s="2867"/>
      <c r="F897" s="2867"/>
      <c r="G897" s="2867"/>
      <c r="H897" s="2867"/>
      <c r="I897" s="2867"/>
      <c r="J897" s="2867"/>
      <c r="K897" s="2106"/>
      <c r="L897" s="2869"/>
      <c r="M897" s="2870"/>
      <c r="N897" s="2106"/>
      <c r="O897" s="2864" t="s">
        <v>1730</v>
      </c>
      <c r="P897" s="2859"/>
      <c r="Q897" s="2859"/>
    </row>
    <row r="898" spans="1:17" ht="15">
      <c r="A898" s="2871"/>
      <c r="B898" s="2107" t="s">
        <v>6996</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3238</v>
      </c>
      <c r="C899" s="2106"/>
      <c r="D899" s="2868"/>
      <c r="E899" s="2868"/>
      <c r="F899" s="2868"/>
      <c r="G899" s="2868"/>
      <c r="H899" s="2107"/>
      <c r="I899" s="2108"/>
      <c r="J899" s="2108"/>
      <c r="K899" s="2865" t="s">
        <v>1729</v>
      </c>
      <c r="L899" s="2109"/>
      <c r="M899" s="2109"/>
      <c r="N899" s="2109"/>
      <c r="O899" s="2109"/>
      <c r="P899" s="2109"/>
      <c r="Q899" s="2109"/>
    </row>
    <row r="900" spans="1:17" ht="409.5">
      <c r="A900" s="2860" t="str">
        <f>'Part VII-Threshold Criteria'!A49</f>
        <v>Applicant and Property Manager will provide and/or coordinate activities.  Third party vendors may also be used.  Additionally, the property manager will conduct social/recreational and enrichment programs (ex. potlucks, move-nights, bingo, budgeting, arts/crafts, and health classes).</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4017</v>
      </c>
      <c r="C903" s="2863"/>
      <c r="D903" s="2867"/>
      <c r="E903" s="2867"/>
      <c r="F903" s="2867"/>
      <c r="G903" s="2867"/>
      <c r="H903" s="2872"/>
      <c r="I903" s="2106"/>
      <c r="J903" s="2871"/>
      <c r="K903" s="2859"/>
      <c r="L903" s="2871"/>
      <c r="M903" s="2863"/>
      <c r="N903" s="2106"/>
      <c r="O903" s="2864" t="s">
        <v>1730</v>
      </c>
      <c r="P903" s="2859"/>
      <c r="Q903" s="2859"/>
    </row>
    <row r="904" spans="1:17" ht="15" customHeight="1">
      <c r="A904" s="2871"/>
      <c r="B904" s="2860" t="s">
        <v>2263</v>
      </c>
      <c r="C904" s="2860"/>
      <c r="D904" s="2860"/>
      <c r="E904" s="2860"/>
      <c r="F904" s="2860"/>
      <c r="G904" s="2860"/>
      <c r="H904" s="2860"/>
      <c r="I904" s="2862" t="str">
        <f>'Part VII-Threshold Criteria'!I53</f>
        <v>Bowen National Research</v>
      </c>
      <c r="J904" s="2862"/>
      <c r="K904" s="2862"/>
      <c r="L904" s="2862"/>
      <c r="M904" s="2862"/>
      <c r="N904" s="2862"/>
      <c r="O904" s="2862"/>
      <c r="P904" s="2862"/>
      <c r="Q904" s="2862"/>
    </row>
    <row r="905" spans="1:17" ht="15">
      <c r="A905" s="2871"/>
      <c r="B905" s="2106" t="s">
        <v>6775</v>
      </c>
      <c r="C905" s="2106"/>
      <c r="D905" s="2860"/>
      <c r="E905" s="2860"/>
      <c r="F905" s="2860"/>
      <c r="G905" s="2106"/>
      <c r="H905" s="2106"/>
      <c r="I905" s="2860">
        <f>'Part VII-Threshold Criteria'!I54</f>
        <v>0.93</v>
      </c>
      <c r="J905" s="2860"/>
      <c r="K905" s="2860"/>
      <c r="L905" s="2873"/>
      <c r="M905" s="2874"/>
      <c r="N905" s="2874"/>
      <c r="O905" s="2874"/>
      <c r="P905" s="2874"/>
      <c r="Q905" s="2109"/>
    </row>
    <row r="906" spans="1:17" ht="15">
      <c r="A906" s="2871"/>
      <c r="B906" s="2106" t="s">
        <v>6776</v>
      </c>
      <c r="C906" s="2106"/>
      <c r="D906" s="2860"/>
      <c r="E906" s="2860"/>
      <c r="F906" s="2860"/>
      <c r="G906" s="2106"/>
      <c r="H906" s="2873" t="s">
        <v>6777</v>
      </c>
      <c r="I906" s="2860">
        <f>'Part VII-Threshold Criteria'!I55</f>
        <v>0.112</v>
      </c>
      <c r="J906" s="2860"/>
      <c r="K906" s="2860"/>
      <c r="L906" s="2874"/>
      <c r="M906" s="2875" t="s">
        <v>6778</v>
      </c>
      <c r="N906" s="2860" t="str">
        <f>'Part VII-Threshold Criteria'!N55</f>
        <v>NA</v>
      </c>
      <c r="O906" s="2860"/>
      <c r="P906" s="2106"/>
      <c r="Q906" s="2106"/>
    </row>
    <row r="907" spans="1:17" ht="15">
      <c r="A907" s="2106"/>
      <c r="B907" s="2868" t="s">
        <v>3238</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The Tax Credit Overall Occupancy Rate in the market area is 100%.  The overall unrestricted Market Rate Occupancy rate of 92.4% takes into account one property that contains nearly half of the vacant units reprepresented in the study.  When excluding this property the Market Rate Occupancy rate increases to 95.4%.   The Market Study shows high demand for this project as structured.  The two age-restricted LIHTC properties in the Market Area both maintain waiting list of 102-250 households.</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1729</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2422</v>
      </c>
      <c r="C913" s="2863"/>
      <c r="D913" s="2867"/>
      <c r="E913" s="2867"/>
      <c r="F913" s="2867"/>
      <c r="G913" s="2867"/>
      <c r="H913" s="2867"/>
      <c r="I913" s="2867"/>
      <c r="J913" s="2867"/>
      <c r="K913" s="2867"/>
      <c r="L913" s="2867"/>
      <c r="M913" s="2867"/>
      <c r="N913" s="2106"/>
      <c r="O913" s="2864" t="s">
        <v>1730</v>
      </c>
      <c r="P913" s="2859"/>
      <c r="Q913" s="2859"/>
    </row>
    <row r="914" spans="1:17" ht="15">
      <c r="A914" s="2871"/>
      <c r="B914" s="2106" t="s">
        <v>6779</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3946</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6780</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6781</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6772</v>
      </c>
      <c r="C918" s="2106"/>
      <c r="D918" s="2868"/>
      <c r="E918" s="2868"/>
      <c r="F918" s="2868"/>
      <c r="G918" s="2868"/>
      <c r="H918" s="2107"/>
      <c r="I918" s="2108"/>
      <c r="J918" s="2108"/>
      <c r="K918" s="2108"/>
      <c r="L918" s="2109"/>
      <c r="M918" s="2109"/>
      <c r="N918" s="2109"/>
      <c r="O918" s="2109"/>
      <c r="P918" s="2109"/>
      <c r="Q918" s="2109"/>
    </row>
    <row r="919" spans="1:17" ht="42.75">
      <c r="A919" s="2860" t="str">
        <f>'Part VII-Threshold Criteria'!A68</f>
        <v>Not applicable.</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1729</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2423</v>
      </c>
      <c r="C924" s="2107"/>
      <c r="D924" s="2867"/>
      <c r="E924" s="2867"/>
      <c r="F924" s="2867"/>
      <c r="G924" s="2867"/>
      <c r="H924" s="2867"/>
      <c r="I924" s="2867"/>
      <c r="J924" s="2867"/>
      <c r="K924" s="2867"/>
      <c r="L924" s="2867"/>
      <c r="M924" s="2867"/>
      <c r="N924" s="2106"/>
      <c r="O924" s="2864" t="s">
        <v>1730</v>
      </c>
      <c r="P924" s="2859"/>
      <c r="Q924" s="2859"/>
    </row>
    <row r="925" spans="1:17" ht="15" customHeight="1">
      <c r="A925" s="2871"/>
      <c r="B925" s="2860" t="s">
        <v>6782</v>
      </c>
      <c r="C925" s="2860"/>
      <c r="D925" s="2860"/>
      <c r="E925" s="2860"/>
      <c r="F925" s="2860"/>
      <c r="G925" s="2860"/>
      <c r="H925" s="2860"/>
      <c r="I925" s="2860"/>
      <c r="J925" s="2860"/>
      <c r="K925" s="2860"/>
      <c r="L925" s="2876" t="str">
        <f>'Part VII-Threshold Criteria'!L74</f>
        <v>GIBCO Environmental, LLC</v>
      </c>
      <c r="M925" s="2876"/>
      <c r="N925" s="2876"/>
      <c r="O925" s="2876"/>
      <c r="P925" s="2876"/>
      <c r="Q925" s="2876"/>
    </row>
    <row r="926" spans="1:17" ht="15">
      <c r="A926" s="2106"/>
      <c r="B926" s="2106" t="s">
        <v>6783</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6629</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6784</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6785</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6786</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6787</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6788</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6997</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A Pre-Demolition Asbestos Survery is included as part of the Phase I and did identify some evidence of asbestos in the existing structures.  These structures will be demolished using best practices and contractor certified in asbestos removal.</v>
      </c>
      <c r="C934" s="2860"/>
      <c r="D934" s="2860"/>
      <c r="E934" s="2860"/>
      <c r="F934" s="2860"/>
      <c r="G934" s="2860"/>
      <c r="H934" s="2860"/>
      <c r="I934" s="2860"/>
      <c r="J934" s="2860"/>
      <c r="K934" s="2860"/>
      <c r="L934" s="2860"/>
      <c r="M934" s="2860"/>
      <c r="N934" s="2860"/>
      <c r="O934" s="2860"/>
      <c r="P934" s="2860"/>
      <c r="Q934" s="2860"/>
    </row>
    <row r="935" spans="1:17" ht="15">
      <c r="A935" s="2106"/>
      <c r="B935" s="2868" t="s">
        <v>3238</v>
      </c>
      <c r="C935" s="2106"/>
      <c r="D935" s="2868"/>
      <c r="E935" s="2868"/>
      <c r="F935" s="2868"/>
      <c r="G935" s="2868"/>
      <c r="H935" s="2107"/>
      <c r="I935" s="2108"/>
      <c r="J935" s="2108"/>
      <c r="K935" s="2108"/>
      <c r="L935" s="2109"/>
      <c r="M935" s="2109"/>
      <c r="N935" s="2109"/>
      <c r="O935" s="2109"/>
      <c r="P935" s="2109"/>
      <c r="Q935" s="2109"/>
    </row>
    <row r="936" spans="1:17" ht="256.5">
      <c r="A936" s="2860" t="str">
        <f>'Part VII-Threshold Criteria'!A85</f>
        <v xml:space="preserve">GIBCO Environmental, LLC completed a full Phase I evaluation of the site and found no concerns that warrated further investigation.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1729</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2424</v>
      </c>
      <c r="C941" s="2863"/>
      <c r="D941" s="2867"/>
      <c r="E941" s="2867"/>
      <c r="F941" s="2867"/>
      <c r="G941" s="2867"/>
      <c r="H941" s="2867"/>
      <c r="I941" s="2867"/>
      <c r="J941" s="2867"/>
      <c r="K941" s="2867"/>
      <c r="L941" s="2106"/>
      <c r="M941" s="2106"/>
      <c r="N941" s="2106"/>
      <c r="O941" s="2864" t="s">
        <v>1730</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7">
      <c r="A943" s="2871"/>
      <c r="B943" s="2106" t="s">
        <v>636</v>
      </c>
      <c r="C943" s="2106"/>
      <c r="D943" s="2106"/>
      <c r="E943" s="2106"/>
      <c r="F943" s="2106"/>
      <c r="G943" s="2860" t="str">
        <f>'Part VII-Threshold Criteria'!G92</f>
        <v>Peaks of Douglas, LP</v>
      </c>
      <c r="H943" s="2860"/>
      <c r="I943" s="2860"/>
      <c r="J943" s="2860"/>
      <c r="K943" s="2860"/>
      <c r="L943" s="2860"/>
      <c r="M943" s="2860"/>
      <c r="N943" s="2860"/>
      <c r="O943" s="2860"/>
      <c r="P943" s="2860"/>
      <c r="Q943" s="2860"/>
    </row>
    <row r="944" spans="1:17" ht="15">
      <c r="A944" s="2106"/>
      <c r="B944" s="2868" t="s">
        <v>3238</v>
      </c>
      <c r="C944" s="2106"/>
      <c r="D944" s="2868"/>
      <c r="E944" s="2868"/>
      <c r="F944" s="2868"/>
      <c r="G944" s="2868"/>
      <c r="H944" s="2107"/>
      <c r="I944" s="2108"/>
      <c r="J944" s="2108"/>
      <c r="K944" s="2108"/>
      <c r="L944" s="2109"/>
      <c r="M944" s="2109"/>
      <c r="N944" s="2109"/>
      <c r="O944" s="2109"/>
      <c r="P944" s="2109"/>
      <c r="Q944" s="2109"/>
    </row>
    <row r="945" spans="1:17" ht="299.25">
      <c r="A945" s="2860" t="str">
        <f>'Part VII-Threshold Criteria'!A94</f>
        <v xml:space="preserve">Applicant has two parcels under contract, both of which give the applicant site control longer than the required Threshold date of November 30, 2023.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1729</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2425</v>
      </c>
      <c r="C950" s="2863"/>
      <c r="D950" s="2867"/>
      <c r="E950" s="2867"/>
      <c r="F950" s="2867"/>
      <c r="G950" s="2867"/>
      <c r="H950" s="2867"/>
      <c r="I950" s="2867"/>
      <c r="J950" s="2867"/>
      <c r="K950" s="2867"/>
      <c r="L950" s="2867"/>
      <c r="M950" s="2867"/>
      <c r="N950" s="2106"/>
      <c r="O950" s="2864" t="s">
        <v>1730</v>
      </c>
      <c r="P950" s="2859"/>
      <c r="Q950" s="2859"/>
    </row>
    <row r="951" spans="1:17" ht="15">
      <c r="A951" s="2106"/>
      <c r="B951" s="2868" t="s">
        <v>3238</v>
      </c>
      <c r="C951" s="2106"/>
      <c r="D951" s="2868"/>
      <c r="E951" s="2868"/>
      <c r="F951" s="2868"/>
      <c r="G951" s="2868"/>
      <c r="H951" s="2107"/>
      <c r="I951" s="2108"/>
      <c r="J951" s="2108"/>
      <c r="K951" s="2108"/>
      <c r="L951" s="2109"/>
      <c r="M951" s="2109"/>
      <c r="N951" s="2109"/>
      <c r="O951" s="2109"/>
      <c r="P951" s="2109"/>
      <c r="Q951" s="2109"/>
    </row>
    <row r="952" spans="1:17" ht="399">
      <c r="A952" s="2860" t="str">
        <f>'Part VII-Threshold Criteria'!A101</f>
        <v>Site access to the property will be from Stewart Mill Road.  There will be a vehicular entrance and an additional pedestrian walkway entrance.  These entrances are shown on the CDSP.</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1729</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2426</v>
      </c>
      <c r="C957" s="2859"/>
      <c r="D957" s="2859"/>
      <c r="E957" s="2106"/>
      <c r="F957" s="2106"/>
      <c r="G957" s="2106"/>
      <c r="H957" s="2106"/>
      <c r="I957" s="2106"/>
      <c r="J957" s="2106"/>
      <c r="K957" s="2106"/>
      <c r="L957" s="2106"/>
      <c r="M957" s="2106"/>
      <c r="N957" s="2106"/>
      <c r="O957" s="2864" t="s">
        <v>1730</v>
      </c>
      <c r="P957" s="2859"/>
      <c r="Q957" s="2859"/>
    </row>
    <row r="958" spans="1:17" ht="15">
      <c r="A958" s="2106"/>
      <c r="B958" s="2868" t="s">
        <v>3238</v>
      </c>
      <c r="C958" s="2106"/>
      <c r="D958" s="2868"/>
      <c r="E958" s="2868"/>
      <c r="F958" s="2868"/>
      <c r="G958" s="2868"/>
      <c r="H958" s="2107"/>
      <c r="I958" s="2108"/>
      <c r="J958" s="2108"/>
      <c r="K958" s="2108"/>
      <c r="L958" s="2109"/>
      <c r="M958" s="2109"/>
      <c r="N958" s="2109"/>
      <c r="O958" s="2109"/>
      <c r="P958" s="2109"/>
      <c r="Q958" s="2109"/>
    </row>
    <row r="959" spans="1:17" ht="356.25">
      <c r="A959" s="2860" t="str">
        <f>'Part VII-Threshold Criteria'!A108</f>
        <v>The property zoning is PRD as shown in the Zoning letter provided by the Douglas County Zoning Official.  The PRD zoning allows for Multi-Family Residential Development.</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1729</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2427</v>
      </c>
      <c r="C964" s="2863"/>
      <c r="D964" s="2867"/>
      <c r="E964" s="2867"/>
      <c r="F964" s="2106"/>
      <c r="G964" s="2867"/>
      <c r="H964" s="2106"/>
      <c r="I964" s="2106"/>
      <c r="J964" s="2860"/>
      <c r="K964" s="2860"/>
      <c r="L964" s="2860"/>
      <c r="M964" s="2860"/>
      <c r="N964" s="2106"/>
      <c r="O964" s="2864" t="s">
        <v>1730</v>
      </c>
      <c r="P964" s="2859"/>
      <c r="Q964" s="2859"/>
    </row>
    <row r="965" spans="1:17" ht="15">
      <c r="A965" s="2871"/>
      <c r="B965" s="2106" t="s">
        <v>6790</v>
      </c>
      <c r="C965" s="2106"/>
      <c r="D965" s="2106"/>
      <c r="E965" s="2106"/>
      <c r="F965" s="2106"/>
      <c r="G965" s="2106"/>
      <c r="H965" s="2106" t="s">
        <v>6791</v>
      </c>
      <c r="I965" s="2106"/>
      <c r="J965" s="2859" t="str">
        <f>'Part VII-Threshold Criteria'!J114</f>
        <v>Not Applicable</v>
      </c>
      <c r="K965" s="2859"/>
      <c r="L965" s="2859"/>
      <c r="M965" s="2859"/>
      <c r="N965" s="2859"/>
      <c r="O965" s="2859"/>
      <c r="P965" s="2859"/>
      <c r="Q965" s="2859"/>
    </row>
    <row r="966" spans="1:17" ht="15">
      <c r="A966" s="2871"/>
      <c r="B966" s="2871"/>
      <c r="C966" s="2106"/>
      <c r="D966" s="2106"/>
      <c r="E966" s="2106"/>
      <c r="F966" s="2106"/>
      <c r="G966" s="2106"/>
      <c r="H966" s="2106" t="s">
        <v>6792</v>
      </c>
      <c r="I966" s="2106"/>
      <c r="J966" s="2859" t="str">
        <f>'Part VII-Threshold Criteria'!J115</f>
        <v>GreyStone Power Corporation</v>
      </c>
      <c r="K966" s="2859"/>
      <c r="L966" s="2859"/>
      <c r="M966" s="2859"/>
      <c r="N966" s="2859"/>
      <c r="O966" s="2859"/>
      <c r="P966" s="2859"/>
      <c r="Q966" s="2859"/>
    </row>
    <row r="967" spans="1:17" ht="15">
      <c r="A967" s="2871"/>
      <c r="B967" s="2868" t="s">
        <v>3238</v>
      </c>
      <c r="C967" s="2860"/>
      <c r="D967" s="2860"/>
      <c r="E967" s="2860"/>
      <c r="F967" s="2860"/>
      <c r="G967" s="2106"/>
      <c r="H967" s="2106"/>
      <c r="I967" s="2106"/>
      <c r="J967" s="2106"/>
      <c r="K967" s="2106"/>
      <c r="L967" s="2106"/>
      <c r="M967" s="2106"/>
      <c r="N967" s="2106"/>
      <c r="O967" s="2106"/>
      <c r="P967" s="2106"/>
      <c r="Q967" s="2106"/>
    </row>
    <row r="968" spans="1:17" ht="327.75">
      <c r="A968" s="2860" t="str">
        <f>'Part VII-Threshold Criteria'!A117</f>
        <v>GreyStone Power Corporation has electrical facilities available to serve the Peaks of Douglas Community as shown in the Availability Letter provided.</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1729</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6793</v>
      </c>
      <c r="C973" s="2859"/>
      <c r="D973" s="2859"/>
      <c r="E973" s="2859"/>
      <c r="F973" s="2859"/>
      <c r="G973" s="2867"/>
      <c r="H973" s="2867"/>
      <c r="I973" s="2106"/>
      <c r="J973" s="2867"/>
      <c r="K973" s="2867"/>
      <c r="L973" s="2867"/>
      <c r="M973" s="2867"/>
      <c r="N973" s="2106"/>
      <c r="O973" s="2864" t="s">
        <v>1730</v>
      </c>
      <c r="P973" s="2859"/>
      <c r="Q973" s="2859"/>
    </row>
    <row r="974" spans="1:17" ht="15">
      <c r="A974" s="2871"/>
      <c r="B974" s="2106" t="s">
        <v>6794</v>
      </c>
      <c r="C974" s="2106"/>
      <c r="D974" s="2106"/>
      <c r="E974" s="2106"/>
      <c r="F974" s="2106"/>
      <c r="G974" s="2106"/>
      <c r="H974" s="2106" t="s">
        <v>6795</v>
      </c>
      <c r="I974" s="2106"/>
      <c r="J974" s="2859" t="str">
        <f>'Part VII-Threshold Criteria'!J123</f>
        <v>Douglasville-Douglas County Water and Sewer Authority</v>
      </c>
      <c r="K974" s="2859"/>
      <c r="L974" s="2859"/>
      <c r="M974" s="2859"/>
      <c r="N974" s="2859"/>
      <c r="O974" s="2859"/>
      <c r="P974" s="2859"/>
      <c r="Q974" s="2859"/>
    </row>
    <row r="975" spans="1:17" ht="15">
      <c r="A975" s="2860"/>
      <c r="B975" s="2871"/>
      <c r="C975" s="2106"/>
      <c r="D975" s="2106"/>
      <c r="E975" s="2106"/>
      <c r="F975" s="2106"/>
      <c r="G975" s="2106"/>
      <c r="H975" s="2106" t="s">
        <v>6796</v>
      </c>
      <c r="I975" s="2106"/>
      <c r="J975" s="2859" t="str">
        <f>'Part VII-Threshold Criteria'!J124</f>
        <v>Douglasville-Douglas County Water and Sewer Authority</v>
      </c>
      <c r="K975" s="2859"/>
      <c r="L975" s="2859"/>
      <c r="M975" s="2859"/>
      <c r="N975" s="2859"/>
      <c r="O975" s="2859"/>
      <c r="P975" s="2859"/>
      <c r="Q975" s="2859"/>
    </row>
    <row r="976" spans="1:17" ht="15">
      <c r="A976" s="2106"/>
      <c r="B976" s="2868" t="s">
        <v>3238</v>
      </c>
      <c r="C976" s="2106"/>
      <c r="D976" s="2865"/>
      <c r="E976" s="2865"/>
      <c r="F976" s="2865"/>
      <c r="G976" s="2865"/>
      <c r="H976" s="2106"/>
      <c r="I976" s="2106"/>
      <c r="J976" s="2106"/>
      <c r="K976" s="2106"/>
      <c r="L976" s="2859"/>
      <c r="M976" s="2859"/>
      <c r="N976" s="2859"/>
      <c r="O976" s="2859"/>
      <c r="P976" s="2859"/>
      <c r="Q976" s="2859"/>
    </row>
    <row r="977" spans="1:17" ht="342">
      <c r="A977" s="2860" t="str">
        <f>'Part VII-Threshold Criteria'!A126</f>
        <v>Douglasville-Douglas County Water and Sewer Authority is available to serve the Peaks of Douglas Community as shown in the Availability Letter provided.</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1729</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2429</v>
      </c>
      <c r="C982" s="2863"/>
      <c r="D982" s="2867"/>
      <c r="E982" s="2867"/>
      <c r="F982" s="2867"/>
      <c r="G982" s="2867"/>
      <c r="H982" s="2867"/>
      <c r="I982" s="2867"/>
      <c r="J982" s="2867"/>
      <c r="K982" s="2867"/>
      <c r="L982" s="2867"/>
      <c r="M982" s="2867"/>
      <c r="N982" s="2106"/>
      <c r="O982" s="2864" t="s">
        <v>1730</v>
      </c>
      <c r="P982" s="2859"/>
      <c r="Q982" s="2859"/>
    </row>
    <row r="983" spans="1:17" ht="15" customHeight="1">
      <c r="A983" s="2106"/>
      <c r="B983" s="2860" t="s">
        <v>6998</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1840</v>
      </c>
      <c r="B984" s="2106" t="s">
        <v>6999</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1791</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6716</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3784</v>
      </c>
      <c r="D988" s="2106"/>
      <c r="E988" s="2107"/>
      <c r="F988" s="2107"/>
      <c r="G988" s="2107"/>
      <c r="H988" s="2107"/>
      <c r="I988" s="2106"/>
      <c r="J988" s="2873"/>
      <c r="K988" s="2106"/>
      <c r="L988" s="2106"/>
      <c r="M988" s="2859" t="str">
        <f>'Part VII-Threshold Criteria'!M137</f>
        <v>W&amp;D installed in each unit</v>
      </c>
      <c r="N988" s="2859"/>
      <c r="O988" s="2859"/>
      <c r="P988" s="2859"/>
      <c r="Q988" s="2859"/>
    </row>
    <row r="989" spans="1:17" ht="15" customHeight="1">
      <c r="A989" s="2871" t="s">
        <v>1842</v>
      </c>
      <c r="B989" s="2860" t="s">
        <v>7000</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7001</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Covered pavilion with picnic/BBQ facilities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Fenced community gardens</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f>'Part VII-Threshold Criteria'!C142</f>
        <v>0</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2181</v>
      </c>
      <c r="C994" s="2862">
        <f>'Part VII-Threshold Criteria'!C143</f>
        <v>0</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3238</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 xml:space="preserve">The Applicant agrees to provide all amenities as required per the 2023 QAP.  The required amenities are identified on the CDSP.  We will be including the Community Room, Covered Porch (exterior gathering area), washers/dryers installed in each unit, covered pavilion with picnic/bbq facilities, fenced community gardens, and the additional senior requirements of an elevator, and interior conditioned and furnished gathering areas (min of 1 per floor).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1729</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2494</v>
      </c>
      <c r="B1001" s="2859" t="s">
        <v>3949</v>
      </c>
      <c r="C1001" s="2859"/>
      <c r="D1001" s="2859"/>
      <c r="E1001" s="2859"/>
      <c r="F1001" s="2859"/>
      <c r="G1001" s="2859"/>
      <c r="H1001" s="2867"/>
      <c r="I1001" s="2867"/>
      <c r="J1001" s="2867"/>
      <c r="K1001" s="2867"/>
      <c r="L1001" s="2891"/>
      <c r="M1001" s="2892"/>
      <c r="N1001" s="2106"/>
      <c r="O1001" s="2864" t="s">
        <v>1730</v>
      </c>
      <c r="P1001" s="2859"/>
      <c r="Q1001" s="2859"/>
    </row>
    <row r="1002" spans="1:17" ht="15">
      <c r="A1002" s="2106"/>
      <c r="B1002" s="2106" t="s">
        <v>6802</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f>'Part VII-Threshold Criteria'!H152</f>
        <v>0</v>
      </c>
      <c r="I1003" s="2860"/>
      <c r="J1003" s="2860"/>
      <c r="K1003" s="2860"/>
      <c r="L1003" s="2860"/>
      <c r="M1003" s="2860"/>
      <c r="N1003" s="2860"/>
      <c r="O1003" s="2860"/>
      <c r="P1003" s="2860"/>
      <c r="Q1003" s="2860"/>
    </row>
    <row r="1004" spans="1:17" ht="15">
      <c r="A1004" s="2871"/>
      <c r="B1004" s="2106" t="s">
        <v>1805</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3238</v>
      </c>
      <c r="C1005" s="2106"/>
      <c r="D1005" s="2868"/>
      <c r="E1005" s="2868"/>
      <c r="F1005" s="2868"/>
      <c r="G1005" s="2868"/>
      <c r="H1005" s="2107"/>
      <c r="I1005" s="2108"/>
      <c r="J1005" s="2108"/>
      <c r="K1005" s="2108"/>
      <c r="L1005" s="2109"/>
      <c r="M1005" s="2109"/>
      <c r="N1005" s="2109"/>
      <c r="O1005" s="2109"/>
      <c r="P1005" s="2109"/>
      <c r="Q1005" s="2109"/>
    </row>
    <row r="1006" spans="1:17" ht="42.75">
      <c r="A1006" s="2860" t="str">
        <f>'Part VII-Threshold Criteria'!A155</f>
        <v>Not applicable.</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1729</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2079</v>
      </c>
      <c r="B1011" s="2859" t="s">
        <v>2430</v>
      </c>
      <c r="C1011" s="2859"/>
      <c r="D1011" s="2859"/>
      <c r="E1011" s="2859"/>
      <c r="F1011" s="2859"/>
      <c r="G1011" s="2859"/>
      <c r="H1011" s="2867"/>
      <c r="I1011" s="2867"/>
      <c r="J1011" s="2867"/>
      <c r="K1011" s="2867"/>
      <c r="L1011" s="2867"/>
      <c r="M1011" s="2867"/>
      <c r="N1011" s="2106"/>
      <c r="O1011" s="2864" t="s">
        <v>1730</v>
      </c>
      <c r="P1011" s="2859"/>
      <c r="Q1011" s="2859"/>
    </row>
    <row r="1012" spans="1:17" ht="15">
      <c r="A1012" s="2106"/>
      <c r="B1012" s="2868" t="s">
        <v>3238</v>
      </c>
      <c r="C1012" s="2106"/>
      <c r="D1012" s="2868"/>
      <c r="E1012" s="2868"/>
      <c r="F1012" s="2868"/>
      <c r="G1012" s="2868"/>
      <c r="H1012" s="2107"/>
      <c r="I1012" s="2108"/>
      <c r="J1012" s="2108"/>
      <c r="K1012" s="2108"/>
      <c r="L1012" s="2109"/>
      <c r="M1012" s="2109"/>
      <c r="N1012" s="2109"/>
      <c r="O1012" s="2109"/>
      <c r="P1012" s="2109"/>
      <c r="Q1012" s="2109"/>
    </row>
    <row r="1013" spans="1:17" ht="142.5">
      <c r="A1013" s="2860" t="str">
        <f>'Part VII-Threshold Criteria'!A162</f>
        <v xml:space="preserve">The CSDP submitted meets all of the requirements of the 2023 QAP.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1729</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3368</v>
      </c>
      <c r="B1018" s="2863" t="s">
        <v>2431</v>
      </c>
      <c r="C1018" s="2863"/>
      <c r="D1018" s="2867"/>
      <c r="E1018" s="2867"/>
      <c r="F1018" s="2867"/>
      <c r="G1018" s="2867"/>
      <c r="H1018" s="2867"/>
      <c r="I1018" s="2867"/>
      <c r="J1018" s="2867"/>
      <c r="K1018" s="2867"/>
      <c r="L1018" s="2867"/>
      <c r="M1018" s="2867"/>
      <c r="N1018" s="2106"/>
      <c r="O1018" s="2864" t="s">
        <v>1730</v>
      </c>
      <c r="P1018" s="2859"/>
      <c r="Q1018" s="2859"/>
    </row>
    <row r="1019" spans="1:17" ht="15">
      <c r="A1019" s="2871" t="s">
        <v>1840</v>
      </c>
      <c r="B1019" s="2859" t="s">
        <v>6196</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7002</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1842</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6195</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6197</v>
      </c>
      <c r="C1023" s="2860"/>
      <c r="D1023" s="2860"/>
      <c r="E1023" s="2860"/>
      <c r="F1023" s="2860"/>
      <c r="G1023" s="2860"/>
      <c r="H1023" s="2860"/>
      <c r="I1023" s="2860"/>
      <c r="J1023" s="2860"/>
      <c r="K1023" s="2860"/>
      <c r="L1023" s="2860"/>
      <c r="M1023" s="2860"/>
      <c r="N1023" s="2610" t="s">
        <v>6198</v>
      </c>
      <c r="O1023" s="2873" t="s">
        <v>698</v>
      </c>
      <c r="P1023" s="2859" t="str">
        <f>'Part VII-Threshold Criteria'!P172</f>
        <v>Agree</v>
      </c>
      <c r="Q1023" s="2859"/>
    </row>
    <row r="1024" spans="1:17" ht="15">
      <c r="A1024" s="2106"/>
      <c r="B1024" s="2868" t="s">
        <v>3238</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draft scoring sheet showing the minimum and expected score of our project has been submitted in excel and pdf as required.  The DCA Sustainability Training was completed on 4/24/2023 at 3:03 pm by D'Anne Hilsmier.  The training was a video and no certificate was provided.</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1729</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3369</v>
      </c>
      <c r="B1030" s="2863" t="s">
        <v>2432</v>
      </c>
      <c r="C1030" s="2894"/>
      <c r="D1030" s="2894"/>
      <c r="E1030" s="2867"/>
      <c r="F1030" s="2867"/>
      <c r="G1030" s="2867"/>
      <c r="H1030" s="2867"/>
      <c r="I1030" s="2867"/>
      <c r="J1030" s="2867"/>
      <c r="K1030" s="2867"/>
      <c r="L1030" s="2867"/>
      <c r="M1030" s="2867"/>
      <c r="N1030" s="2106"/>
      <c r="O1030" s="2864" t="s">
        <v>1730</v>
      </c>
      <c r="P1030" s="2859"/>
      <c r="Q1030" s="2859"/>
    </row>
    <row r="1031" spans="1:17" ht="15">
      <c r="A1031" s="2106"/>
      <c r="B1031" s="2106" t="s">
        <v>6802</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7003</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6805</v>
      </c>
      <c r="M1033" s="2895"/>
      <c r="N1033" s="2108"/>
      <c r="O1033" s="2106"/>
      <c r="P1033" s="2109"/>
      <c r="Q1033" s="2109"/>
    </row>
    <row r="1034" spans="1:17" ht="15">
      <c r="A1034" s="2871" t="s">
        <v>1842</v>
      </c>
      <c r="B1034" s="2863" t="s">
        <v>3291</v>
      </c>
      <c r="C1034" s="2106"/>
      <c r="D1034" s="2896"/>
      <c r="E1034" s="2896"/>
      <c r="F1034" s="2896"/>
      <c r="G1034" s="2896"/>
      <c r="H1034" s="2896"/>
      <c r="I1034" s="2896"/>
      <c r="J1034" s="2896"/>
      <c r="K1034" s="2896"/>
      <c r="L1034" s="2106" t="s">
        <v>6806</v>
      </c>
      <c r="M1034" s="2108" t="s">
        <v>6807</v>
      </c>
      <c r="N1034" s="2896"/>
      <c r="O1034" s="2873"/>
      <c r="P1034" s="2873"/>
      <c r="Q1034" s="2873"/>
    </row>
    <row r="1035" spans="1:17" ht="15">
      <c r="A1035" s="2871"/>
      <c r="B1035" s="2106" t="s">
        <v>6808</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6809</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6810</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3238</v>
      </c>
      <c r="C1038" s="2106"/>
      <c r="D1038" s="2868"/>
      <c r="E1038" s="2868"/>
      <c r="F1038" s="2868"/>
      <c r="G1038" s="2868"/>
      <c r="H1038" s="2107"/>
      <c r="I1038" s="2108"/>
      <c r="J1038" s="2108"/>
      <c r="K1038" s="2108"/>
      <c r="L1038" s="2109"/>
      <c r="M1038" s="2109"/>
      <c r="N1038" s="2109"/>
      <c r="O1038" s="2109"/>
      <c r="P1038" s="2109"/>
      <c r="Q1038" s="2109"/>
    </row>
    <row r="1039" spans="1:17" ht="242.25">
      <c r="A1039" s="2860" t="str">
        <f>'Part VII-Threshold Criteria'!A188</f>
        <v xml:space="preserve">Applicant agrees to comply with the current year QAP and DCA Architectural Requirements for Accessibility.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1729</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3367</v>
      </c>
      <c r="B1044" s="2859" t="s">
        <v>2433</v>
      </c>
      <c r="C1044" s="2859"/>
      <c r="D1044" s="2859"/>
      <c r="E1044" s="2859"/>
      <c r="F1044" s="2859"/>
      <c r="G1044" s="2859"/>
      <c r="H1044" s="2867"/>
      <c r="I1044" s="2867"/>
      <c r="J1044" s="2867"/>
      <c r="K1044" s="2867"/>
      <c r="L1044" s="2867"/>
      <c r="M1044" s="2867"/>
      <c r="N1044" s="2106"/>
      <c r="O1044" s="2864" t="s">
        <v>1730</v>
      </c>
      <c r="P1044" s="2859"/>
      <c r="Q1044" s="2859"/>
    </row>
    <row r="1045" spans="1:17" ht="15">
      <c r="A1045" s="2106"/>
      <c r="B1045" s="2106" t="s">
        <v>6802</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7004</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1842</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6911</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6912</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6812</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3238</v>
      </c>
      <c r="C1053" s="2106"/>
      <c r="D1053" s="2868"/>
      <c r="E1053" s="2868"/>
      <c r="F1053" s="2868"/>
      <c r="G1053" s="2868"/>
      <c r="H1053" s="2107"/>
      <c r="I1053" s="2108"/>
      <c r="J1053" s="2108"/>
      <c r="K1053" s="2108"/>
      <c r="L1053" s="2109"/>
      <c r="M1053" s="2109"/>
      <c r="N1053" s="2109"/>
      <c r="O1053" s="2109"/>
      <c r="P1053" s="2109"/>
      <c r="Q1053" s="2109"/>
    </row>
    <row r="1054" spans="1:17" ht="356.25">
      <c r="A1054" s="2860" t="str">
        <f>'Part VII-Threshold Criteria'!A203</f>
        <v xml:space="preserve">Applicant agrees to comply with the current year QAP and DCA Architectural Requirement for rehabilitation.  The Standard Design Options are indicated on the CSDP.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1729</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3370</v>
      </c>
      <c r="B1059" s="2863" t="s">
        <v>6531</v>
      </c>
      <c r="C1059" s="2863"/>
      <c r="D1059" s="2867"/>
      <c r="E1059" s="2867"/>
      <c r="F1059" s="2867"/>
      <c r="G1059" s="2867"/>
      <c r="H1059" s="2867"/>
      <c r="I1059" s="2106"/>
      <c r="J1059" s="2106"/>
      <c r="K1059" s="2106"/>
      <c r="L1059" s="2106"/>
      <c r="M1059" s="2106"/>
      <c r="N1059" s="2106"/>
      <c r="O1059" s="2864" t="s">
        <v>1730</v>
      </c>
      <c r="P1059" s="2859"/>
      <c r="Q1059" s="2859"/>
    </row>
    <row r="1060" spans="1:17" ht="15">
      <c r="A1060" s="2871"/>
      <c r="B1060" s="2106" t="s">
        <v>6813</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6814</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6815</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6816</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6817</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6818</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3238</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 xml:space="preserve">The project team received a determination of "Qualified" for Resource Housing Group, Inc. and Landbridge Development, LLC for another project in the 2023 round.  This project and project team was submitted in 2022 and received a "Qualified" determination.  These determination letters have been submitted in addition to the required Performance Workbook.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1729</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3371</v>
      </c>
      <c r="B1072" s="2859" t="s">
        <v>6537</v>
      </c>
      <c r="C1072" s="2859"/>
      <c r="D1072" s="2859"/>
      <c r="E1072" s="2859"/>
      <c r="F1072" s="2859"/>
      <c r="G1072" s="2859"/>
      <c r="H1072" s="2867"/>
      <c r="I1072" s="2867"/>
      <c r="J1072" s="2867"/>
      <c r="K1072" s="2867"/>
      <c r="L1072" s="2867"/>
      <c r="M1072" s="2867"/>
      <c r="N1072" s="2873"/>
      <c r="O1072" s="2864" t="s">
        <v>1730</v>
      </c>
      <c r="P1072" s="2859"/>
      <c r="Q1072" s="2859"/>
    </row>
    <row r="1073" spans="1:17" ht="15" customHeight="1">
      <c r="A1073" s="2863"/>
      <c r="B1073" s="2860" t="s">
        <v>6819</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1840</v>
      </c>
      <c r="B1074" s="2899" t="s">
        <v>7005</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1842</v>
      </c>
      <c r="B1075" s="2862" t="s">
        <v>7006</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7007</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1961</v>
      </c>
      <c r="B1077" s="2862" t="s">
        <v>7008</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3238</v>
      </c>
      <c r="C1078" s="2106"/>
      <c r="D1078" s="2868"/>
      <c r="E1078" s="2868"/>
      <c r="F1078" s="2868"/>
      <c r="G1078" s="2868"/>
      <c r="H1078" s="2107"/>
      <c r="I1078" s="2108"/>
      <c r="J1078" s="2108"/>
      <c r="K1078" s="2108"/>
      <c r="L1078" s="2109"/>
      <c r="M1078" s="2109"/>
      <c r="N1078" s="2109"/>
      <c r="O1078" s="2109"/>
      <c r="P1078" s="2109"/>
      <c r="Q1078" s="2109"/>
    </row>
    <row r="1079" spans="1:17" ht="42.75">
      <c r="A1079" s="2860" t="str">
        <f>'Part VII-Threshold Criteria'!A228</f>
        <v>Not applicable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1729</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3374</v>
      </c>
      <c r="B1084" s="2859" t="s">
        <v>3356</v>
      </c>
      <c r="C1084" s="2859"/>
      <c r="D1084" s="2859"/>
      <c r="E1084" s="2859"/>
      <c r="F1084" s="2859"/>
      <c r="G1084" s="2859"/>
      <c r="H1084" s="2867"/>
      <c r="I1084" s="2867"/>
      <c r="J1084" s="2867"/>
      <c r="K1084" s="2867"/>
      <c r="L1084" s="2867"/>
      <c r="M1084" s="2867"/>
      <c r="N1084" s="2871"/>
      <c r="O1084" s="2864" t="s">
        <v>1730</v>
      </c>
      <c r="P1084" s="2859"/>
      <c r="Q1084" s="2859"/>
    </row>
    <row r="1085" spans="1:17" ht="15">
      <c r="A1085" s="2871"/>
      <c r="B1085" s="2106" t="s">
        <v>3357</v>
      </c>
      <c r="C1085" s="2106"/>
      <c r="D1085" s="2106"/>
      <c r="E1085" s="2106"/>
      <c r="F1085" s="2106"/>
      <c r="G1085" s="2859" t="str">
        <f>'Part VII-Threshold Criteria'!G234</f>
        <v>Resource Housing Group, Inc.</v>
      </c>
      <c r="H1085" s="2859"/>
      <c r="I1085" s="2859"/>
      <c r="J1085" s="2859"/>
      <c r="K1085" s="2859"/>
      <c r="L1085" s="2859"/>
      <c r="M1085" s="2859"/>
      <c r="N1085" s="2859"/>
      <c r="O1085" s="2859"/>
      <c r="P1085" s="2859"/>
      <c r="Q1085" s="2859"/>
    </row>
    <row r="1086" spans="1:17" ht="15">
      <c r="A1086" s="2871"/>
      <c r="B1086" s="2106" t="s">
        <v>3358</v>
      </c>
      <c r="C1086" s="2106"/>
      <c r="D1086" s="2106"/>
      <c r="E1086" s="2106"/>
      <c r="F1086" s="2106"/>
      <c r="G1086" s="2859" t="str">
        <f>'Part VII-Threshold Criteria'!G235</f>
        <v>www.rhgroup.org</v>
      </c>
      <c r="H1086" s="2859"/>
      <c r="I1086" s="2859"/>
      <c r="J1086" s="2859"/>
      <c r="K1086" s="2859"/>
      <c r="L1086" s="2859"/>
      <c r="M1086" s="2859"/>
      <c r="N1086" s="2859"/>
      <c r="O1086" s="2859"/>
      <c r="P1086" s="2859"/>
      <c r="Q1086" s="2859"/>
    </row>
    <row r="1087" spans="1:17" ht="15">
      <c r="A1087" s="2871"/>
      <c r="B1087" s="2106" t="s">
        <v>6824</v>
      </c>
      <c r="C1087" s="2106"/>
      <c r="D1087" s="2860"/>
      <c r="E1087" s="2860"/>
      <c r="F1087" s="2860"/>
      <c r="G1087" s="2859"/>
      <c r="H1087" s="2859"/>
      <c r="I1087" s="2859"/>
      <c r="J1087" s="2859"/>
      <c r="K1087" s="2859"/>
      <c r="L1087" s="2859"/>
      <c r="M1087" s="2859"/>
      <c r="N1087" s="2859"/>
      <c r="O1087" s="2859"/>
      <c r="P1087" s="2106" t="str">
        <f>'Part VII-Threshold Criteria'!P236</f>
        <v>Agree</v>
      </c>
      <c r="Q1087" s="2106"/>
    </row>
    <row r="1088" spans="1:17" ht="15" customHeight="1">
      <c r="A1088" s="2871"/>
      <c r="B1088" s="2883" t="s">
        <v>1962</v>
      </c>
      <c r="C1088" s="2862" t="s">
        <v>6825</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1963</v>
      </c>
      <c r="C1089" s="2862" t="s">
        <v>6826</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6827</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3863</v>
      </c>
      <c r="C1091" s="2862" t="s">
        <v>6828</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6829</v>
      </c>
      <c r="C1092" s="2862" t="s">
        <v>6830</v>
      </c>
      <c r="D1092" s="2862"/>
      <c r="E1092" s="2862"/>
      <c r="F1092" s="2862"/>
      <c r="G1092" s="2862"/>
      <c r="H1092" s="2862"/>
      <c r="I1092" s="2862"/>
      <c r="J1092" s="2862"/>
      <c r="K1092" s="2862"/>
      <c r="L1092" s="2862"/>
      <c r="M1092" s="2862"/>
      <c r="N1092" s="2862"/>
      <c r="O1092" s="2862"/>
      <c r="P1092" s="2862"/>
      <c r="Q1092" s="2862"/>
    </row>
    <row r="1093" spans="1:17" ht="15">
      <c r="A1093" s="2106"/>
      <c r="B1093" s="2873" t="s">
        <v>6831</v>
      </c>
      <c r="C1093" s="2107" t="s">
        <v>7009</v>
      </c>
      <c r="D1093" s="2106"/>
      <c r="E1093" s="2867"/>
      <c r="F1093" s="2867"/>
      <c r="G1093" s="2867"/>
      <c r="H1093" s="2867"/>
      <c r="I1093" s="2867"/>
      <c r="J1093" s="2867"/>
      <c r="K1093" s="2867"/>
      <c r="L1093" s="2867"/>
      <c r="M1093" s="2867"/>
      <c r="N1093" s="2867"/>
      <c r="O1093" s="2106"/>
      <c r="P1093" s="2106"/>
      <c r="Q1093" s="2106"/>
    </row>
    <row r="1094" spans="1:17" ht="15">
      <c r="A1094" s="2106"/>
      <c r="B1094" s="2868" t="s">
        <v>3238</v>
      </c>
      <c r="C1094" s="2106"/>
      <c r="D1094" s="2868"/>
      <c r="E1094" s="2868"/>
      <c r="F1094" s="2868"/>
      <c r="G1094" s="2868"/>
      <c r="H1094" s="2107"/>
      <c r="I1094" s="2108"/>
      <c r="J1094" s="2108"/>
      <c r="K1094" s="2108"/>
      <c r="L1094" s="2109"/>
      <c r="M1094" s="2109"/>
      <c r="N1094" s="2109"/>
      <c r="O1094" s="2109"/>
      <c r="P1094" s="2109"/>
      <c r="Q1094" s="2109"/>
    </row>
    <row r="1095" spans="1:17" ht="285">
      <c r="A1095" s="2860" t="str">
        <f>'Part VII-Threshold Criteria'!A244</f>
        <v xml:space="preserve">Resource Housing Group, Inc. was organized as a 501c3 organization in 1995 and has maintained nonprofit status since it's inception. </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1729</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3375</v>
      </c>
      <c r="B1100" s="2859" t="s">
        <v>2434</v>
      </c>
      <c r="C1100" s="2859"/>
      <c r="D1100" s="2859"/>
      <c r="E1100" s="2867"/>
      <c r="F1100" s="2106"/>
      <c r="G1100" s="2106" t="s">
        <v>655</v>
      </c>
      <c r="H1100" s="2867"/>
      <c r="I1100" s="2867"/>
      <c r="J1100" s="2867"/>
      <c r="K1100" s="2867"/>
      <c r="L1100" s="2867"/>
      <c r="M1100" s="2867"/>
      <c r="N1100" s="2106"/>
      <c r="O1100" s="2864" t="s">
        <v>1730</v>
      </c>
      <c r="P1100" s="2859"/>
      <c r="Q1100" s="2859"/>
    </row>
    <row r="1101" spans="1:17" ht="15">
      <c r="A1101" s="2871"/>
      <c r="B1101" s="2106" t="s">
        <v>2437</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3141</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4029</v>
      </c>
      <c r="C1103" s="2106"/>
      <c r="D1103" s="2860"/>
      <c r="E1103" s="2860"/>
      <c r="F1103" s="2106"/>
      <c r="G1103" s="2106"/>
      <c r="H1103" s="2106"/>
      <c r="I1103" s="2106"/>
      <c r="J1103" s="2106"/>
      <c r="K1103" s="2106"/>
      <c r="L1103" s="2106"/>
      <c r="M1103" s="2106"/>
      <c r="N1103" s="2106"/>
      <c r="O1103" s="2873"/>
      <c r="P1103" s="2859" t="str">
        <f>'Part VII-Threshold Criteria'!P252</f>
        <v>Yes</v>
      </c>
      <c r="Q1103" s="2859"/>
    </row>
    <row r="1104" spans="1:17" ht="15">
      <c r="A1104" s="2871"/>
      <c r="B1104" s="2106" t="s">
        <v>3142</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3238</v>
      </c>
      <c r="C1106" s="2106"/>
      <c r="D1106" s="2868"/>
      <c r="E1106" s="2868"/>
      <c r="F1106" s="2868"/>
      <c r="G1106" s="2868"/>
      <c r="H1106" s="2107"/>
      <c r="I1106" s="2108"/>
      <c r="J1106" s="2108"/>
      <c r="K1106" s="2108"/>
      <c r="L1106" s="2109"/>
      <c r="M1106" s="2109"/>
      <c r="N1106" s="2109"/>
      <c r="O1106" s="2109"/>
      <c r="P1106" s="2109"/>
      <c r="Q1106" s="2109"/>
    </row>
    <row r="1107" spans="1:17" ht="327.75">
      <c r="A1107" s="2860" t="str">
        <f>'Part VII-Threshold Criteria'!A256</f>
        <v>A legal opinion from a third party attorney that specializes in tax law has been included to opine on the nonprofit's current federal tax exempt qualification status.</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1729</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3376</v>
      </c>
      <c r="B1112" s="2859" t="s">
        <v>3937</v>
      </c>
      <c r="C1112" s="2859"/>
      <c r="D1112" s="2859"/>
      <c r="E1112" s="2859"/>
      <c r="F1112" s="2859"/>
      <c r="G1112" s="2859"/>
      <c r="H1112" s="2867"/>
      <c r="I1112" s="2867"/>
      <c r="J1112" s="2867"/>
      <c r="K1112" s="2867"/>
      <c r="L1112" s="2867"/>
      <c r="M1112" s="2867"/>
      <c r="N1112" s="2106"/>
      <c r="O1112" s="2864" t="s">
        <v>1730</v>
      </c>
      <c r="P1112" s="2859"/>
      <c r="Q1112" s="2859"/>
    </row>
    <row r="1113" spans="1:17" ht="14.25">
      <c r="A1113" s="2106"/>
      <c r="B1113" s="2106" t="s">
        <v>6249</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1840</v>
      </c>
      <c r="B1114" s="2859" t="s">
        <v>3936</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4031</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6833</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3238</v>
      </c>
      <c r="C1118" s="2106"/>
      <c r="D1118" s="2868"/>
      <c r="E1118" s="2868"/>
      <c r="F1118" s="2868"/>
      <c r="G1118" s="2868"/>
      <c r="H1118" s="2107"/>
      <c r="I1118" s="2108"/>
      <c r="J1118" s="2108"/>
      <c r="K1118" s="2108"/>
      <c r="L1118" s="2106"/>
      <c r="M1118" s="2106"/>
      <c r="N1118" s="2106"/>
      <c r="O1118" s="2106"/>
      <c r="P1118" s="2106"/>
      <c r="Q1118" s="2106"/>
    </row>
    <row r="1119" spans="1:17" ht="42.75">
      <c r="A1119" s="2860" t="str">
        <f>'Part VII-Threshold Criteria'!A268</f>
        <v>Not applicable.</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1729</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3377</v>
      </c>
      <c r="B1124" s="2859" t="s">
        <v>2507</v>
      </c>
      <c r="C1124" s="2859"/>
      <c r="D1124" s="2859"/>
      <c r="E1124" s="2867"/>
      <c r="F1124" s="2867"/>
      <c r="G1124" s="2867"/>
      <c r="H1124" s="2867"/>
      <c r="I1124" s="2106"/>
      <c r="J1124" s="2106"/>
      <c r="K1124" s="2106"/>
      <c r="L1124" s="2106"/>
      <c r="M1124" s="2106"/>
      <c r="N1124" s="2106"/>
      <c r="O1124" s="2864" t="s">
        <v>1730</v>
      </c>
      <c r="P1124" s="2859"/>
      <c r="Q1124" s="2859"/>
    </row>
    <row r="1125" spans="1:17" ht="15" customHeight="1">
      <c r="A1125" s="2106"/>
      <c r="B1125" s="2860" t="s">
        <v>6834</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1840</v>
      </c>
      <c r="C1126" s="2862" t="s">
        <v>3310</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1842</v>
      </c>
      <c r="C1127" s="2862" t="s">
        <v>6835</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1843</v>
      </c>
      <c r="D1128" s="2862" t="s">
        <v>3865</v>
      </c>
      <c r="E1128" s="2862"/>
      <c r="F1128" s="2862"/>
      <c r="G1128" s="2862"/>
      <c r="H1128" s="2862"/>
      <c r="I1128" s="2862"/>
      <c r="J1128" s="2862"/>
      <c r="K1128" s="2862"/>
      <c r="L1128" s="2862"/>
      <c r="M1128" s="2862"/>
      <c r="N1128" s="2862"/>
      <c r="O1128" s="2862"/>
      <c r="P1128" s="2873"/>
      <c r="Q1128" s="2109"/>
    </row>
    <row r="1129" spans="1:17" ht="15">
      <c r="A1129" s="2106"/>
      <c r="B1129" s="2106"/>
      <c r="C1129" s="2900" t="s">
        <v>1845</v>
      </c>
      <c r="D1129" s="2881" t="s">
        <v>3866</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3867</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3868</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3311</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1961</v>
      </c>
      <c r="C1133" s="2862" t="s">
        <v>3916</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3917</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6836</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3238</v>
      </c>
      <c r="C1136" s="2106"/>
      <c r="D1136" s="2868"/>
      <c r="E1136" s="2868"/>
      <c r="F1136" s="2868"/>
      <c r="G1136" s="2868"/>
      <c r="H1136" s="2107"/>
      <c r="I1136" s="2108"/>
      <c r="J1136" s="2108"/>
      <c r="K1136" s="2108"/>
      <c r="L1136" s="2109"/>
      <c r="M1136" s="2109"/>
      <c r="N1136" s="2109"/>
      <c r="O1136" s="2109"/>
      <c r="P1136" s="2109"/>
      <c r="Q1136" s="2109"/>
    </row>
    <row r="1137" spans="1:64" ht="156.75">
      <c r="A1137" s="2860" t="str">
        <f>'Part VII-Threshold Criteria'!A286</f>
        <v>Applicant agrees to comply with all AFFH requirements as set forth in the QAP.</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1729</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3378</v>
      </c>
      <c r="B1142" s="2859" t="s">
        <v>2435</v>
      </c>
      <c r="C1142" s="2106"/>
      <c r="D1142" s="2859"/>
      <c r="E1142" s="2867"/>
      <c r="F1142" s="2867"/>
      <c r="G1142" s="2867"/>
      <c r="H1142" s="2867"/>
      <c r="I1142" s="2106"/>
      <c r="J1142" s="2867"/>
      <c r="K1142" s="2867"/>
      <c r="L1142" s="2867"/>
      <c r="M1142" s="2867"/>
      <c r="N1142" s="2106"/>
      <c r="O1142" s="2864" t="s">
        <v>1730</v>
      </c>
      <c r="P1142" s="2859"/>
      <c r="Q1142" s="2859"/>
    </row>
    <row r="1143" spans="1:64" ht="15">
      <c r="A1143" s="2863"/>
      <c r="B1143" s="2868" t="s">
        <v>3238</v>
      </c>
      <c r="C1143" s="2106"/>
      <c r="D1143" s="2868"/>
      <c r="E1143" s="2868"/>
      <c r="F1143" s="2868"/>
      <c r="G1143" s="2868"/>
      <c r="H1143" s="2107"/>
      <c r="I1143" s="2108"/>
      <c r="J1143" s="2108"/>
      <c r="K1143" s="2108"/>
      <c r="L1143" s="2109"/>
      <c r="M1143" s="2109"/>
      <c r="N1143" s="2109"/>
      <c r="O1143" s="2109"/>
      <c r="P1143" s="2109"/>
      <c r="Q1143" s="2109"/>
    </row>
    <row r="1144" spans="1:64" ht="356.25">
      <c r="A1144" s="2860" t="str">
        <f>'Part VII-Threshold Criteria'!A293</f>
        <v xml:space="preserve">The Applicant has complied with all requirements of the QAP and after much due diligence believes this project is an efficient use of DCA resources.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1729</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Peaks of Douglas,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6840</v>
      </c>
      <c r="B1154" s="2903"/>
      <c r="C1154" s="2903"/>
      <c r="D1154" s="2903"/>
      <c r="E1154" s="2903"/>
      <c r="F1154" s="2903"/>
      <c r="G1154" s="2903"/>
      <c r="H1154" s="2903"/>
      <c r="I1154" s="2903"/>
      <c r="J1154" s="2903"/>
      <c r="K1154" s="2903"/>
      <c r="L1154" s="2903"/>
      <c r="M1154" s="2904"/>
      <c r="N1154" s="2312"/>
      <c r="O1154" s="2500" t="s">
        <v>2049</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2050</v>
      </c>
      <c r="P1155" s="2500" t="s">
        <v>2050</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71</v>
      </c>
      <c r="P1157" s="2908">
        <f>P1555</f>
        <v>22</v>
      </c>
      <c r="Q1157" s="2198" t="s">
        <v>6841</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6133</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6134</v>
      </c>
      <c r="B1161" s="2199"/>
      <c r="C1161" s="2199"/>
      <c r="D1161" s="2199"/>
      <c r="E1161" s="2199"/>
      <c r="F1161" s="2199"/>
      <c r="G1161" s="2910"/>
      <c r="H1161" s="2199"/>
      <c r="I1161" s="2910"/>
      <c r="J1161" s="2910"/>
      <c r="K1161" s="2910"/>
      <c r="L1161" s="2910"/>
      <c r="M1161" s="2911" t="s">
        <v>7010</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3390</v>
      </c>
      <c r="B1163" s="2397" t="s">
        <v>3391</v>
      </c>
      <c r="C1163" s="2199"/>
      <c r="D1163" s="2199"/>
      <c r="E1163" s="2397" t="s">
        <v>3398</v>
      </c>
      <c r="F1163" s="2397" t="s">
        <v>6494</v>
      </c>
      <c r="G1163" s="2397"/>
      <c r="H1163" s="2397"/>
      <c r="I1163" s="2397"/>
      <c r="J1163" s="2397"/>
      <c r="K1163" s="2397"/>
      <c r="L1163" s="2397"/>
      <c r="M1163" s="2397"/>
      <c r="N1163" s="2397"/>
      <c r="O1163" s="2912" t="s">
        <v>3808</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142.5">
      <c r="A1164" s="2913" t="s">
        <v>1668</v>
      </c>
      <c r="B1164" s="2403" t="s">
        <v>3392</v>
      </c>
      <c r="C1164" s="2406"/>
      <c r="D1164" s="2406"/>
      <c r="E1164" s="2914">
        <f>'Part VIII Scoring Criteria'!E13</f>
        <v>20</v>
      </c>
      <c r="F1164" s="2913" t="str">
        <f>'Part VIII Scoring Criteria'!F13</f>
        <v xml:space="preserve">The project location is qualified to received 24.5 desirable points.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285">
      <c r="A1165" s="2913" t="s">
        <v>496</v>
      </c>
      <c r="B1165" s="2403" t="s">
        <v>4036</v>
      </c>
      <c r="C1165" s="2406"/>
      <c r="D1165" s="2406"/>
      <c r="E1165" s="2916">
        <f>'Part VIII Scoring Criteria'!E14</f>
        <v>3</v>
      </c>
      <c r="F1165" s="2913" t="str">
        <f>'Part VIII Scoring Criteria'!F14</f>
        <v>The property pedestrian entrance is located &lt;0.20 miles from a public transportation stop located at the Kohl's Department store.</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299.25">
      <c r="A1166" s="2913" t="s">
        <v>720</v>
      </c>
      <c r="B1166" s="2403" t="s">
        <v>3337</v>
      </c>
      <c r="C1166" s="2406"/>
      <c r="D1166" s="2406"/>
      <c r="E1166" s="2916">
        <f>'Part VIII Scoring Criteria'!E15</f>
        <v>2</v>
      </c>
      <c r="F1166" s="2913" t="str">
        <f>'Part VIII Scoring Criteria'!F15</f>
        <v>The project is located within the boundaries of schools that meet the requirements for full scoring in this section for an HFOP property.</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2.75">
      <c r="A1167" s="2913" t="s">
        <v>280</v>
      </c>
      <c r="B1167" s="2403" t="s">
        <v>3393</v>
      </c>
      <c r="C1167" s="2406"/>
      <c r="D1167" s="2406"/>
      <c r="E1167" s="2916">
        <f>'Part VIII Scoring Criteria'!E16</f>
        <v>0</v>
      </c>
      <c r="F1167" s="2913" t="str">
        <f>'Part VIII Scoring Criteria'!F16</f>
        <v>Not applicable.</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2.75">
      <c r="A1168" s="2913" t="s">
        <v>401</v>
      </c>
      <c r="B1168" s="2403" t="s">
        <v>3394</v>
      </c>
      <c r="C1168" s="2406"/>
      <c r="D1168" s="2406"/>
      <c r="E1168" s="2914" t="str">
        <f>'Part VIII Scoring Criteria'!E17</f>
        <v>n/a</v>
      </c>
      <c r="F1168" s="2913" t="str">
        <f>'Part VIII Scoring Criteria'!F17</f>
        <v>Not applicable.</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4037</v>
      </c>
      <c r="C1169" s="2406"/>
      <c r="D1169" s="2406"/>
      <c r="E1169" s="2914">
        <f>'Part VIII Scoring Criteria'!E18</f>
        <v>8</v>
      </c>
      <c r="F1169" s="2913" t="str">
        <f>'Part VIII Scoring Criteria'!F18</f>
        <v xml:space="preserve">We used the data from the 2020 Statistic Set.  The project continues to meet these requirements for 2021 in the area of health insurance and income.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42.75">
      <c r="A1170" s="2913" t="s">
        <v>4039</v>
      </c>
      <c r="B1170" s="2403" t="s">
        <v>3260</v>
      </c>
      <c r="C1170" s="2406"/>
      <c r="D1170" s="2406"/>
      <c r="E1170" s="2914">
        <f>'Part VIII Scoring Criteria'!E19</f>
        <v>0</v>
      </c>
      <c r="F1170" s="2913" t="str">
        <f>'Part VIII Scoring Criteria'!F19</f>
        <v>Not applicable.</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2.75">
      <c r="A1171" s="2913" t="s">
        <v>4051</v>
      </c>
      <c r="B1171" s="2403" t="s">
        <v>4040</v>
      </c>
      <c r="C1171" s="2406"/>
      <c r="D1171" s="2406"/>
      <c r="E1171" s="2914">
        <f>'Part VIII Scoring Criteria'!E20</f>
        <v>0</v>
      </c>
      <c r="F1171" s="2913" t="str">
        <f>'Part VIII Scoring Criteria'!F20</f>
        <v>Not applicable.</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228">
      <c r="A1172" s="2913" t="s">
        <v>6241</v>
      </c>
      <c r="B1172" s="2403" t="s">
        <v>4041</v>
      </c>
      <c r="C1172" s="2406"/>
      <c r="D1172" s="2406"/>
      <c r="E1172" s="2914">
        <f>'Part VIII Scoring Criteria'!E21</f>
        <v>5</v>
      </c>
      <c r="F1172" s="2913" t="str">
        <f>'Part VIII Scoring Criteria'!F21</f>
        <v>No LIHTC projects have been built in Douglas County withing the last 15 DCA Housing Credit Competitive Rounds.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28.25">
      <c r="A1173" s="2913" t="s">
        <v>6635</v>
      </c>
      <c r="B1173" s="2403" t="s">
        <v>6547</v>
      </c>
      <c r="C1173" s="2406"/>
      <c r="D1173" s="2406"/>
      <c r="E1173" s="2914">
        <f>'Part VIII Scoring Criteria'!E22</f>
        <v>0</v>
      </c>
      <c r="F1173" s="2913" t="str">
        <f>'Part VIII Scoring Criteria'!F22</f>
        <v>This scoring item is only available to Atlanta Metro Projects.</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384.75">
      <c r="A1174" s="2913" t="s">
        <v>6637</v>
      </c>
      <c r="B1174" s="2403" t="s">
        <v>6636</v>
      </c>
      <c r="C1174" s="2406"/>
      <c r="D1174" s="2406"/>
      <c r="E1174" s="2914">
        <f>'Part VIII Scoring Criteria'!E23</f>
        <v>2</v>
      </c>
      <c r="F1174" s="2913" t="str">
        <f>'Part VIII Scoring Criteria'!F23</f>
        <v>Upon award the applicant will engage with a QB for the purposes of meeting the requirements of the current year QAP for XVIIA Engagement Commitment and Reporting.</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3367</v>
      </c>
      <c r="B1175" s="2403" t="s">
        <v>6553</v>
      </c>
      <c r="C1175" s="2406"/>
      <c r="D1175" s="2406"/>
      <c r="E1175" s="2914">
        <f>'Part VIII Scoring Criteria'!E24</f>
        <v>2</v>
      </c>
      <c r="F1175" s="2913" t="str">
        <f>'Part VIII Scoring Criteria'!F24</f>
        <v>The applicant commits to accept resident services coordination from an entity certified as a 3rd Party Resident Services Coordination Contractor" by CORES or other DCA-approved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2.75">
      <c r="A1176" s="2913" t="s">
        <v>3371</v>
      </c>
      <c r="B1176" s="2403" t="s">
        <v>3395</v>
      </c>
      <c r="C1176" s="2406"/>
      <c r="D1176" s="2406"/>
      <c r="E1176" s="2914">
        <f>'Part VIII Scoring Criteria'!E25</f>
        <v>0</v>
      </c>
      <c r="F1176" s="2913" t="str">
        <f>'Part VIII Scoring Criteria'!F25</f>
        <v>Not applicable.</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2.75">
      <c r="A1177" s="2913" t="s">
        <v>3374</v>
      </c>
      <c r="B1177" s="2403" t="s">
        <v>3396</v>
      </c>
      <c r="C1177" s="2406"/>
      <c r="D1177" s="2406"/>
      <c r="E1177" s="2914">
        <f>'Part VIII Scoring Criteria'!E26</f>
        <v>0</v>
      </c>
      <c r="F1177" s="2913" t="str">
        <f>'Part VIII Scoring Criteria'!F26</f>
        <v>Not applicable.</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2.75">
      <c r="A1178" s="2913" t="s">
        <v>3375</v>
      </c>
      <c r="B1178" s="2403" t="s">
        <v>3397</v>
      </c>
      <c r="C1178" s="2406"/>
      <c r="D1178" s="2406"/>
      <c r="E1178" s="2914">
        <f>'Part VIII Scoring Criteria'!E27</f>
        <v>0</v>
      </c>
      <c r="F1178" s="2913" t="str">
        <f>'Part VIII Scoring Criteria'!F27</f>
        <v>Not applicable.</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3377</v>
      </c>
      <c r="B1179" s="2403" t="s">
        <v>6634</v>
      </c>
      <c r="C1179" s="2406"/>
      <c r="D1179" s="2406"/>
      <c r="E1179" s="2914">
        <f>'Part VIII Scoring Criteria'!E28</f>
        <v>2</v>
      </c>
      <c r="F1179" s="2913" t="str">
        <f>'Part VIII Scoring Criteria'!F28</f>
        <v>The applicant has accepted Section 811 contracts with DCA previously.</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3378</v>
      </c>
      <c r="B1180" s="2403" t="s">
        <v>6130</v>
      </c>
      <c r="C1180" s="2406"/>
      <c r="D1180" s="2406"/>
      <c r="E1180" s="2914">
        <f>'Part VIII Scoring Criteria'!E29</f>
        <v>0</v>
      </c>
      <c r="F1180" s="2913" t="str">
        <f>'Part VIII Scoring Criteria'!F29</f>
        <v>No applicable.</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2.75">
      <c r="A1181" s="2913" t="s">
        <v>3801</v>
      </c>
      <c r="B1181" s="2403" t="s">
        <v>6551</v>
      </c>
      <c r="C1181" s="2406"/>
      <c r="D1181" s="2406"/>
      <c r="E1181" s="2914">
        <f>'Part VIII Scoring Criteria'!E30</f>
        <v>0</v>
      </c>
      <c r="F1181" s="2913" t="str">
        <f>'Part VIII Scoring Criteria'!F30</f>
        <v>Not applicable.</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6554</v>
      </c>
      <c r="B1182" s="2403" t="s">
        <v>6552</v>
      </c>
      <c r="C1182" s="2406"/>
      <c r="D1182" s="2406"/>
      <c r="E1182" s="2914">
        <f>'Part VIII Scoring Criteria'!E31</f>
        <v>0</v>
      </c>
      <c r="F1182" s="2913" t="str">
        <f>'Part VIII Scoring Criteria'!F31</f>
        <v>Not applicable.</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6916</v>
      </c>
      <c r="B1183" s="2403" t="s">
        <v>6932</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6944</v>
      </c>
      <c r="B1185" s="3917"/>
      <c r="C1185" s="3917"/>
      <c r="D1185" s="3917"/>
      <c r="E1185" s="2397"/>
      <c r="F1185" s="2463" t="s">
        <v>6880</v>
      </c>
      <c r="G1185" s="2463"/>
      <c r="H1185" s="2463"/>
      <c r="I1185" s="2463"/>
      <c r="J1185" s="2198" t="s">
        <v>6138</v>
      </c>
      <c r="K1185" s="2198"/>
      <c r="L1185" s="2198"/>
      <c r="M1185" s="2198"/>
      <c r="N1185" s="2342"/>
      <c r="O1185" s="2199" t="s">
        <v>6881</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6906</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1840</v>
      </c>
      <c r="B1193" s="2198" t="s">
        <v>3803</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1843</v>
      </c>
      <c r="C1194" s="2199" t="s">
        <v>3806</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1845</v>
      </c>
      <c r="C1195" s="2199" t="s">
        <v>6872</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2331</v>
      </c>
      <c r="C1196" s="2199" t="s">
        <v>3805</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7011</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1842</v>
      </c>
      <c r="B1199" s="2198" t="s">
        <v>679</v>
      </c>
      <c r="C1199" s="2199"/>
      <c r="D1199" s="2199"/>
      <c r="E1199" s="2199"/>
      <c r="F1199" s="2312"/>
      <c r="G1199" s="2199"/>
      <c r="H1199" s="2199"/>
      <c r="I1199" s="2199"/>
      <c r="J1199" s="2910"/>
      <c r="K1199" s="2199"/>
      <c r="L1199" s="2199"/>
      <c r="M1199" s="2312"/>
      <c r="N1199" s="2468" t="s">
        <v>1842</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7012</v>
      </c>
      <c r="B1201" s="2463"/>
      <c r="C1201" s="2463"/>
      <c r="D1201" s="2463"/>
      <c r="E1201" s="2463"/>
      <c r="F1201" s="2312" t="s">
        <v>3177</v>
      </c>
      <c r="G1201" s="2463" t="s">
        <v>7013</v>
      </c>
      <c r="H1201" s="2463"/>
      <c r="I1201" s="2463"/>
      <c r="J1201" s="2312" t="s">
        <v>3177</v>
      </c>
      <c r="K1201" s="2923" t="s">
        <v>7014</v>
      </c>
      <c r="L1201" s="2923"/>
      <c r="M1201" s="2923"/>
      <c r="N1201" s="2923"/>
      <c r="O1201" s="2199" t="s">
        <v>3177</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3147</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3816</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1840</v>
      </c>
      <c r="B1219" s="2929" t="s">
        <v>6876</v>
      </c>
      <c r="C1219" s="2438"/>
      <c r="D1219" s="2438"/>
      <c r="E1219" s="2438"/>
      <c r="F1219" s="2438"/>
      <c r="G1219" s="2397" t="s">
        <v>6644</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3811</v>
      </c>
      <c r="D1220" s="2199"/>
      <c r="E1220" s="2199"/>
      <c r="F1220" s="2199"/>
      <c r="G1220" s="2199" t="s">
        <v>3812</v>
      </c>
      <c r="H1220" s="2199"/>
      <c r="I1220" s="2199"/>
      <c r="J1220" s="2932">
        <f>'Part V-Revenues &amp; Expenses'!$B$50</f>
        <v>57.678571428571431</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3813</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1842</v>
      </c>
      <c r="B1223" s="2929" t="s">
        <v>6879</v>
      </c>
      <c r="C1223" s="2397"/>
      <c r="D1223" s="2397"/>
      <c r="E1223" s="2397"/>
      <c r="F1223" s="2397"/>
      <c r="G1223" s="2398" t="s">
        <v>6844</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1729</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3366</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1840</v>
      </c>
      <c r="B1229" s="2198" t="s">
        <v>1736</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1842</v>
      </c>
      <c r="B1230" s="2198" t="s">
        <v>3278</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3239</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142.5">
      <c r="A1232" s="2406" t="str">
        <f>'Part VIII Scoring Criteria'!A81</f>
        <v xml:space="preserve">The project location is qualified to received 24.5 desirable points.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1729</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6262</v>
      </c>
      <c r="T1237" s="2939" t="s">
        <v>6143</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3325</v>
      </c>
      <c r="C1239" s="2397"/>
      <c r="D1239" s="2397"/>
      <c r="E1239" s="2397"/>
      <c r="F1239" s="2199" t="s">
        <v>3214</v>
      </c>
      <c r="G1239" s="2199"/>
      <c r="H1239" s="2199"/>
      <c r="I1239" s="2199"/>
      <c r="J1239" s="2199" t="s">
        <v>3215</v>
      </c>
      <c r="K1239" s="2199"/>
      <c r="L1239" s="2199"/>
      <c r="M1239" s="2199"/>
      <c r="N1239" s="2468"/>
      <c r="O1239" s="2941" t="s">
        <v>6845</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6846</v>
      </c>
      <c r="D1240" s="2397"/>
      <c r="E1240" s="2397"/>
      <c r="F1240" s="2199">
        <f>'Part VIII Scoring Criteria'!F89</f>
        <v>33.720714000000001</v>
      </c>
      <c r="G1240" s="2199"/>
      <c r="H1240" s="2199"/>
      <c r="I1240" s="2199"/>
      <c r="J1240" s="2199">
        <f>'Part VIII Scoring Criteria'!J89</f>
        <v>-84.736560999999995</v>
      </c>
      <c r="K1240" s="2199"/>
      <c r="L1240" s="2199"/>
      <c r="M1240" s="2199"/>
      <c r="N1240" s="2397"/>
      <c r="O1240" s="2941"/>
      <c r="P1240" s="2941"/>
      <c r="Q1240" s="2397"/>
      <c r="R1240" s="2943" t="s">
        <v>6669</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6847</v>
      </c>
      <c r="D1241" s="2397"/>
      <c r="E1241" s="2397"/>
      <c r="F1241" s="2199">
        <f>'Part VIII Scoring Criteria'!F90</f>
        <v>33.722659</v>
      </c>
      <c r="G1241" s="2199"/>
      <c r="H1241" s="2199"/>
      <c r="I1241" s="2199"/>
      <c r="J1241" s="2199">
        <f>'Part VIII Scoring Criteria'!J90</f>
        <v>-84.734720999999993</v>
      </c>
      <c r="K1241" s="2199"/>
      <c r="L1241" s="2199"/>
      <c r="M1241" s="2199"/>
      <c r="N1241" s="2468"/>
      <c r="O1241" s="2944">
        <f>'Part VIII Scoring Criteria'!O90</f>
        <v>0.2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6885</v>
      </c>
      <c r="C1242" s="2397"/>
      <c r="D1242" s="2397"/>
      <c r="E1242" s="2397"/>
      <c r="F1242" s="2342" t="s">
        <v>6848</v>
      </c>
      <c r="G1242" s="2199" t="s">
        <v>1672</v>
      </c>
      <c r="H1242" s="2199"/>
      <c r="I1242" s="2199"/>
      <c r="J1242" s="2199" t="s">
        <v>6882</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Connect Douglas</v>
      </c>
      <c r="C1243" s="2199"/>
      <c r="D1243" s="2199"/>
      <c r="E1243" s="2199"/>
      <c r="F1243" s="2947" t="str">
        <f>'Part VIII Scoring Criteria'!F92</f>
        <v>770-949-7665</v>
      </c>
      <c r="G1243" s="2199" t="str">
        <f>'Part VIII Scoring Criteria'!G92</f>
        <v>connectdouglas@co.douglas.ga.us</v>
      </c>
      <c r="H1243" s="2199"/>
      <c r="I1243" s="2199"/>
      <c r="J1243" s="2199" t="str">
        <f>'Part VIII Scoring Criteria'!J92</f>
        <v>www.celebratedouglascounty.com/234/Douglas-County-Fixed-Route-Bus-Service</v>
      </c>
      <c r="K1243" s="2199"/>
      <c r="L1243" s="2199"/>
      <c r="M1243" s="2199"/>
      <c r="N1243" s="2199"/>
      <c r="O1243" s="2199"/>
      <c r="P1243" s="2199"/>
      <c r="Q1243" s="2397"/>
      <c r="R1243" s="2943" t="s">
        <v>6670</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1840</v>
      </c>
      <c r="B1245" s="2198" t="s">
        <v>3236</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1843</v>
      </c>
      <c r="C1246" s="2406" t="s">
        <v>7015</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1845</v>
      </c>
      <c r="C1247" s="2199" t="s">
        <v>7016</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1842</v>
      </c>
      <c r="B1248" s="2953" t="s">
        <v>3237</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1843</v>
      </c>
      <c r="C1249" s="2199" t="s">
        <v>7017</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1845</v>
      </c>
      <c r="C1250" s="2199" t="s">
        <v>7018</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7019</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3239</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285">
      <c r="A1253" s="2406" t="str">
        <f>'Part VIII Scoring Criteria'!A102</f>
        <v>The property pedestrian entrance is located &lt;0.20 miles from a public transportation stop located at the Kohl's Department store.</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1729</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6147</v>
      </c>
      <c r="C1257" s="2913"/>
      <c r="D1257" s="2913"/>
      <c r="E1257" s="2913"/>
      <c r="F1257" s="2397"/>
      <c r="G1257" s="2500"/>
      <c r="H1257" s="2929"/>
      <c r="I1257" s="2397"/>
      <c r="J1257" s="2397"/>
      <c r="K1257" s="2397"/>
      <c r="L1257" s="2397"/>
      <c r="M1257" s="2500">
        <v>3</v>
      </c>
      <c r="N1257" s="2937"/>
      <c r="O1257" s="2396">
        <f>'Part VIII Scoring Criteria'!O106</f>
        <v>2</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7020</v>
      </c>
      <c r="G1258" s="2962"/>
      <c r="H1258" s="2962" t="s">
        <v>7021</v>
      </c>
      <c r="I1258" s="2962"/>
      <c r="J1258" s="2962" t="s">
        <v>6887</v>
      </c>
      <c r="K1258" s="2963"/>
      <c r="L1258" s="2962" t="s">
        <v>6888</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6628</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71.25">
      <c r="A1261" s="2397"/>
      <c r="B1261" s="2438" t="str">
        <f>'Part VIII Scoring Criteria'!B110</f>
        <v>Arbor Station Elementary School</v>
      </c>
      <c r="C1261" s="2438"/>
      <c r="D1261" s="2438"/>
      <c r="E1261" s="2438"/>
      <c r="F1261" s="2438">
        <f>'Part VIII Scoring Criteria'!F110</f>
        <v>0</v>
      </c>
      <c r="G1261" s="2438"/>
      <c r="H1261" s="2438" t="str">
        <f>'Part VIII Scoring Criteria'!H110</f>
        <v>Yes</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7">
      <c r="A1262" s="2397"/>
      <c r="B1262" s="2438" t="str">
        <f>'Part VIII Scoring Criteria'!B111</f>
        <v>Chapel Hill Middle School</v>
      </c>
      <c r="C1262" s="2438"/>
      <c r="D1262" s="2438"/>
      <c r="E1262" s="2438"/>
      <c r="F1262" s="2438" t="str">
        <f>'Part VIII Scoring Criteria'!F111</f>
        <v>Yes</v>
      </c>
      <c r="G1262" s="2438"/>
      <c r="H1262" s="2438" t="str">
        <f>'Part VIII Scoring Criteria'!H111</f>
        <v>Yes</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Chapel Hill High School</v>
      </c>
      <c r="C1263" s="2438"/>
      <c r="D1263" s="2438"/>
      <c r="E1263" s="2438"/>
      <c r="F1263" s="2438" t="str">
        <f>'Part VIII Scoring Criteria'!F112</f>
        <v>Yes</v>
      </c>
      <c r="G1263" s="2438"/>
      <c r="H1263" s="2438">
        <f>'Part VIII Scoring Criteria'!H112</f>
        <v>0</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3239</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299.25">
      <c r="A1268" s="2406" t="str">
        <f>'Part VIII Scoring Criteria'!A117</f>
        <v>The project is located within the boundaries of schools that meet the requirements for full scoring in this section for an HFOP property.</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1729</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3338</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1840</v>
      </c>
      <c r="B1274" s="2198" t="s">
        <v>6175</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7022</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6886</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6852</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6853</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6854</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6891</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1843</v>
      </c>
      <c r="C1281" s="2929" t="s">
        <v>6890</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1845</v>
      </c>
      <c r="C1282" s="2929" t="s">
        <v>6250</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7023</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7024</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7025</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1842</v>
      </c>
      <c r="B1286" s="2198" t="s">
        <v>3820</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3239</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2.75">
      <c r="A1288" s="2406" t="str">
        <f>'Part VIII Scoring Criteria'!A137</f>
        <v>Not applicable.</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1729</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3339</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6251</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3672</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N/a</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6898</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3239</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2.75">
      <c r="A1298" s="2406" t="str">
        <f>'Part VIII Scoring Criteria'!A147</f>
        <v>Not applicable.</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1729</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8</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1840</v>
      </c>
      <c r="B1304" s="2198" t="s">
        <v>3821</v>
      </c>
      <c r="C1304" s="2199"/>
      <c r="D1304" s="2465"/>
      <c r="E1304" s="2465"/>
      <c r="F1304" s="2199"/>
      <c r="G1304" s="2199"/>
      <c r="H1304" s="2199"/>
      <c r="I1304" s="2199"/>
      <c r="J1304" s="2199"/>
      <c r="K1304" s="2972"/>
      <c r="L1304" s="2199"/>
      <c r="M1304" s="2312">
        <v>5</v>
      </c>
      <c r="N1304" s="2468"/>
      <c r="O1304" s="2396">
        <f>'Part VIII Scoring Criteria'!O153</f>
        <v>4</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6253</v>
      </c>
      <c r="D1305" s="2199"/>
      <c r="E1305" s="2465"/>
      <c r="F1305" s="2465"/>
      <c r="G1305" s="2199"/>
      <c r="H1305" s="2199"/>
      <c r="I1305" s="2199"/>
      <c r="J1305" s="2973" t="str">
        <f>'Part VIII Scoring Criteria'!J154</f>
        <v>Site Census Tract</v>
      </c>
      <c r="K1305" s="2973"/>
      <c r="L1305" s="2973" t="s">
        <v>3203</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6892</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1842</v>
      </c>
      <c r="B1308" s="2931" t="s">
        <v>6212</v>
      </c>
      <c r="C1308" s="2199"/>
      <c r="D1308" s="2199"/>
      <c r="E1308" s="2199"/>
      <c r="F1308" s="2199"/>
      <c r="G1308" s="2199"/>
      <c r="H1308" s="2199"/>
      <c r="I1308" s="2199"/>
      <c r="J1308" s="2199"/>
      <c r="K1308" s="2468"/>
      <c r="L1308" s="2468"/>
      <c r="M1308" s="2312">
        <v>5</v>
      </c>
      <c r="N1308" s="2468"/>
      <c r="O1308" s="2396">
        <f>'Part VIII Scoring Criteria'!O157</f>
        <v>4</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6218</v>
      </c>
      <c r="D1309" s="2397"/>
      <c r="E1309" s="2977" t="s">
        <v>6217</v>
      </c>
      <c r="F1309" s="2977"/>
      <c r="G1309" s="2977"/>
      <c r="H1309" s="2977"/>
      <c r="I1309" s="2342" t="s">
        <v>6893</v>
      </c>
      <c r="J1309" s="2977" t="s">
        <v>6217</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6216</v>
      </c>
      <c r="D1310" s="2397"/>
      <c r="E1310" s="2978" t="str">
        <f>'Part VIII Scoring Criteria'!E159</f>
        <v>Above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6213</v>
      </c>
      <c r="D1311" s="2397"/>
      <c r="E1311" s="2978" t="str">
        <f>'Part VIII Scoring Criteria'!E160</f>
        <v>Above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6214</v>
      </c>
      <c r="D1312" s="2397"/>
      <c r="E1312" s="2978" t="str">
        <f>'Part VIII Scoring Criteria'!E161</f>
        <v>At or Above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3239</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313.5">
      <c r="A1316" s="2406" t="str">
        <f>'Part VIII Scoring Criteria'!A165</f>
        <v xml:space="preserve">We used the data from the 2020 Statistic Set.  The project continues to meet these requirements for 2021 in the area of health insurance and income.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1729</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4033</v>
      </c>
      <c r="C1322" s="2397"/>
      <c r="D1322" s="2397"/>
      <c r="E1322" s="2397"/>
      <c r="F1322" s="2397"/>
      <c r="G1322" s="2312" t="s">
        <v>3151</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1840</v>
      </c>
      <c r="B1323" s="2405" t="s">
        <v>3956</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1842</v>
      </c>
      <c r="B1324" s="2405" t="s">
        <v>3811</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1729</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3340</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1840</v>
      </c>
      <c r="B1332" s="2984" t="s">
        <v>3261</v>
      </c>
      <c r="C1332" s="2397"/>
      <c r="D1332" s="2404"/>
      <c r="E1332" s="2404"/>
      <c r="F1332" s="2404"/>
      <c r="G1332" s="2404"/>
      <c r="H1332" s="2404"/>
      <c r="I1332" s="2397"/>
      <c r="J1332" s="2397"/>
      <c r="K1332" s="2397"/>
      <c r="L1332" s="2404"/>
      <c r="M1332" s="2463" t="str">
        <f>IF(AND(O1332="Yes",O1333="Yes"),"Only one category can be selected!","")</f>
        <v/>
      </c>
      <c r="N1332" s="2468"/>
      <c r="O1332" s="2500" t="str">
        <f>'Part VIII Scoring Criteria'!O181</f>
        <v>N/a</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1842</v>
      </c>
      <c r="B1333" s="2984" t="s">
        <v>3262</v>
      </c>
      <c r="C1333" s="2397"/>
      <c r="D1333" s="2404"/>
      <c r="E1333" s="2397"/>
      <c r="F1333" s="2397"/>
      <c r="G1333" s="2397"/>
      <c r="H1333" s="2397"/>
      <c r="I1333" s="2397"/>
      <c r="J1333" s="2397"/>
      <c r="K1333" s="2397"/>
      <c r="L1333" s="2404"/>
      <c r="M1333" s="2463"/>
      <c r="N1333" s="2468"/>
      <c r="O1333" s="2500" t="str">
        <f>'Part VIII Scoring Criteria'!O182</f>
        <v>N/a</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3239</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42.75">
      <c r="A1335" s="2406" t="str">
        <f>'Part VIII Scoring Criteria'!A184</f>
        <v>Not applicable.</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1729</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4035</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6255</v>
      </c>
      <c r="C1341" s="2403"/>
      <c r="D1341" s="2403"/>
      <c r="E1341" s="2403"/>
      <c r="F1341" s="2403"/>
      <c r="G1341" s="2342" t="s">
        <v>6857</v>
      </c>
      <c r="H1341" s="2397" t="s">
        <v>574</v>
      </c>
      <c r="I1341" s="2397"/>
      <c r="J1341" s="2397"/>
      <c r="K1341" s="2466" t="s">
        <v>6929</v>
      </c>
      <c r="L1341" s="2466"/>
      <c r="M1341" s="2466"/>
      <c r="N1341" s="2935"/>
      <c r="O1341" s="2500" t="str">
        <f>'Part VIII Scoring Criteria'!O190</f>
        <v>N/a</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6256</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6257</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3239</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2.75">
      <c r="A1346" s="2406" t="str">
        <f>'Part VIII Scoring Criteria'!A195</f>
        <v>Not applicable.</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1729</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2494</v>
      </c>
      <c r="B1351" s="2465" t="s">
        <v>3959</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5</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1840</v>
      </c>
      <c r="B1352" s="2198" t="s">
        <v>7026</v>
      </c>
      <c r="C1352" s="2199"/>
      <c r="D1352" s="2199"/>
      <c r="E1352" s="2199"/>
      <c r="F1352" s="2199"/>
      <c r="G1352" s="2199"/>
      <c r="H1352" s="2199"/>
      <c r="I1352" s="2199"/>
      <c r="J1352" s="2199"/>
      <c r="K1352" s="2199"/>
      <c r="L1352" s="2199"/>
      <c r="M1352" s="2312">
        <v>5</v>
      </c>
      <c r="N1352" s="2468"/>
      <c r="O1352" s="2396">
        <f>'Part VIII Scoring Criteria'!O201</f>
        <v>5</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1842</v>
      </c>
      <c r="B1353" s="2198" t="s">
        <v>6265</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6266</v>
      </c>
      <c r="C1354" s="2397"/>
      <c r="D1354" s="2397"/>
      <c r="E1354" s="2400" t="s">
        <v>6228</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3239</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228">
      <c r="A1356" s="2406" t="str">
        <f>'Part VIII Scoring Criteria'!A205</f>
        <v>No LIHTC projects have been built in Douglas County withing the last 15 DCA Housing Credit Competitive Rounds.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1729</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2079</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1840</v>
      </c>
      <c r="B1362" s="2198" t="s">
        <v>2064</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1843</v>
      </c>
      <c r="C1363" s="2400" t="s">
        <v>6611</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1845</v>
      </c>
      <c r="C1364" s="2400" t="s">
        <v>6612</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2331</v>
      </c>
      <c r="C1365" s="2400" t="s">
        <v>6613</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1842</v>
      </c>
      <c r="B1366" s="2198" t="s">
        <v>3951</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6894</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3823</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7027</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1729</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3368</v>
      </c>
      <c r="B1374" s="2465" t="s">
        <v>6571</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6858</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6895</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3239</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28.25">
      <c r="A1379" s="2406" t="str">
        <f>'Part VIII Scoring Criteria'!A228</f>
        <v>This scoring item is only available to Atlanta Metro Projects.</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1729</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3369</v>
      </c>
      <c r="B1384" s="2465" t="s">
        <v>6576</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6896</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6691</v>
      </c>
      <c r="D1386" s="2199"/>
      <c r="E1386" s="2199"/>
      <c r="F1386" s="2199"/>
      <c r="G1386" s="2199"/>
      <c r="H1386" s="2199"/>
      <c r="I1386" s="2199" t="str">
        <f>'Part VIII Scoring Criteria'!I235</f>
        <v>TBD</v>
      </c>
      <c r="J1386" s="2199"/>
      <c r="K1386" s="2199"/>
      <c r="L1386" s="2199"/>
      <c r="M1386" s="2500"/>
      <c r="N1386" s="2199"/>
      <c r="O1386" s="2466" t="s">
        <v>6897</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6690</v>
      </c>
      <c r="D1387" s="2199"/>
      <c r="E1387" s="2199"/>
      <c r="F1387" s="2199"/>
      <c r="G1387" s="2199"/>
      <c r="H1387" s="2199"/>
      <c r="I1387" s="2199" t="str">
        <f>'Part VIII Scoring Criteria'!I236</f>
        <v>TBD</v>
      </c>
      <c r="J1387" s="2199"/>
      <c r="K1387" s="2199"/>
      <c r="L1387" s="2199"/>
      <c r="M1387" s="2500"/>
      <c r="N1387" s="2199"/>
      <c r="O1387" s="2466"/>
      <c r="P1387" s="2466" t="s">
        <v>3149</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6692</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6859</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1840</v>
      </c>
      <c r="B1392" s="2984" t="s">
        <v>6577</v>
      </c>
      <c r="C1392" s="2397"/>
      <c r="D1392" s="2404"/>
      <c r="E1392" s="2404"/>
      <c r="F1392" s="2397"/>
      <c r="G1392" s="2404" t="s">
        <v>6585</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6586</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6860</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1842</v>
      </c>
      <c r="B1395" s="2984" t="s">
        <v>6578</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6861</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7028</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3239</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384.75">
      <c r="A1399" s="2406" t="str">
        <f>'Part VIII Scoring Criteria'!A248</f>
        <v>Upon award the applicant will engage with a QB for the purposes of meeting the requirements of the current year QAP for XVIIA Engagement Commitment and Reporting.</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1729</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3367</v>
      </c>
      <c r="B1404" s="2465" t="s">
        <v>6582</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1840</v>
      </c>
      <c r="B1405" s="2984" t="s">
        <v>6583</v>
      </c>
      <c r="C1405" s="2397"/>
      <c r="D1405" s="2404"/>
      <c r="E1405" s="2404" t="s">
        <v>6594</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1842</v>
      </c>
      <c r="B1406" s="2984" t="s">
        <v>6584</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3239</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commits to accept resident services coordination from an entity certified as a 3rd Party Resident Services Coordination Contractor" by CORES or other DCA-approved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1729</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3370</v>
      </c>
      <c r="B1413" s="2465" t="s">
        <v>3341</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1840</v>
      </c>
      <c r="B1414" s="2198" t="s">
        <v>3342</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6900</v>
      </c>
      <c r="C1415" s="2199"/>
      <c r="D1415" s="2199"/>
      <c r="E1415" s="2199"/>
      <c r="F1415" s="2199"/>
      <c r="G1415" s="2199"/>
      <c r="H1415" s="2199"/>
      <c r="I1415" s="2199"/>
      <c r="J1415" s="2199"/>
      <c r="K1415" s="2199"/>
      <c r="L1415" s="2199"/>
      <c r="M1415" s="2199"/>
      <c r="N1415" s="2911"/>
      <c r="O1415" s="2312" t="str">
        <f>'Part VIII Scoring Criteria'!O264</f>
        <v>Yes</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1842</v>
      </c>
      <c r="B1416" s="2198" t="s">
        <v>3343</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6900</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1729</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3371</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3152</v>
      </c>
      <c r="C1423" s="2397"/>
      <c r="D1423" s="2405"/>
      <c r="E1423" s="2405"/>
      <c r="F1423" s="2397"/>
      <c r="G1423" s="2199"/>
      <c r="H1423" s="2397"/>
      <c r="I1423" s="2199">
        <f>'Part VIII Scoring Criteria'!I272</f>
        <v>0</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3239</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2.75">
      <c r="A1426" s="2406" t="str">
        <f>'Part VIII Scoring Criteria'!A275</f>
        <v>Not applicable.</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1729</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3374</v>
      </c>
      <c r="B1431" s="2465" t="s">
        <v>3345</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1840</v>
      </c>
      <c r="B1432" s="2198" t="s">
        <v>3346</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6862</v>
      </c>
      <c r="C1433" s="2991"/>
      <c r="D1433" s="2991"/>
      <c r="E1433" s="2991"/>
      <c r="F1433" s="2991"/>
      <c r="G1433" s="2991"/>
      <c r="H1433" s="2991"/>
      <c r="I1433" s="2991"/>
      <c r="J1433" s="2991"/>
      <c r="K1433" s="2991"/>
      <c r="L1433" s="2991"/>
      <c r="M1433" s="2397"/>
      <c r="N1433" s="2397"/>
      <c r="O1433" s="2312" t="str">
        <f>'Part VIII Scoring Criteria'!O282</f>
        <v>N/a</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1847</v>
      </c>
      <c r="K1434" s="2977"/>
      <c r="L1434" s="2397"/>
      <c r="M1434" s="2977" t="s">
        <v>1847</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1843</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1845</v>
      </c>
      <c r="C1436" s="2199" t="s">
        <v>3154</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2331</v>
      </c>
      <c r="C1437" s="2199" t="s">
        <v>3952</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2472</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1741</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6231</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3153</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3887</v>
      </c>
      <c r="C1443" s="2199" t="s">
        <v>6863</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6864</v>
      </c>
      <c r="C1444" s="2199" t="s">
        <v>6901</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6865</v>
      </c>
      <c r="C1445" s="2199" t="s">
        <v>6902</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2412</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6907</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2411</v>
      </c>
      <c r="D1448" s="2438"/>
      <c r="E1448" s="2438"/>
      <c r="F1448" s="2397"/>
      <c r="G1448" s="2397"/>
      <c r="H1448" s="2397"/>
      <c r="I1448" s="2468" t="s">
        <v>6234</v>
      </c>
      <c r="J1448" s="2994">
        <f>'Part V-Revenues &amp; Expenses'!$P$67</f>
        <v>56</v>
      </c>
      <c r="K1448" s="2994"/>
      <c r="L1448" s="2198"/>
      <c r="M1448" s="2198"/>
      <c r="N1448" s="2198"/>
      <c r="O1448" s="2397"/>
      <c r="P1448" s="2198"/>
      <c r="Q1448" s="2397"/>
      <c r="R1448" s="2397"/>
      <c r="S1448" s="2397"/>
      <c r="T1448" s="2397"/>
      <c r="U1448" s="2995" t="s">
        <v>6905</v>
      </c>
      <c r="V1448" s="2995" t="s">
        <v>6906</v>
      </c>
      <c r="W1448" s="2995" t="s">
        <v>6905</v>
      </c>
      <c r="X1448" s="2995" t="s">
        <v>6906</v>
      </c>
      <c r="Y1448" s="2995" t="s">
        <v>6905</v>
      </c>
      <c r="Z1448" s="2995" t="s">
        <v>6906</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6235</v>
      </c>
      <c r="J1449" s="2996">
        <f>IF(J1448=0,0,J1446/J1448)</f>
        <v>0</v>
      </c>
      <c r="K1449" s="2996"/>
      <c r="L1449" s="2397"/>
      <c r="M1449" s="2996">
        <f>IF(J1448=0,0,M1446/J1448)</f>
        <v>0</v>
      </c>
      <c r="N1449" s="2996"/>
      <c r="O1449" s="2996"/>
      <c r="P1449" s="2996"/>
      <c r="Q1449" s="2397"/>
      <c r="R1449" s="2397"/>
      <c r="S1449" s="2997" t="s">
        <v>6903</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6866</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6904</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6236</v>
      </c>
      <c r="J1451" s="3000">
        <f>'Part VIII Scoring Criteria'!J300</f>
        <v>0</v>
      </c>
      <c r="K1451" s="3000"/>
      <c r="L1451" s="2198"/>
      <c r="M1451" s="3000">
        <f>'Part VIII Scoring Criteria'!M300</f>
        <v>0</v>
      </c>
      <c r="N1451" s="3000"/>
      <c r="O1451" s="3000"/>
      <c r="P1451" s="3000"/>
      <c r="Q1451" s="2397"/>
      <c r="R1451" s="2397"/>
      <c r="S1451" s="2997" t="s">
        <v>6143</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1842</v>
      </c>
      <c r="B1453" s="2929" t="s">
        <v>3156</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6867</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6868</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6869</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3239</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2.75">
      <c r="A1458" s="2406" t="str">
        <f>'Part VIII Scoring Criteria'!A307</f>
        <v>Not applicable.</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1729</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3375</v>
      </c>
      <c r="B1463" s="2465" t="s">
        <v>2468</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3071</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1840</v>
      </c>
      <c r="B1465" s="2198" t="s">
        <v>3953</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1842</v>
      </c>
      <c r="B1467" s="2953" t="s">
        <v>3954</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3239</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2.75">
      <c r="A1469" s="2406" t="str">
        <f>'Part VIII Scoring Criteria'!A318</f>
        <v>Not applicable.</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1729</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3376</v>
      </c>
      <c r="B1474" s="2465" t="s">
        <v>4034</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3176</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3177</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3178</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1729</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3377</v>
      </c>
      <c r="B1483" s="2465" t="s">
        <v>6603</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1840</v>
      </c>
      <c r="B1484" s="2198" t="s">
        <v>6605</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1842</v>
      </c>
      <c r="B1485" s="2198" t="s">
        <v>6606</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6237</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1961</v>
      </c>
      <c r="B1487" s="2198" t="s">
        <v>6607</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3176</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3177</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3239</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71">
      <c r="A1491" s="2406" t="str">
        <f>'Part VIII Scoring Criteria'!A340</f>
        <v>The applicant has accepted Section 811 contracts with DCA previously.</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1729</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3378</v>
      </c>
      <c r="B1496" s="2465" t="s">
        <v>6238</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3239</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42.75">
      <c r="A1498" s="2406" t="str">
        <f>'Part VIII Scoring Criteria'!A347</f>
        <v>No applicable.</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1729</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3379</v>
      </c>
      <c r="B1503" s="2465" t="s">
        <v>6915</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6870</v>
      </c>
      <c r="C1504" s="2199"/>
      <c r="D1504" s="2465"/>
      <c r="E1504" s="2465"/>
      <c r="F1504" s="2198"/>
      <c r="G1504" s="2199"/>
      <c r="H1504" s="2199"/>
      <c r="I1504" s="2199"/>
      <c r="J1504" s="2199"/>
      <c r="K1504" s="2199"/>
      <c r="L1504" s="2969"/>
      <c r="M1504" s="2500"/>
      <c r="N1504" s="2312"/>
      <c r="O1504" s="2312" t="str">
        <f>'Part VIII Scoring Criteria'!O353</f>
        <v>N/a</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1729</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3801</v>
      </c>
      <c r="B1509" s="2465" t="s">
        <v>6609</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3239</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2.75">
      <c r="A1511" s="2406" t="str">
        <f>'Part VIII Scoring Criteria'!A360</f>
        <v>Not applicable.</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1729</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6554</v>
      </c>
      <c r="B1516" s="2465" t="s">
        <v>6610</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1840</v>
      </c>
      <c r="B1517" s="2198" t="s">
        <v>6131</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1842</v>
      </c>
      <c r="B1518" s="2953" t="s">
        <v>6132</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3239</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42.75">
      <c r="A1520" s="2406" t="str">
        <f>'Part VIII Scoring Criteria'!A369</f>
        <v>Not applicable.</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1729</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6916</v>
      </c>
      <c r="B1525" s="2465" t="s">
        <v>6917</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1840</v>
      </c>
      <c r="B1526" s="2198" t="s">
        <v>6918</v>
      </c>
      <c r="C1526" s="2397"/>
      <c r="D1526" s="2397"/>
      <c r="E1526" s="2397" t="s">
        <v>6920</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6930</v>
      </c>
      <c r="E1527" s="2199"/>
      <c r="F1527" s="2199"/>
      <c r="G1527" s="2199" t="s">
        <v>6221</v>
      </c>
      <c r="H1527" s="2199"/>
      <c r="I1527" s="2199"/>
      <c r="J1527" s="2199" t="s">
        <v>575</v>
      </c>
      <c r="L1527" s="2342" t="s">
        <v>6931</v>
      </c>
      <c r="M1527" s="3917" t="s">
        <v>6941</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1842</v>
      </c>
      <c r="B1538" s="2953" t="s">
        <v>6919</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3239</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42.75">
      <c r="A1540" s="2406" t="str">
        <f>'Part VIII Scoring Criteria'!A389</f>
        <v>Not applicable.</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1729</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6921</v>
      </c>
      <c r="B1545" s="2465" t="s">
        <v>6922</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1840</v>
      </c>
      <c r="B1546" s="2198" t="s">
        <v>7029</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Not applicable.</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1842</v>
      </c>
      <c r="B1548" s="2953" t="s">
        <v>7030</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Not applicable.</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3239</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42.75">
      <c r="A1551" s="2406" t="str">
        <f>'Part VIII Scoring Criteria'!A400</f>
        <v>Not applicable.</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1729</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7031</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7032</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Comment boxes were not provided for the following sections where points were claimed.
III Application Completeness (10 pts):  The applicant is eligible for the full 10 points for submitting a complete application.
IV Deeper Targeting (2 pts):  The applicant has chosen the 40% at 60% minimum setaside for the 2 points.
XI Mixed Income Developments (1 pt):  We are claiming B Income Averaging for 1 point.  There is no comment box available.  
XV Extended Affordability Commitment (4 pts):  The applicant selected A1 the owner is willing to forgo the Qualified Contract "cancellation option" after the close of the Compliance Period for 3 points and C to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for an additional 1 point.
XIX Exceptional Nonprofit (2 pts):  The applicant meets the requirements for the nonprofit set aside and has submitted all required documents to verify that they are an "Exceptional Nonprofit" for the purposes of the 2 points.
XXIII Compliance Performance (10 pts):  The applicant is eligible for the full compliance score of 10 points per the current QAP.</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1938</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1939</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1940</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1941</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6561</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6562</v>
      </c>
      <c r="AZ1567" s="2198"/>
      <c r="BA1567" s="2198"/>
      <c r="BB1567" s="2198"/>
      <c r="BC1567" s="2198"/>
      <c r="BD1567" s="2198"/>
      <c r="BE1567" s="2198"/>
      <c r="BF1567" s="2198" t="s">
        <v>6563</v>
      </c>
      <c r="BG1567" s="2198"/>
      <c r="BH1567" s="2198"/>
      <c r="BI1567" s="2198"/>
      <c r="BJ1567" s="2198"/>
      <c r="BK1567" s="2198"/>
      <c r="BL1567" s="2198"/>
    </row>
    <row r="1568" spans="1:64" ht="15">
      <c r="A1568" s="2397"/>
      <c r="B1568" s="2397"/>
      <c r="C1568" s="2400" t="s">
        <v>1979</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6135</v>
      </c>
      <c r="AC1569" s="2199"/>
      <c r="AD1569" s="2397"/>
      <c r="AE1569" s="2397"/>
      <c r="AF1569" s="2397"/>
      <c r="AG1569" s="2463" t="s">
        <v>6123</v>
      </c>
      <c r="AH1569" s="2463"/>
      <c r="AI1569" s="2463" t="s">
        <v>6504</v>
      </c>
      <c r="AJ1569" s="2463"/>
      <c r="AK1569" s="2463"/>
      <c r="AL1569" s="2463"/>
      <c r="AM1569" s="2463"/>
      <c r="AN1569" s="2405" t="s">
        <v>6136</v>
      </c>
      <c r="AO1569" s="2405"/>
      <c r="AP1569" s="2405"/>
      <c r="AQ1569" s="2405"/>
      <c r="AR1569" s="2397"/>
      <c r="AS1569" s="2466"/>
      <c r="AT1569" s="2465" t="s">
        <v>6135</v>
      </c>
      <c r="AU1569" s="2466"/>
      <c r="AV1569" s="2466"/>
      <c r="AW1569" s="2466"/>
      <c r="AX1569" s="2397"/>
      <c r="AY1569" s="2463" t="s">
        <v>6123</v>
      </c>
      <c r="AZ1569" s="2463"/>
      <c r="BA1569" s="2463" t="s">
        <v>6504</v>
      </c>
      <c r="BB1569" s="2463"/>
      <c r="BC1569" s="2463"/>
      <c r="BD1569" s="2463"/>
      <c r="BE1569" s="2463"/>
      <c r="BF1569" s="2463" t="s">
        <v>6123</v>
      </c>
      <c r="BG1569" s="2463"/>
      <c r="BH1569" s="2463" t="s">
        <v>6504</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6913</v>
      </c>
      <c r="AK1570" s="3006" t="s">
        <v>6544</v>
      </c>
      <c r="AL1570" s="3006" t="s">
        <v>6545</v>
      </c>
      <c r="AM1570" s="3006" t="s">
        <v>6546</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6927</v>
      </c>
      <c r="BC1570" s="3006" t="s">
        <v>6544</v>
      </c>
      <c r="BD1570" s="3006" t="s">
        <v>6545</v>
      </c>
      <c r="BE1570" s="3006" t="s">
        <v>6546</v>
      </c>
      <c r="BF1570" s="3006">
        <v>0.09</v>
      </c>
      <c r="BG1570" s="3006">
        <v>0.04</v>
      </c>
      <c r="BH1570" s="3006">
        <v>0.04</v>
      </c>
      <c r="BI1570" s="3006" t="s">
        <v>6927</v>
      </c>
      <c r="BJ1570" s="3006" t="s">
        <v>6544</v>
      </c>
      <c r="BK1570" s="3006" t="s">
        <v>6545</v>
      </c>
      <c r="BL1570" s="3006" t="s">
        <v>6546</v>
      </c>
    </row>
    <row r="1571" spans="1:64" ht="15">
      <c r="A1571" s="2397"/>
      <c r="B1571" s="2397"/>
      <c r="C1571" s="2400" t="s">
        <v>1974</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6750</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6750</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1975</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6124</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6124</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1976</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6125</v>
      </c>
      <c r="AC1573" s="2397"/>
      <c r="AD1573" s="2397"/>
      <c r="AE1573" s="2397"/>
      <c r="AF1573" s="2397"/>
      <c r="AG1573" s="2959">
        <v>3</v>
      </c>
      <c r="AH1573" s="2959">
        <v>3</v>
      </c>
      <c r="AI1573" s="2959"/>
      <c r="AJ1573" s="2959"/>
      <c r="AK1573" s="2959"/>
      <c r="AL1573" s="2959"/>
      <c r="AM1573" s="2959"/>
      <c r="AN1573" s="2198" t="s">
        <v>6137</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6125</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1977</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3392</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3392</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1978</v>
      </c>
      <c r="D1575" s="2397"/>
      <c r="E1575" s="2397"/>
      <c r="F1575" s="2397"/>
      <c r="G1575" s="2397"/>
      <c r="H1575" s="2397"/>
      <c r="I1575" s="2397"/>
      <c r="J1575" s="2401" t="s">
        <v>3036</v>
      </c>
      <c r="K1575" s="2397"/>
      <c r="L1575" s="2397"/>
      <c r="M1575" s="2397"/>
      <c r="N1575" s="2342"/>
      <c r="O1575" s="2401" t="s">
        <v>3250</v>
      </c>
      <c r="P1575" s="2399"/>
      <c r="Q1575" s="2397"/>
      <c r="R1575" s="2397"/>
      <c r="S1575" s="2397"/>
      <c r="T1575" s="2397"/>
      <c r="U1575" s="2397"/>
      <c r="V1575" s="2397"/>
      <c r="W1575" s="2397"/>
      <c r="X1575" s="2397"/>
      <c r="Y1575" s="2397"/>
      <c r="Z1575" s="2397"/>
      <c r="AA1575" s="2468" t="s">
        <v>496</v>
      </c>
      <c r="AB1575" s="2199" t="s">
        <v>4036</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4036</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3337</v>
      </c>
      <c r="AC1576" s="2397"/>
      <c r="AD1576" s="2397"/>
      <c r="AE1576" s="2397"/>
      <c r="AF1576" s="2397"/>
      <c r="AG1576" s="2959">
        <v>3</v>
      </c>
      <c r="AH1576" s="2959">
        <v>2</v>
      </c>
      <c r="AI1576" s="2959"/>
      <c r="AJ1576" s="2959"/>
      <c r="AK1576" s="2959"/>
      <c r="AL1576" s="2959"/>
      <c r="AM1576" s="2959"/>
      <c r="AN1576" s="2198" t="s">
        <v>6560</v>
      </c>
      <c r="AO1576" s="2198"/>
      <c r="AP1576" s="2198"/>
      <c r="AQ1576" s="2198"/>
      <c r="AR1576" s="2397"/>
      <c r="AS1576" s="2468" t="s">
        <v>720</v>
      </c>
      <c r="AT1576" s="2199" t="s">
        <v>3337</v>
      </c>
      <c r="AU1576" s="2397"/>
      <c r="AV1576" s="2397"/>
      <c r="AW1576" s="2397"/>
      <c r="AX1576" s="2397"/>
      <c r="AY1576" s="2959">
        <f>O1257</f>
        <v>2</v>
      </c>
      <c r="AZ1576" s="2959">
        <f>O1257</f>
        <v>2</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2107</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3393</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3393</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3394</v>
      </c>
      <c r="AC1578" s="2397"/>
      <c r="AD1578" s="2397"/>
      <c r="AE1578" s="2397"/>
      <c r="AF1578" s="2397"/>
      <c r="AG1578" s="2959">
        <v>3</v>
      </c>
      <c r="AH1578" s="2959"/>
      <c r="AI1578" s="2959"/>
      <c r="AJ1578" s="2959"/>
      <c r="AK1578" s="2959"/>
      <c r="AL1578" s="2959"/>
      <c r="AM1578" s="2959"/>
      <c r="AN1578" s="2199" t="s">
        <v>6555</v>
      </c>
      <c r="AO1578" s="2199"/>
      <c r="AP1578" s="2199"/>
      <c r="AQ1578" s="2312"/>
      <c r="AR1578" s="2397"/>
      <c r="AS1578" s="2468" t="s">
        <v>401</v>
      </c>
      <c r="AT1578" s="2199" t="s">
        <v>3394</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4037</v>
      </c>
      <c r="AC1579" s="2397"/>
      <c r="AD1579" s="2397"/>
      <c r="AE1579" s="2397"/>
      <c r="AF1579" s="2397"/>
      <c r="AG1579" s="2959">
        <v>10</v>
      </c>
      <c r="AH1579" s="2959">
        <v>5</v>
      </c>
      <c r="AI1579" s="2959"/>
      <c r="AJ1579" s="2959"/>
      <c r="AK1579" s="2959"/>
      <c r="AL1579" s="2959"/>
      <c r="AM1579" s="2959"/>
      <c r="AN1579" s="2199" t="s">
        <v>3305</v>
      </c>
      <c r="AO1579" s="2199"/>
      <c r="AP1579" s="2199"/>
      <c r="AQ1579" s="2312"/>
      <c r="AR1579" s="2397"/>
      <c r="AS1579" s="2468" t="s">
        <v>342</v>
      </c>
      <c r="AT1579" s="2199" t="s">
        <v>4037</v>
      </c>
      <c r="AU1579" s="2397"/>
      <c r="AV1579" s="2397"/>
      <c r="AW1579" s="2397"/>
      <c r="AX1579" s="2397"/>
      <c r="AY1579" s="3007">
        <f>O1303</f>
        <v>8</v>
      </c>
      <c r="AZ1579" s="3007">
        <f>O1303</f>
        <v>8</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4062</v>
      </c>
      <c r="H1580" s="2397" t="s">
        <v>4063</v>
      </c>
      <c r="I1580" s="2402" t="s">
        <v>4061</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6126</v>
      </c>
      <c r="AC1580" s="2397"/>
      <c r="AD1580" s="2397"/>
      <c r="AE1580" s="2397"/>
      <c r="AF1580" s="2397"/>
      <c r="AG1580" s="2959">
        <v>1</v>
      </c>
      <c r="AH1580" s="2959"/>
      <c r="AI1580" s="2959"/>
      <c r="AJ1580" s="2959"/>
      <c r="AK1580" s="2959"/>
      <c r="AL1580" s="2959"/>
      <c r="AM1580" s="2959"/>
      <c r="AN1580" s="2199" t="s">
        <v>6141</v>
      </c>
      <c r="AO1580" s="2199"/>
      <c r="AP1580" s="2199"/>
      <c r="AQ1580" s="2312"/>
      <c r="AR1580" s="2397"/>
      <c r="AS1580" s="2468" t="s">
        <v>343</v>
      </c>
      <c r="AT1580" s="2199" t="s">
        <v>6126</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2319</v>
      </c>
      <c r="H1581" s="2397"/>
      <c r="I1581" s="2404"/>
      <c r="J1581" s="2397" t="s">
        <v>3248</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3260</v>
      </c>
      <c r="AC1581" s="2397"/>
      <c r="AD1581" s="2397"/>
      <c r="AE1581" s="2397"/>
      <c r="AF1581" s="2397"/>
      <c r="AG1581" s="2959">
        <v>10</v>
      </c>
      <c r="AH1581" s="2959">
        <v>5</v>
      </c>
      <c r="AI1581" s="2959"/>
      <c r="AJ1581" s="2959"/>
      <c r="AK1581" s="2959"/>
      <c r="AL1581" s="2959"/>
      <c r="AM1581" s="2959"/>
      <c r="AN1581" s="2199" t="s">
        <v>6510</v>
      </c>
      <c r="AO1581" s="2199"/>
      <c r="AP1581" s="2199" t="s">
        <v>6945</v>
      </c>
      <c r="AQ1581" s="2312" t="str">
        <f>'Part VIII Scoring Criteria'!AQ430</f>
        <v/>
      </c>
      <c r="AR1581" s="2397"/>
      <c r="AS1581" s="2468" t="s">
        <v>344</v>
      </c>
      <c r="AT1581" s="2199" t="s">
        <v>3260</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4065</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6127</v>
      </c>
      <c r="AC1582" s="2397"/>
      <c r="AD1582" s="2397"/>
      <c r="AE1582" s="2397"/>
      <c r="AF1582" s="2397"/>
      <c r="AG1582" s="2959">
        <v>3</v>
      </c>
      <c r="AH1582" s="2959"/>
      <c r="AI1582" s="2959"/>
      <c r="AJ1582" s="2959"/>
      <c r="AK1582" s="2959"/>
      <c r="AL1582" s="2959"/>
      <c r="AM1582" s="2959"/>
      <c r="AO1582" s="2199"/>
      <c r="AP1582" s="2400" t="s">
        <v>6140</v>
      </c>
      <c r="AQ1582" s="2312" t="str">
        <f>'Part VIII Scoring Criteria'!AQ431</f>
        <v/>
      </c>
      <c r="AR1582" s="2397"/>
      <c r="AS1582" s="2468" t="s">
        <v>1604</v>
      </c>
      <c r="AT1582" s="2199" t="s">
        <v>6127</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4064</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3368</v>
      </c>
      <c r="AB1583" s="2199" t="s">
        <v>4041</v>
      </c>
      <c r="AC1583" s="2397"/>
      <c r="AD1583" s="2397"/>
      <c r="AE1583" s="2397"/>
      <c r="AF1583" s="2397"/>
      <c r="AG1583" s="2959">
        <v>5</v>
      </c>
      <c r="AH1583" s="2959"/>
      <c r="AI1583" s="2959"/>
      <c r="AJ1583" s="2959"/>
      <c r="AK1583" s="2959"/>
      <c r="AL1583" s="2959"/>
      <c r="AM1583" s="2959"/>
      <c r="AN1583" s="2199"/>
      <c r="AO1583" s="2199"/>
      <c r="AP1583" s="2400" t="s">
        <v>6556</v>
      </c>
      <c r="AQ1583" s="2312" t="str">
        <f>'Part VIII Scoring Criteria'!AQ432</f>
        <v/>
      </c>
      <c r="AR1583" s="2397"/>
      <c r="AS1583" s="2468" t="s">
        <v>3368</v>
      </c>
      <c r="AT1583" s="2199" t="s">
        <v>4041</v>
      </c>
      <c r="AU1583" s="2397"/>
      <c r="AV1583" s="2397"/>
      <c r="AW1583" s="2397"/>
      <c r="AX1583" s="2397"/>
      <c r="AY1583" s="3007">
        <f>O1351</f>
        <v>5</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2079</v>
      </c>
      <c r="AB1584" s="2199" t="s">
        <v>3802</v>
      </c>
      <c r="AC1584" s="2397"/>
      <c r="AD1584" s="2397"/>
      <c r="AE1584" s="2397"/>
      <c r="AF1584" s="2397"/>
      <c r="AG1584" s="2959">
        <v>4</v>
      </c>
      <c r="AH1584" s="2959">
        <v>4</v>
      </c>
      <c r="AI1584" s="2959">
        <v>4</v>
      </c>
      <c r="AJ1584" s="2959">
        <v>4</v>
      </c>
      <c r="AK1584" s="2959">
        <v>4</v>
      </c>
      <c r="AL1584" s="2959">
        <v>4</v>
      </c>
      <c r="AM1584" s="2959">
        <v>4</v>
      </c>
      <c r="AN1584" s="2199"/>
      <c r="AO1584" s="2199"/>
      <c r="AP1584" s="2400" t="s">
        <v>6557</v>
      </c>
      <c r="AQ1584" s="2312" t="str">
        <f>'Part VIII Scoring Criteria'!AQ433</f>
        <v/>
      </c>
      <c r="AR1584" s="2397"/>
      <c r="AS1584" s="2468" t="s">
        <v>2079</v>
      </c>
      <c r="AT1584" s="2199" t="s">
        <v>3802</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4064</v>
      </c>
      <c r="J1585" s="2397" t="s">
        <v>3249</v>
      </c>
      <c r="K1585" s="2397"/>
      <c r="L1585" s="2403"/>
      <c r="M1585" s="2397"/>
      <c r="N1585" s="2342"/>
      <c r="O1585" s="2399">
        <v>1</v>
      </c>
      <c r="P1585" s="2399"/>
      <c r="Q1585" s="2397"/>
      <c r="R1585" s="2397"/>
      <c r="S1585" s="2397"/>
      <c r="T1585" s="2397"/>
      <c r="U1585" s="2397"/>
      <c r="V1585" s="2397"/>
      <c r="W1585" s="2397"/>
      <c r="X1585" s="2397"/>
      <c r="Y1585" s="2397"/>
      <c r="Z1585" s="2397"/>
      <c r="AA1585" s="2468" t="s">
        <v>3368</v>
      </c>
      <c r="AB1585" s="2199" t="s">
        <v>6547</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3368</v>
      </c>
      <c r="AT1585" s="2199" t="s">
        <v>6547</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3271</v>
      </c>
      <c r="H1586" s="2342">
        <v>2019</v>
      </c>
      <c r="I1586" s="2342" t="s">
        <v>4064</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3369</v>
      </c>
      <c r="AB1586" s="2199" t="s">
        <v>6548</v>
      </c>
      <c r="AC1586" s="2397"/>
      <c r="AD1586" s="2397"/>
      <c r="AE1586" s="2397"/>
      <c r="AF1586" s="2397"/>
      <c r="AG1586" s="2959">
        <v>2</v>
      </c>
      <c r="AH1586" s="2959">
        <v>2</v>
      </c>
      <c r="AI1586" s="2959">
        <v>2</v>
      </c>
      <c r="AJ1586" s="2959">
        <v>2</v>
      </c>
      <c r="AK1586" s="2959">
        <v>2</v>
      </c>
      <c r="AL1586" s="2959">
        <v>2</v>
      </c>
      <c r="AM1586" s="2959">
        <v>2</v>
      </c>
      <c r="AN1586" s="2199" t="s">
        <v>6558</v>
      </c>
      <c r="AO1586" s="2199"/>
      <c r="AP1586" s="2199"/>
      <c r="AQ1586" s="2312"/>
      <c r="AR1586" s="2397"/>
      <c r="AS1586" s="2468" t="s">
        <v>3369</v>
      </c>
      <c r="AT1586" s="2199" t="s">
        <v>6548</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3367</v>
      </c>
      <c r="AB1587" s="2199" t="s">
        <v>6553</v>
      </c>
      <c r="AC1587" s="2397"/>
      <c r="AD1587" s="2397"/>
      <c r="AE1587" s="2397"/>
      <c r="AF1587" s="2397"/>
      <c r="AG1587" s="2959">
        <v>2</v>
      </c>
      <c r="AH1587" s="2959"/>
      <c r="AI1587" s="2959"/>
      <c r="AJ1587" s="2959"/>
      <c r="AK1587" s="2959">
        <v>2</v>
      </c>
      <c r="AL1587" s="2959">
        <v>2</v>
      </c>
      <c r="AM1587" s="2959">
        <v>2</v>
      </c>
      <c r="AN1587" s="2199" t="s">
        <v>6559</v>
      </c>
      <c r="AO1587" s="2199"/>
      <c r="AP1587" s="2199"/>
      <c r="AQ1587" s="2500" t="str">
        <f>'Part II-Sources of Funds'!$L$14</f>
        <v>No</v>
      </c>
      <c r="AR1587" s="2397"/>
      <c r="AS1587" s="2468" t="s">
        <v>3367</v>
      </c>
      <c r="AT1587" s="2199" t="s">
        <v>6553</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4064</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3370</v>
      </c>
      <c r="AB1588" s="2199" t="s">
        <v>6128</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3370</v>
      </c>
      <c r="AT1588" s="2199" t="s">
        <v>6128</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1908</v>
      </c>
      <c r="H1589" s="2342" t="s">
        <v>4065</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3371</v>
      </c>
      <c r="AB1589" s="2199" t="s">
        <v>3395</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3371</v>
      </c>
      <c r="AT1589" s="2199" t="s">
        <v>3395</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4065</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3374</v>
      </c>
      <c r="AB1590" s="2199" t="s">
        <v>3396</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3374</v>
      </c>
      <c r="AT1590" s="2199" t="s">
        <v>3396</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4064</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3375</v>
      </c>
      <c r="AB1591" s="2199" t="s">
        <v>3397</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3375</v>
      </c>
      <c r="AT1591" s="2199" t="s">
        <v>3397</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2497</v>
      </c>
      <c r="B1592" s="2397"/>
      <c r="C1592" s="2397"/>
      <c r="D1592" s="2397"/>
      <c r="E1592" s="2397"/>
      <c r="F1592" s="2397"/>
      <c r="G1592" s="2404" t="s">
        <v>1985</v>
      </c>
      <c r="H1592" s="2342" t="s">
        <v>4065</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3376</v>
      </c>
      <c r="AB1592" s="2199" t="s">
        <v>6129</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3376</v>
      </c>
      <c r="AT1592" s="2199" t="s">
        <v>6129</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2512</v>
      </c>
      <c r="B1593" s="2397"/>
      <c r="C1593" s="2397"/>
      <c r="D1593" s="2397"/>
      <c r="E1593" s="2397"/>
      <c r="F1593" s="2397"/>
      <c r="G1593" s="2404" t="s">
        <v>1906</v>
      </c>
      <c r="H1593" s="2342">
        <v>2019</v>
      </c>
      <c r="I1593" s="2342" t="s">
        <v>4064</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3377</v>
      </c>
      <c r="AB1593" s="2199" t="s">
        <v>6549</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3377</v>
      </c>
      <c r="AT1593" s="2199" t="s">
        <v>6549</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3004</v>
      </c>
      <c r="B1594" s="2397"/>
      <c r="C1594" s="2397"/>
      <c r="D1594" s="2403"/>
      <c r="E1594" s="2403">
        <v>3</v>
      </c>
      <c r="F1594" s="2397"/>
      <c r="G1594" s="2404" t="s">
        <v>322</v>
      </c>
      <c r="H1594" s="2342">
        <v>2019</v>
      </c>
      <c r="I1594" s="2342" t="s">
        <v>4064</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3378</v>
      </c>
      <c r="AB1594" s="2199" t="s">
        <v>6130</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3378</v>
      </c>
      <c r="AT1594" s="2199" t="s">
        <v>6130</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3005</v>
      </c>
      <c r="B1595" s="2397"/>
      <c r="C1595" s="2397"/>
      <c r="D1595" s="2403"/>
      <c r="E1595" s="2403">
        <v>2</v>
      </c>
      <c r="F1595" s="2397"/>
      <c r="G1595" s="2404" t="s">
        <v>815</v>
      </c>
      <c r="H1595" s="2342">
        <v>2019</v>
      </c>
      <c r="I1595" s="2342" t="s">
        <v>4064</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3379</v>
      </c>
      <c r="AB1595" s="2199" t="s">
        <v>6914</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3379</v>
      </c>
      <c r="AT1595" s="2199" t="s">
        <v>6914</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3006</v>
      </c>
      <c r="B1596" s="2397"/>
      <c r="C1596" s="2397"/>
      <c r="D1596" s="2403"/>
      <c r="E1596" s="2403">
        <v>10</v>
      </c>
      <c r="F1596" s="2397"/>
      <c r="G1596" s="2404" t="s">
        <v>1788</v>
      </c>
      <c r="H1596" s="2342">
        <v>2019</v>
      </c>
      <c r="I1596" s="2342" t="s">
        <v>4064</v>
      </c>
      <c r="J1596" s="2405" t="s">
        <v>3259</v>
      </c>
      <c r="K1596" s="2397"/>
      <c r="L1596" s="2403"/>
      <c r="M1596" s="2397"/>
      <c r="N1596" s="2342"/>
      <c r="O1596" s="2399"/>
      <c r="P1596" s="2399"/>
      <c r="Q1596" s="2397"/>
      <c r="R1596" s="2397"/>
      <c r="S1596" s="2397"/>
      <c r="T1596" s="2397"/>
      <c r="U1596" s="2397"/>
      <c r="V1596" s="2397"/>
      <c r="W1596" s="2397"/>
      <c r="X1596" s="2397"/>
      <c r="Y1596" s="2397"/>
      <c r="Z1596" s="2397"/>
      <c r="AA1596" s="2468" t="s">
        <v>3801</v>
      </c>
      <c r="AB1596" s="2199" t="s">
        <v>6551</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3801</v>
      </c>
      <c r="AT1596" s="2199" t="s">
        <v>6551</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2513</v>
      </c>
      <c r="B1597" s="2397"/>
      <c r="C1597" s="2397"/>
      <c r="D1597" s="2403"/>
      <c r="E1597" s="2403"/>
      <c r="F1597" s="2397"/>
      <c r="G1597" s="2404" t="s">
        <v>395</v>
      </c>
      <c r="H1597" s="2342">
        <v>2019</v>
      </c>
      <c r="I1597" s="2342" t="s">
        <v>4064</v>
      </c>
      <c r="J1597" s="2397" t="s">
        <v>3335</v>
      </c>
      <c r="K1597" s="2397"/>
      <c r="L1597" s="2403"/>
      <c r="M1597" s="2397"/>
      <c r="N1597" s="2342"/>
      <c r="O1597" s="2399"/>
      <c r="P1597" s="2399"/>
      <c r="Q1597" s="2397"/>
      <c r="R1597" s="2397"/>
      <c r="S1597" s="2397"/>
      <c r="T1597" s="2397"/>
      <c r="U1597" s="2397"/>
      <c r="V1597" s="2397"/>
      <c r="W1597" s="2397"/>
      <c r="X1597" s="2397"/>
      <c r="Y1597" s="2397"/>
      <c r="Z1597" s="2397"/>
      <c r="AA1597" s="2468" t="s">
        <v>6554</v>
      </c>
      <c r="AB1597" s="2199" t="s">
        <v>6552</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6554</v>
      </c>
      <c r="AT1597" s="2199" t="s">
        <v>6552</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4064</v>
      </c>
      <c r="J1598" s="2397" t="s">
        <v>3330</v>
      </c>
      <c r="K1598" s="2397"/>
      <c r="L1598" s="2403"/>
      <c r="M1598" s="2397"/>
      <c r="N1598" s="2342"/>
      <c r="O1598" s="2399"/>
      <c r="P1598" s="2399"/>
      <c r="Q1598" s="2397"/>
      <c r="R1598" s="2397"/>
      <c r="S1598" s="2397"/>
      <c r="T1598" s="2397"/>
      <c r="U1598" s="2397"/>
      <c r="V1598" s="2397"/>
      <c r="W1598" s="2397"/>
      <c r="X1598" s="2397"/>
      <c r="Y1598" s="2397"/>
      <c r="Z1598" s="2397"/>
      <c r="AA1598" s="2468" t="s">
        <v>6921</v>
      </c>
      <c r="AB1598" s="2199" t="s">
        <v>6925</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6921</v>
      </c>
      <c r="AT1598" s="2199" t="s">
        <v>6925</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4064</v>
      </c>
      <c r="J1599" s="2397" t="s">
        <v>3252</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4065</v>
      </c>
      <c r="I1600" s="2402" t="s">
        <v>2452</v>
      </c>
      <c r="J1600" s="2397" t="s">
        <v>3326</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6242</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v>
      </c>
      <c r="AZ1600" s="2542">
        <f>'Part VIII Scoring Criteria'!AZ449</f>
        <v>63</v>
      </c>
      <c r="BA1600" s="2542">
        <f>'Part VIII Scoring Criteria'!BA449</f>
        <v>28</v>
      </c>
      <c r="BB1600" s="2542">
        <f>'Part VIII Scoring Criteria'!BB449</f>
        <v>28</v>
      </c>
      <c r="BC1600" s="2542">
        <f>'Part VIII Scoring Criteria'!BC449</f>
        <v>30</v>
      </c>
      <c r="BD1600" s="2542">
        <f>'Part VIII Scoring Criteria'!BD449</f>
        <v>30</v>
      </c>
      <c r="BE1600" s="2542">
        <f>'Part VIII Scoring Criteria'!BE449</f>
        <v>30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3018</v>
      </c>
      <c r="H1601" s="2342">
        <v>2019</v>
      </c>
      <c r="I1601" s="2342" t="s">
        <v>4064</v>
      </c>
      <c r="J1601" s="2397" t="s">
        <v>3253</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4064</v>
      </c>
      <c r="J1602" s="2397" t="s">
        <v>3327</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4064</v>
      </c>
      <c r="J1603" s="2397" t="s">
        <v>3254</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3344</v>
      </c>
      <c r="H1604" s="2342" t="s">
        <v>4065</v>
      </c>
      <c r="I1604" s="2402" t="s">
        <v>2452</v>
      </c>
      <c r="J1604" s="2397" t="s">
        <v>3328</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4064</v>
      </c>
      <c r="J1605" s="2397" t="s">
        <v>3331</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4064</v>
      </c>
      <c r="J1606" s="2397" t="s">
        <v>3334</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4065</v>
      </c>
      <c r="I1607" s="2402" t="s">
        <v>2452</v>
      </c>
      <c r="J1607" s="2397" t="s">
        <v>3255</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1706</v>
      </c>
      <c r="H1608" s="2342" t="s">
        <v>4065</v>
      </c>
      <c r="I1608" s="2402" t="s">
        <v>2452</v>
      </c>
      <c r="J1608" s="2397" t="s">
        <v>3256</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1968</v>
      </c>
      <c r="H1609" s="2342">
        <v>2020</v>
      </c>
      <c r="I1609" s="2342" t="s">
        <v>4064</v>
      </c>
      <c r="J1609" s="2397" t="s">
        <v>3329</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4064</v>
      </c>
      <c r="J1610" s="2397" t="s">
        <v>3332</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4064</v>
      </c>
      <c r="J1611" s="2397" t="s">
        <v>3333</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4064</v>
      </c>
      <c r="J1612" s="2397" t="s">
        <v>3257</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2095</v>
      </c>
      <c r="H1613" s="2342">
        <v>2020</v>
      </c>
      <c r="I1613" s="2342" t="s">
        <v>4064</v>
      </c>
      <c r="J1613" s="2397" t="s">
        <v>3258</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4059</v>
      </c>
      <c r="H1614" s="2342" t="s">
        <v>4065</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1748</v>
      </c>
      <c r="H1615" s="2342" t="s">
        <v>4065</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4065</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1950</v>
      </c>
      <c r="H1617" s="2342" t="s">
        <v>4065</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2087</v>
      </c>
      <c r="H1618" s="2342">
        <v>2020</v>
      </c>
      <c r="I1618" s="2342" t="s">
        <v>4064</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1973</v>
      </c>
      <c r="H1619" s="2342">
        <v>2020</v>
      </c>
      <c r="I1619" s="2342" t="s">
        <v>4064</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2153</v>
      </c>
      <c r="H1620" s="2342">
        <v>2019</v>
      </c>
      <c r="I1620" s="2342" t="s">
        <v>4064</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4060</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4064</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4064</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4064</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4064</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4064</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4064</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4064</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4065</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D'Anne Hilsmier</cp:lastModifiedBy>
  <cp:lastPrinted>2023-05-11T19:12:07Z</cp:lastPrinted>
  <dcterms:created xsi:type="dcterms:W3CDTF">2005-09-15T20:51:37Z</dcterms:created>
  <dcterms:modified xsi:type="dcterms:W3CDTF">2023-05-18T19:18:25Z</dcterms:modified>
</cp:coreProperties>
</file>